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1.bin" ContentType="image/unknown"/>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codeName="ThisWorkbook" checkCompatibility="1"/>
  <mc:AlternateContent xmlns:mc="http://schemas.openxmlformats.org/markup-compatibility/2006">
    <mc:Choice Requires="x15">
      <x15ac:absPath xmlns:x15ac="http://schemas.microsoft.com/office/spreadsheetml/2010/11/ac" url="N:\JPG\Investor Reporting\Paragon Finance\PM7\"/>
    </mc:Choice>
  </mc:AlternateContent>
  <bookViews>
    <workbookView xWindow="10656" yWindow="-228" windowWidth="12120" windowHeight="11088" firstSheet="42" activeTab="51"/>
  </bookViews>
  <sheets>
    <sheet name="Oct 04" sheetId="1" r:id="rId1"/>
    <sheet name="Jan 05" sheetId="2" r:id="rId2"/>
    <sheet name="April 05" sheetId="3" r:id="rId3"/>
    <sheet name="July 05" sheetId="4" r:id="rId4"/>
    <sheet name="Oct 05" sheetId="5" r:id="rId5"/>
    <sheet name="Jan 06" sheetId="6" r:id="rId6"/>
    <sheet name="April 06" sheetId="7" r:id="rId7"/>
    <sheet name="July 06" sheetId="8" r:id="rId8"/>
    <sheet name="Oct 06" sheetId="9" r:id="rId9"/>
    <sheet name="Jan 07" sheetId="10" r:id="rId10"/>
    <sheet name="April 07" sheetId="11" r:id="rId11"/>
    <sheet name="July 07" sheetId="12" r:id="rId12"/>
    <sheet name="Oct 07" sheetId="13" r:id="rId13"/>
    <sheet name="Jan 08" sheetId="14" r:id="rId14"/>
    <sheet name="April 08" sheetId="15" r:id="rId15"/>
    <sheet name="July 08" sheetId="16" r:id="rId16"/>
    <sheet name="Oct 08" sheetId="17" r:id="rId17"/>
    <sheet name="Jan 09" sheetId="18" r:id="rId18"/>
    <sheet name="April 09" sheetId="19" r:id="rId19"/>
    <sheet name="July 09" sheetId="20" r:id="rId20"/>
    <sheet name="Oct 09" sheetId="21" r:id="rId21"/>
    <sheet name="Jan 10" sheetId="22" r:id="rId22"/>
    <sheet name="April 10" sheetId="23" r:id="rId23"/>
    <sheet name="July 10" sheetId="24" r:id="rId24"/>
    <sheet name="Oct 10" sheetId="25" r:id="rId25"/>
    <sheet name="Jan 11" sheetId="26" r:id="rId26"/>
    <sheet name="April 11" sheetId="27" r:id="rId27"/>
    <sheet name="July 11" sheetId="28" r:id="rId28"/>
    <sheet name="Oct 11" sheetId="29" r:id="rId29"/>
    <sheet name="Jan 12" sheetId="30" r:id="rId30"/>
    <sheet name="April 12" sheetId="31" r:id="rId31"/>
    <sheet name="July 12" sheetId="32" r:id="rId32"/>
    <sheet name="Oct 12" sheetId="33" r:id="rId33"/>
    <sheet name="Jan 13" sheetId="34" r:id="rId34"/>
    <sheet name="April 13" sheetId="35" r:id="rId35"/>
    <sheet name="July 13" sheetId="36" r:id="rId36"/>
    <sheet name="Oct 13" sheetId="37" r:id="rId37"/>
    <sheet name="Jan 14" sheetId="38" r:id="rId38"/>
    <sheet name="April 14" sheetId="39" r:id="rId39"/>
    <sheet name="July 14" sheetId="40" r:id="rId40"/>
    <sheet name="Oct 14" sheetId="41" r:id="rId41"/>
    <sheet name="Jan 15" sheetId="42" r:id="rId42"/>
    <sheet name="April 15" sheetId="43" r:id="rId43"/>
    <sheet name="July 15" sheetId="44" r:id="rId44"/>
    <sheet name="Oct 15" sheetId="45" r:id="rId45"/>
    <sheet name="Jan 16" sheetId="46" r:id="rId46"/>
    <sheet name="April 16" sheetId="47" r:id="rId47"/>
    <sheet name="July 16" sheetId="48" r:id="rId48"/>
    <sheet name="Oct 16" sheetId="49" r:id="rId49"/>
    <sheet name="Jan 17" sheetId="50" r:id="rId50"/>
    <sheet name="April 17" sheetId="51" r:id="rId51"/>
    <sheet name="July 17" sheetId="52" r:id="rId52"/>
  </sheets>
  <definedNames>
    <definedName name="_100PAGE_3" localSheetId="19">'July 09'!$A$134:$Q$184</definedName>
    <definedName name="_101PAGE_3" localSheetId="23">'July 10'!$A$133:$Q$184</definedName>
    <definedName name="_102PAGE_3" localSheetId="27">'July 11'!$A$133:$Q$184</definedName>
    <definedName name="_103PAGE_3" localSheetId="31">'July 12'!$A$133:$Q$184</definedName>
    <definedName name="_104PAGE_3" localSheetId="35">'July 13'!$A$134:$Q$185</definedName>
    <definedName name="_105PAGE_3" localSheetId="4">'Oct 05'!$A$129:$Q$178</definedName>
    <definedName name="_106PAGE_3" localSheetId="8">'Oct 06'!$A$131:$Q$180</definedName>
    <definedName name="_107PAGE_3" localSheetId="12">'Oct 07'!$A$132:$Q$181</definedName>
    <definedName name="_108PAGE_3" localSheetId="16">'Oct 08'!$A$133:$Q$182</definedName>
    <definedName name="_109PAGE_3" localSheetId="20">'Oct 09'!$A$134:$Q$185</definedName>
    <definedName name="_10PAGE_1" localSheetId="1">'Jan 05'!$A$1:$Q$64</definedName>
    <definedName name="_110PAGE_3" localSheetId="24">'Oct 10'!$A$133:$Q$184</definedName>
    <definedName name="_111PAGE_3" localSheetId="28">'Oct 11'!$A$133:$Q$184</definedName>
    <definedName name="_112PAGE_3" localSheetId="32">'Oct 12'!$A$133:$Q$184</definedName>
    <definedName name="_113PAGE_3" localSheetId="36">'Oct 13'!$A$134:$Q$185</definedName>
    <definedName name="_114PAGE_3">'Oct 04'!$A$127:$Q$176</definedName>
    <definedName name="_115PAGE_4" localSheetId="2">'April 05'!$A$178:$Q$253</definedName>
    <definedName name="_116PAGE_4" localSheetId="6">'April 06'!$A$181:$Q$261</definedName>
    <definedName name="_117PAGE_4" localSheetId="10">'April 07'!$A$182:$Q$262</definedName>
    <definedName name="_118PAGE_4" localSheetId="14">'April 08'!$A$183:$Q$264</definedName>
    <definedName name="_119PAGE_4" localSheetId="18">'April 09'!$A$185:$Q$266</definedName>
    <definedName name="_11PAGE_1" localSheetId="5">'Jan 06'!$A$1:$Q$65</definedName>
    <definedName name="_120PAGE_4" localSheetId="22">'April 10'!$A$186:$Q$267</definedName>
    <definedName name="_121PAGE_4" localSheetId="26">'April 11'!$A$185:$Q$277</definedName>
    <definedName name="_122PAGE_4" localSheetId="30">'April 12'!$A$185:$Q$277</definedName>
    <definedName name="_123PAGE_4" localSheetId="34">'April 13'!$A$186:$Q$278</definedName>
    <definedName name="_124PAGE_4" localSheetId="1">'Jan 05'!$A$177:$Q$225</definedName>
    <definedName name="_125PAGE_4" localSheetId="5">'Jan 06'!$A$181:$Q$261</definedName>
    <definedName name="_126PAGE_4" localSheetId="9">'Jan 07'!$A$182:$Q$262</definedName>
    <definedName name="_127PAGE_4" localSheetId="13">'Jan 08'!$A$183:$Q$264</definedName>
    <definedName name="_128PAGE_4" localSheetId="17">'Jan 09'!$A$185:$Q$266</definedName>
    <definedName name="_129PAGE_4" localSheetId="21">'Jan 10'!$A$186:$Q$267</definedName>
    <definedName name="_12PAGE_1" localSheetId="9">'Jan 07'!$A$1:$Q$65</definedName>
    <definedName name="_130PAGE_4" localSheetId="25">'Jan 11'!$A$185:$Q$277</definedName>
    <definedName name="_131PAGE_4" localSheetId="29">'Jan 12'!$A$185:$Q$277</definedName>
    <definedName name="_132PAGE_4" localSheetId="33">'Jan 13'!$A$186:$Q$278</definedName>
    <definedName name="_133PAGE_4" localSheetId="38">'April 14'!$A$186:$Q$278</definedName>
    <definedName name="_133PAGE_4" localSheetId="42">'April 15'!$A$186:$Q$278</definedName>
    <definedName name="_133PAGE_4" localSheetId="46">'April 16'!$A$186:$Q$278</definedName>
    <definedName name="_133PAGE_4" localSheetId="50">'April 17'!$A$186:$Q$277</definedName>
    <definedName name="_133PAGE_4" localSheetId="37">'Jan 14'!$A$186:$Q$278</definedName>
    <definedName name="_133PAGE_4" localSheetId="41">'Jan 15'!$A$186:$Q$278</definedName>
    <definedName name="_133PAGE_4" localSheetId="45">'Jan 16'!$A$186:$Q$278</definedName>
    <definedName name="_133PAGE_4" localSheetId="49">'Jan 17'!$A$186:$Q$277</definedName>
    <definedName name="_133PAGE_4" localSheetId="39">'July 14'!$A$186:$Q$278</definedName>
    <definedName name="_133PAGE_4" localSheetId="43">'July 15'!$A$186:$Q$278</definedName>
    <definedName name="_133PAGE_4" localSheetId="47">'July 16'!$A$186:$Q$278</definedName>
    <definedName name="_133PAGE_4" localSheetId="51">'July 17'!$A$188:$Q$279</definedName>
    <definedName name="_133PAGE_4" localSheetId="40">'Oct 14'!$A$186:$Q$278</definedName>
    <definedName name="_133PAGE_4" localSheetId="44">'Oct 15'!$A$186:$Q$278</definedName>
    <definedName name="_133PAGE_4" localSheetId="48">'Oct 16'!$A$186:$Q$278</definedName>
    <definedName name="_134PAGE_4" localSheetId="3">'July 05'!$A$179:$Q$256</definedName>
    <definedName name="_135PAGE_4" localSheetId="7">'July 06'!$A$181:$Q$261</definedName>
    <definedName name="_136PAGE_4" localSheetId="11">'July 07'!$A$182:$Q$263</definedName>
    <definedName name="_137PAGE_4" localSheetId="15">'July 08'!$A$183:$Q$264</definedName>
    <definedName name="_138PAGE_4" localSheetId="19">'July 09'!$A$185:$Q$266</definedName>
    <definedName name="_139PAGE_4" localSheetId="23">'July 10'!$A$185:$Q$277</definedName>
    <definedName name="_13PAGE_1" localSheetId="13">'Jan 08'!$A$1:$Q$65</definedName>
    <definedName name="_140PAGE_4" localSheetId="27">'July 11'!$A$185:$Q$277</definedName>
    <definedName name="_141PAGE_4" localSheetId="31">'July 12'!$A$185:$Q$277</definedName>
    <definedName name="_142PAGE_4" localSheetId="35">'July 13'!$A$186:$Q$278</definedName>
    <definedName name="_143PAGE_4" localSheetId="4">'Oct 05'!$A$179:$Q$256</definedName>
    <definedName name="_144PAGE_4" localSheetId="8">'Oct 06'!$A$181:$Q$261</definedName>
    <definedName name="_145PAGE_4" localSheetId="12">'Oct 07'!$A$182:$Q$263</definedName>
    <definedName name="_146PAGE_4" localSheetId="16">'Oct 08'!$A$183:$Q$264</definedName>
    <definedName name="_147PAGE_4" localSheetId="20">'Oct 09'!$A$186:$Q$267</definedName>
    <definedName name="_148PAGE_4" localSheetId="24">'Oct 10'!$A$185:$Q$277</definedName>
    <definedName name="_149PAGE_4" localSheetId="28">'Oct 11'!$A$185:$Q$277</definedName>
    <definedName name="_14PAGE_1" localSheetId="17">'Jan 09'!$A$1:$Q$65</definedName>
    <definedName name="_150PAGE_4" localSheetId="32">'Oct 12'!$A$185:$Q$277</definedName>
    <definedName name="_151PAGE_4" localSheetId="36">'Oct 13'!$A$186:$Q$278</definedName>
    <definedName name="_152PAGE_4">'Oct 04'!$A$177:$Q$225</definedName>
    <definedName name="_15PAGE_1" localSheetId="21">'Jan 10'!$A$1:$Q$65</definedName>
    <definedName name="_16PAGE_1" localSheetId="25">'Jan 11'!$A$1:$Q$65</definedName>
    <definedName name="_17PAGE_1" localSheetId="29">'Jan 12'!$A$1:$Q$65</definedName>
    <definedName name="_18PAGE_1" localSheetId="33">'Jan 13'!$A$1:$Q$65</definedName>
    <definedName name="_19PAGE_1" localSheetId="38">'April 14'!$A$1:$Q$65</definedName>
    <definedName name="_19PAGE_1" localSheetId="42">'April 15'!$A$1:$Q$65</definedName>
    <definedName name="_19PAGE_1" localSheetId="46">'April 16'!$A$1:$Q$65</definedName>
    <definedName name="_19PAGE_1" localSheetId="50">'April 17'!$A$1:$Q$65</definedName>
    <definedName name="_19PAGE_1" localSheetId="37">'Jan 14'!$A$1:$Q$65</definedName>
    <definedName name="_19PAGE_1" localSheetId="41">'Jan 15'!$A$1:$Q$65</definedName>
    <definedName name="_19PAGE_1" localSheetId="45">'Jan 16'!$A$1:$Q$65</definedName>
    <definedName name="_19PAGE_1" localSheetId="49">'Jan 17'!$A$1:$Q$65</definedName>
    <definedName name="_19PAGE_1" localSheetId="39">'July 14'!$A$1:$Q$65</definedName>
    <definedName name="_19PAGE_1" localSheetId="43">'July 15'!$A$1:$Q$65</definedName>
    <definedName name="_19PAGE_1" localSheetId="47">'July 16'!$A$1:$Q$65</definedName>
    <definedName name="_19PAGE_1" localSheetId="51">'July 17'!$A$1:$Q$65</definedName>
    <definedName name="_19PAGE_1" localSheetId="40">'Oct 14'!$A$1:$Q$65</definedName>
    <definedName name="_19PAGE_1" localSheetId="44">'Oct 15'!$A$1:$Q$65</definedName>
    <definedName name="_19PAGE_1" localSheetId="48">'Oct 16'!$A$1:$Q$65</definedName>
    <definedName name="_1PAGE_1" localSheetId="2">'April 05'!$A$1:$Q$64</definedName>
    <definedName name="_20PAGE_1" localSheetId="3">'July 05'!$A$1:$Q$65</definedName>
    <definedName name="_21PAGE_1" localSheetId="7">'July 06'!$A$1:$Q$65</definedName>
    <definedName name="_22PAGE_1" localSheetId="11">'July 07'!$A$1:$Q$65</definedName>
    <definedName name="_23PAGE_1" localSheetId="15">'July 08'!$A$1:$Q$65</definedName>
    <definedName name="_24PAGE_1" localSheetId="19">'July 09'!$A$1:$Q$65</definedName>
    <definedName name="_25PAGE_1" localSheetId="23">'July 10'!$A$1:$Q$65</definedName>
    <definedName name="_26PAGE_1" localSheetId="27">'July 11'!$A$1:$Q$65</definedName>
    <definedName name="_27PAGE_1" localSheetId="31">'July 12'!$A$1:$Q$65</definedName>
    <definedName name="_28PAGE_1" localSheetId="35">'July 13'!$A$1:$Q$65</definedName>
    <definedName name="_29PAGE_1" localSheetId="4">'Oct 05'!$A$1:$Q$65</definedName>
    <definedName name="_2PAGE_1" localSheetId="6">'April 06'!$A$1:$Q$65</definedName>
    <definedName name="_30PAGE_1" localSheetId="8">'Oct 06'!$A$1:$Q$65</definedName>
    <definedName name="_31PAGE_1" localSheetId="12">'Oct 07'!$A$1:$Q$65</definedName>
    <definedName name="_32PAGE_1" localSheetId="16">'Oct 08'!$A$1:$Q$65</definedName>
    <definedName name="_33PAGE_1" localSheetId="20">'Oct 09'!$A$1:$Q$65</definedName>
    <definedName name="_34PAGE_1" localSheetId="24">'Oct 10'!$A$1:$Q$65</definedName>
    <definedName name="_35PAGE_1" localSheetId="28">'Oct 11'!$A$1:$Q$65</definedName>
    <definedName name="_36PAGE_1" localSheetId="32">'Oct 12'!$A$1:$Q$65</definedName>
    <definedName name="_37PAGE_1" localSheetId="36">'Oct 13'!$A$1:$Q$65</definedName>
    <definedName name="_38PAGE_1">'Oct 04'!$A$1:$Q$64</definedName>
    <definedName name="_39PAGE_2" localSheetId="2">'April 05'!$A$65:$Q$127</definedName>
    <definedName name="_3PAGE_1" localSheetId="10">'April 07'!$A$1:$Q$65</definedName>
    <definedName name="_40PAGE_2" localSheetId="6">'April 06'!$A$66:$Q$130</definedName>
    <definedName name="_41PAGE_2" localSheetId="10">'April 07'!$A$66:$Q$131</definedName>
    <definedName name="_42PAGE_2" localSheetId="14">'April 08'!$A$66:$Q$132</definedName>
    <definedName name="_43PAGE_2" localSheetId="18">'April 09'!$A$66:$Q$133</definedName>
    <definedName name="_44PAGE_2" localSheetId="22">'April 10'!$A$66:$Q$133</definedName>
    <definedName name="_45PAGE_2" localSheetId="26">'April 11'!$A$66:$Q$132</definedName>
    <definedName name="_46PAGE_2" localSheetId="30">'April 12'!$A$66:$Q$132</definedName>
    <definedName name="_47PAGE_2" localSheetId="34">'April 13'!$A$66:$Q$133</definedName>
    <definedName name="_48PAGE_2" localSheetId="1">'Jan 05'!$A$65:$Q$126</definedName>
    <definedName name="_49PAGE_2" localSheetId="5">'Jan 06'!$A$66:$Q$130</definedName>
    <definedName name="_4PAGE_1" localSheetId="14">'April 08'!$A$1:$Q$65</definedName>
    <definedName name="_50PAGE_2" localSheetId="9">'Jan 07'!$A$66:$Q$131</definedName>
    <definedName name="_51PAGE_2" localSheetId="13">'Jan 08'!$A$66:$Q$132</definedName>
    <definedName name="_52PAGE_2" localSheetId="17">'Jan 09'!$A$66:$Q$133</definedName>
    <definedName name="_53PAGE_2" localSheetId="21">'Jan 10'!$A$66:$Q$133</definedName>
    <definedName name="_54PAGE_2" localSheetId="25">'Jan 11'!$A$66:$Q$132</definedName>
    <definedName name="_55PAGE_2" localSheetId="29">'Jan 12'!$A$66:$Q$132</definedName>
    <definedName name="_56PAGE_2" localSheetId="33">'Jan 13'!$A$66:$Q$133</definedName>
    <definedName name="_57PAGE_2" localSheetId="38">'April 14'!$A$66:$Q$133</definedName>
    <definedName name="_57PAGE_2" localSheetId="42">'April 15'!$A$66:$Q$133</definedName>
    <definedName name="_57PAGE_2" localSheetId="46">'April 16'!$A$66:$Q$133</definedName>
    <definedName name="_57PAGE_2" localSheetId="50">'April 17'!$A$66:$Q$133</definedName>
    <definedName name="_57PAGE_2" localSheetId="37">'Jan 14'!$A$66:$Q$133</definedName>
    <definedName name="_57PAGE_2" localSheetId="41">'Jan 15'!$A$66:$Q$133</definedName>
    <definedName name="_57PAGE_2" localSheetId="45">'Jan 16'!$A$66:$Q$133</definedName>
    <definedName name="_57PAGE_2" localSheetId="49">'Jan 17'!$A$66:$Q$133</definedName>
    <definedName name="_57PAGE_2" localSheetId="39">'July 14'!$A$66:$Q$133</definedName>
    <definedName name="_57PAGE_2" localSheetId="43">'July 15'!$A$66:$Q$133</definedName>
    <definedName name="_57PAGE_2" localSheetId="47">'July 16'!$A$66:$Q$133</definedName>
    <definedName name="_57PAGE_2" localSheetId="51">'July 17'!$A$66:$Q$134</definedName>
    <definedName name="_57PAGE_2" localSheetId="40">'Oct 14'!$A$66:$Q$133</definedName>
    <definedName name="_57PAGE_2" localSheetId="44">'Oct 15'!$A$66:$Q$133</definedName>
    <definedName name="_57PAGE_2" localSheetId="48">'Oct 16'!$A$66:$Q$133</definedName>
    <definedName name="_58PAGE_2" localSheetId="3">'July 05'!$A$66:$Q$128</definedName>
    <definedName name="_59PAGE_2" localSheetId="7">'July 06'!$A$66:$Q$130</definedName>
    <definedName name="_5PAGE_1" localSheetId="18">'April 09'!$A$1:$Q$65</definedName>
    <definedName name="_60PAGE_2" localSheetId="11">'July 07'!$A$66:$Q$131</definedName>
    <definedName name="_61PAGE_2" localSheetId="15">'July 08'!$A$66:$Q$132</definedName>
    <definedName name="_62PAGE_2" localSheetId="19">'July 09'!$A$66:$Q$133</definedName>
    <definedName name="_63PAGE_2" localSheetId="23">'July 10'!$A$66:$Q$132</definedName>
    <definedName name="_64PAGE_2" localSheetId="27">'July 11'!$A$66:$Q$132</definedName>
    <definedName name="_65PAGE_2" localSheetId="31">'July 12'!$A$66:$Q$132</definedName>
    <definedName name="_66PAGE_2" localSheetId="35">'July 13'!$A$66:$Q$133</definedName>
    <definedName name="_67PAGE_2" localSheetId="4">'Oct 05'!$A$66:$Q$128</definedName>
    <definedName name="_68PAGE_2" localSheetId="8">'Oct 06'!$A$66:$Q$130</definedName>
    <definedName name="_69PAGE_2" localSheetId="12">'Oct 07'!$A$66:$Q$131</definedName>
    <definedName name="_6PAGE_1" localSheetId="22">'April 10'!$A$1:$Q$65</definedName>
    <definedName name="_70PAGE_2" localSheetId="16">'Oct 08'!$A$66:$Q$132</definedName>
    <definedName name="_71PAGE_2" localSheetId="20">'Oct 09'!$A$66:$Q$133</definedName>
    <definedName name="_72PAGE_2" localSheetId="24">'Oct 10'!$A$66:$Q$132</definedName>
    <definedName name="_73PAGE_2" localSheetId="28">'Oct 11'!$A$66:$Q$132</definedName>
    <definedName name="_74PAGE_2" localSheetId="32">'Oct 12'!$A$66:$Q$132</definedName>
    <definedName name="_75PAGE_2" localSheetId="36">'Oct 13'!$A$66:$Q$133</definedName>
    <definedName name="_76PAGE_2">'Oct 04'!$A$65:$Q$126</definedName>
    <definedName name="_77PAGE_3" localSheetId="2">'April 05'!$A$128:$Q$177</definedName>
    <definedName name="_78PAGE_3" localSheetId="6">'April 06'!$A$131:$Q$180</definedName>
    <definedName name="_79PAGE_3" localSheetId="10">'April 07'!$A$132:$Q$181</definedName>
    <definedName name="_7PAGE_1" localSheetId="26">'April 11'!$A$1:$Q$65</definedName>
    <definedName name="_80PAGE_3" localSheetId="14">'April 08'!$A$133:$Q$182</definedName>
    <definedName name="_81PAGE_3" localSheetId="18">'April 09'!$A$134:$Q$184</definedName>
    <definedName name="_82PAGE_3" localSheetId="22">'April 10'!$A$134:$Q$185</definedName>
    <definedName name="_83PAGE_3" localSheetId="26">'April 11'!$A$133:$Q$184</definedName>
    <definedName name="_84PAGE_3" localSheetId="30">'April 12'!$A$133:$Q$184</definedName>
    <definedName name="_85PAGE_3" localSheetId="34">'April 13'!$A$134:$Q$185</definedName>
    <definedName name="_86PAGE_3" localSheetId="1">'Jan 05'!$A$127:$Q$176</definedName>
    <definedName name="_87PAGE_3" localSheetId="5">'Jan 06'!$A$131:$Q$180</definedName>
    <definedName name="_88PAGE_3" localSheetId="9">'Jan 07'!$A$132:$Q$181</definedName>
    <definedName name="_89PAGE_3" localSheetId="13">'Jan 08'!$A$133:$Q$182</definedName>
    <definedName name="_8PAGE_1" localSheetId="30">'April 12'!$A$1:$Q$65</definedName>
    <definedName name="_90PAGE_3" localSheetId="17">'Jan 09'!$A$134:$Q$184</definedName>
    <definedName name="_91PAGE_3" localSheetId="21">'Jan 10'!$A$134:$Q$185</definedName>
    <definedName name="_92PAGE_3" localSheetId="25">'Jan 11'!$A$133:$Q$184</definedName>
    <definedName name="_93PAGE_3" localSheetId="29">'Jan 12'!$A$133:$Q$184</definedName>
    <definedName name="_94PAGE_3" localSheetId="33">'Jan 13'!$A$134:$Q$185</definedName>
    <definedName name="_95PAGE_3" localSheetId="38">'April 14'!$A$134:$Q$185</definedName>
    <definedName name="_95PAGE_3" localSheetId="42">'April 15'!$A$134:$Q$185</definedName>
    <definedName name="_95PAGE_3" localSheetId="46">'April 16'!$A$134:$Q$185</definedName>
    <definedName name="_95PAGE_3" localSheetId="50">'April 17'!$A$134:$Q$185</definedName>
    <definedName name="_95PAGE_3" localSheetId="37">'Jan 14'!$A$134:$Q$185</definedName>
    <definedName name="_95PAGE_3" localSheetId="41">'Jan 15'!$A$134:$Q$185</definedName>
    <definedName name="_95PAGE_3" localSheetId="45">'Jan 16'!$A$134:$Q$185</definedName>
    <definedName name="_95PAGE_3" localSheetId="49">'Jan 17'!$A$134:$Q$185</definedName>
    <definedName name="_95PAGE_3" localSheetId="39">'July 14'!$A$134:$Q$185</definedName>
    <definedName name="_95PAGE_3" localSheetId="43">'July 15'!$A$134:$Q$185</definedName>
    <definedName name="_95PAGE_3" localSheetId="47">'July 16'!$A$134:$Q$185</definedName>
    <definedName name="_95PAGE_3" localSheetId="51">'July 17'!$A$135:$Q$187</definedName>
    <definedName name="_95PAGE_3" localSheetId="40">'Oct 14'!$A$134:$Q$185</definedName>
    <definedName name="_95PAGE_3" localSheetId="44">'Oct 15'!$A$134:$Q$185</definedName>
    <definedName name="_95PAGE_3" localSheetId="48">'Oct 16'!$A$134:$Q$185</definedName>
    <definedName name="_96PAGE_3" localSheetId="3">'July 05'!$A$129:$Q$178</definedName>
    <definedName name="_97PAGE_3" localSheetId="7">'July 06'!$A$131:$Q$180</definedName>
    <definedName name="_98PAGE_3" localSheetId="11">'July 07'!$A$132:$Q$181</definedName>
    <definedName name="_99PAGE_3" localSheetId="15">'July 08'!$A$133:$Q$182</definedName>
    <definedName name="_9PAGE_1" localSheetId="34">'April 13'!$A$1:$Q$65</definedName>
    <definedName name="_xlnm.Print_Area" localSheetId="2">'April 05'!$A$1:$R$254</definedName>
    <definedName name="_xlnm.Print_Area" localSheetId="6">'April 06'!$A$1:$R$262</definedName>
    <definedName name="_xlnm.Print_Area" localSheetId="10">'April 07'!$A$1:$R$263</definedName>
    <definedName name="_xlnm.Print_Area" localSheetId="14">'April 08'!$A$1:$R$265</definedName>
    <definedName name="_xlnm.Print_Area" localSheetId="18">'April 09'!$A$1:$R$267</definedName>
    <definedName name="_xlnm.Print_Area" localSheetId="22">'April 10'!$A$1:$R$268</definedName>
    <definedName name="_xlnm.Print_Area" localSheetId="26">'April 11'!$A$1:$R$278</definedName>
    <definedName name="_xlnm.Print_Area" localSheetId="30">'April 12'!$A$1:$R$278</definedName>
    <definedName name="_xlnm.Print_Area" localSheetId="34">'April 13'!$A$1:$R$279</definedName>
    <definedName name="_xlnm.Print_Area" localSheetId="38">'April 14'!$A$1:$Q$278</definedName>
    <definedName name="_xlnm.Print_Area" localSheetId="42">'April 15'!$A$1:$Q$278</definedName>
    <definedName name="_xlnm.Print_Area" localSheetId="46">'April 16'!$A$1:$Q$278</definedName>
    <definedName name="_xlnm.Print_Area" localSheetId="50">'April 17'!$A$1:$Q$277</definedName>
    <definedName name="_xlnm.Print_Area" localSheetId="1">'Jan 05'!$A$1:$R$226</definedName>
    <definedName name="_xlnm.Print_Area" localSheetId="5">'Jan 06'!$A$1:$R$262</definedName>
    <definedName name="_xlnm.Print_Area" localSheetId="9">'Jan 07'!$A$1:$R$263</definedName>
    <definedName name="_xlnm.Print_Area" localSheetId="13">'Jan 08'!$A$1:$R$265</definedName>
    <definedName name="_xlnm.Print_Area" localSheetId="17">'Jan 09'!$A$1:$R$267</definedName>
    <definedName name="_xlnm.Print_Area" localSheetId="21">'Jan 10'!$A$1:$R$268</definedName>
    <definedName name="_xlnm.Print_Area" localSheetId="25">'Jan 11'!$A$1:$R$278</definedName>
    <definedName name="_xlnm.Print_Area" localSheetId="29">'Jan 12'!$A$1:$R$278</definedName>
    <definedName name="_xlnm.Print_Area" localSheetId="33">'Jan 13'!$A$1:$R$279</definedName>
    <definedName name="_xlnm.Print_Area" localSheetId="37">'Jan 14'!$A$1:$R$279</definedName>
    <definedName name="_xlnm.Print_Area" localSheetId="41">'Jan 15'!$A$1:$Q$278</definedName>
    <definedName name="_xlnm.Print_Area" localSheetId="45">'Jan 16'!$A$1:$Q$278</definedName>
    <definedName name="_xlnm.Print_Area" localSheetId="49">'Jan 17'!$A$1:$Q$277</definedName>
    <definedName name="_xlnm.Print_Area" localSheetId="3">'July 05'!$A$1:$R$257</definedName>
    <definedName name="_xlnm.Print_Area" localSheetId="7">'July 06'!$A$1:$R$262</definedName>
    <definedName name="_xlnm.Print_Area" localSheetId="11">'July 07'!$A$1:$R$264</definedName>
    <definedName name="_xlnm.Print_Area" localSheetId="15">'July 08'!$A$1:$R$265</definedName>
    <definedName name="_xlnm.Print_Area" localSheetId="19">'July 09'!$A$1:$R$267</definedName>
    <definedName name="_xlnm.Print_Area" localSheetId="23">'July 10'!$A$1:$R$278</definedName>
    <definedName name="_xlnm.Print_Area" localSheetId="27">'July 11'!$A$1:$R$278</definedName>
    <definedName name="_xlnm.Print_Area" localSheetId="31">'July 12'!$A$1:$R$278</definedName>
    <definedName name="_xlnm.Print_Area" localSheetId="35">'July 13'!$A$1:$R$279</definedName>
    <definedName name="_xlnm.Print_Area" localSheetId="39">'July 14'!$A$1:$Q$278</definedName>
    <definedName name="_xlnm.Print_Area" localSheetId="43">'July 15'!$A$1:$Q$278</definedName>
    <definedName name="_xlnm.Print_Area" localSheetId="47">'July 16'!$A$1:$Q$278</definedName>
    <definedName name="_xlnm.Print_Area" localSheetId="51">'July 17'!$A$1:$Q$279</definedName>
    <definedName name="_xlnm.Print_Area" localSheetId="0">'Oct 04'!$A$1:$R$226</definedName>
    <definedName name="_xlnm.Print_Area" localSheetId="4">'Oct 05'!$A$1:$R$257</definedName>
    <definedName name="_xlnm.Print_Area" localSheetId="8">'Oct 06'!$A$1:$R$262</definedName>
    <definedName name="_xlnm.Print_Area" localSheetId="12">'Oct 07'!$A$1:$R$264</definedName>
    <definedName name="_xlnm.Print_Area" localSheetId="16">'Oct 08'!$A$1:$R$265</definedName>
    <definedName name="_xlnm.Print_Area" localSheetId="20">'Oct 09'!$A$1:$R$268</definedName>
    <definedName name="_xlnm.Print_Area" localSheetId="24">'Oct 10'!$A$1:$R$278</definedName>
    <definedName name="_xlnm.Print_Area" localSheetId="28">'Oct 11'!$A$1:$R$278</definedName>
    <definedName name="_xlnm.Print_Area" localSheetId="32">'Oct 12'!$A$1:$R$278</definedName>
    <definedName name="_xlnm.Print_Area" localSheetId="36">'Oct 13'!$A$1:$R$279</definedName>
    <definedName name="_xlnm.Print_Area" localSheetId="40">'Oct 14'!$A$1:$Q$278</definedName>
    <definedName name="_xlnm.Print_Area" localSheetId="44">'Oct 15'!$A$1:$Q$278</definedName>
    <definedName name="_xlnm.Print_Area" localSheetId="48">'Oct 16'!$A$1:$Q$278</definedName>
    <definedName name="_xlnm.Print_Area">'Oct 04'!$A$1:$Q$64</definedName>
  </definedNames>
  <calcPr calcId="171027"/>
</workbook>
</file>

<file path=xl/calcChain.xml><?xml version="1.0" encoding="utf-8"?>
<calcChain xmlns="http://schemas.openxmlformats.org/spreadsheetml/2006/main">
  <c r="P98" i="52" l="1"/>
  <c r="P107" i="52" l="1"/>
  <c r="P92" i="52"/>
  <c r="N91" i="52"/>
  <c r="P38" i="52"/>
  <c r="F46" i="52" l="1"/>
  <c r="P99" i="52" l="1"/>
  <c r="N173" i="52" l="1"/>
  <c r="M173" i="52"/>
  <c r="M175" i="52" s="1"/>
  <c r="O268" i="52"/>
  <c r="N268" i="52"/>
  <c r="M268" i="52"/>
  <c r="L268" i="52"/>
  <c r="N257" i="52"/>
  <c r="L257" i="52"/>
  <c r="N246" i="52"/>
  <c r="L246" i="52"/>
  <c r="L270" i="52" s="1"/>
  <c r="N234" i="52"/>
  <c r="L234" i="52"/>
  <c r="N233" i="52"/>
  <c r="L233" i="52"/>
  <c r="N232" i="52"/>
  <c r="L232" i="52"/>
  <c r="N231" i="52"/>
  <c r="L231" i="52"/>
  <c r="N230" i="52"/>
  <c r="L230" i="52"/>
  <c r="N229" i="52"/>
  <c r="L229" i="52"/>
  <c r="N228" i="52"/>
  <c r="L228" i="52"/>
  <c r="N227" i="52"/>
  <c r="L227" i="52"/>
  <c r="M210" i="52"/>
  <c r="N192" i="52"/>
  <c r="N174" i="52"/>
  <c r="P159" i="52"/>
  <c r="P157" i="52"/>
  <c r="P158" i="52" s="1"/>
  <c r="P160" i="52" s="1"/>
  <c r="P147" i="52"/>
  <c r="B134" i="52"/>
  <c r="B187" i="52" s="1"/>
  <c r="B279" i="52" s="1"/>
  <c r="N124" i="52"/>
  <c r="N130" i="52" s="1"/>
  <c r="N116" i="52"/>
  <c r="A116" i="52"/>
  <c r="A117" i="52" s="1"/>
  <c r="A118" i="52" s="1"/>
  <c r="A119" i="52" s="1"/>
  <c r="A120" i="52" s="1"/>
  <c r="A121" i="52" s="1"/>
  <c r="A107" i="52"/>
  <c r="A106" i="52"/>
  <c r="N101" i="52"/>
  <c r="P100" i="52"/>
  <c r="P103" i="52"/>
  <c r="P121" i="52" s="1"/>
  <c r="N99" i="52"/>
  <c r="N103" i="52" s="1"/>
  <c r="H89" i="52"/>
  <c r="P83" i="52"/>
  <c r="P82" i="52"/>
  <c r="N72" i="52"/>
  <c r="L72" i="52"/>
  <c r="L86" i="52" s="1"/>
  <c r="J72" i="52"/>
  <c r="J86" i="52" s="1"/>
  <c r="H72" i="52"/>
  <c r="H86" i="52" s="1"/>
  <c r="F72" i="52"/>
  <c r="F86" i="52" s="1"/>
  <c r="P70" i="52"/>
  <c r="P69" i="52"/>
  <c r="P72" i="52" s="1"/>
  <c r="N204" i="52"/>
  <c r="L59" i="52"/>
  <c r="L58" i="52"/>
  <c r="P52" i="52"/>
  <c r="F45" i="52"/>
  <c r="L38" i="52"/>
  <c r="J38" i="52"/>
  <c r="L37" i="52"/>
  <c r="J37" i="52"/>
  <c r="P36" i="52"/>
  <c r="P138" i="52" s="1"/>
  <c r="L35" i="52"/>
  <c r="J35" i="52"/>
  <c r="H35" i="52"/>
  <c r="H38" i="52" s="1"/>
  <c r="F35" i="52"/>
  <c r="F38" i="52" s="1"/>
  <c r="D35" i="52"/>
  <c r="D38" i="52" s="1"/>
  <c r="L34" i="52"/>
  <c r="J34" i="52"/>
  <c r="H34" i="52"/>
  <c r="H37" i="52" s="1"/>
  <c r="F34" i="52"/>
  <c r="F37" i="52" s="1"/>
  <c r="D34" i="52"/>
  <c r="D37" i="52" s="1"/>
  <c r="N131" i="52" l="1"/>
  <c r="P85" i="52" s="1"/>
  <c r="P167" i="52" s="1"/>
  <c r="P168" i="52"/>
  <c r="P37" i="52"/>
  <c r="P45" i="52" s="1"/>
  <c r="N195" i="52" s="1"/>
  <c r="N175" i="52"/>
  <c r="P173" i="52"/>
  <c r="N270" i="52"/>
  <c r="M209" i="52"/>
  <c r="P130" i="52"/>
  <c r="P131" i="52" s="1"/>
  <c r="P54" i="52"/>
  <c r="P166" i="52"/>
  <c r="M176" i="52"/>
  <c r="P175" i="52"/>
  <c r="N214" i="52"/>
  <c r="N215" i="52" s="1"/>
  <c r="L235" i="52"/>
  <c r="N235" i="52"/>
  <c r="P174" i="52"/>
  <c r="N209" i="52"/>
  <c r="N210" i="52"/>
  <c r="P106" i="51"/>
  <c r="P92" i="51"/>
  <c r="N91" i="51"/>
  <c r="J69" i="51"/>
  <c r="F46" i="51"/>
  <c r="P86" i="52" l="1"/>
  <c r="M246" i="52"/>
  <c r="M257" i="52"/>
  <c r="O246" i="52"/>
  <c r="O257" i="52"/>
  <c r="N171" i="51"/>
  <c r="M171" i="51"/>
  <c r="O266" i="51"/>
  <c r="N266" i="51"/>
  <c r="M266" i="51"/>
  <c r="L266" i="51"/>
  <c r="N255" i="51"/>
  <c r="L255" i="51"/>
  <c r="O254" i="51"/>
  <c r="M254" i="51"/>
  <c r="O253" i="51"/>
  <c r="M253" i="51"/>
  <c r="O252" i="51"/>
  <c r="M252" i="51"/>
  <c r="O251" i="51"/>
  <c r="M251" i="51"/>
  <c r="O250" i="51"/>
  <c r="M250" i="51"/>
  <c r="O249" i="51"/>
  <c r="M249" i="51"/>
  <c r="O248" i="51"/>
  <c r="M248" i="51"/>
  <c r="O247" i="51"/>
  <c r="M247" i="51"/>
  <c r="M255" i="51" s="1"/>
  <c r="N244" i="51"/>
  <c r="L244" i="51"/>
  <c r="L268" i="51" s="1"/>
  <c r="O243" i="51"/>
  <c r="M243" i="51"/>
  <c r="O242" i="51"/>
  <c r="M242" i="51"/>
  <c r="O241" i="51"/>
  <c r="M241" i="51"/>
  <c r="O240" i="51"/>
  <c r="M240" i="51"/>
  <c r="O239" i="51"/>
  <c r="M239" i="51"/>
  <c r="O238" i="51"/>
  <c r="M238" i="51"/>
  <c r="O237" i="51"/>
  <c r="M237" i="51"/>
  <c r="O236" i="51"/>
  <c r="M236" i="51"/>
  <c r="M244" i="51" s="1"/>
  <c r="N232" i="51"/>
  <c r="L232" i="51"/>
  <c r="N231" i="51"/>
  <c r="L231" i="51"/>
  <c r="N230" i="51"/>
  <c r="L230" i="51"/>
  <c r="N229" i="51"/>
  <c r="L229" i="51"/>
  <c r="N228" i="51"/>
  <c r="L228" i="51"/>
  <c r="N227" i="51"/>
  <c r="L227" i="51"/>
  <c r="N226" i="51"/>
  <c r="L226" i="51"/>
  <c r="N225" i="51"/>
  <c r="L225" i="51"/>
  <c r="N208" i="51"/>
  <c r="M208" i="51"/>
  <c r="N207" i="51"/>
  <c r="M207" i="51"/>
  <c r="N190" i="51"/>
  <c r="N172" i="51"/>
  <c r="M173" i="51"/>
  <c r="P157" i="51"/>
  <c r="P155" i="51"/>
  <c r="N212" i="51" s="1"/>
  <c r="N213" i="51" s="1"/>
  <c r="P145" i="51"/>
  <c r="B133" i="51"/>
  <c r="B185" i="51" s="1"/>
  <c r="B277" i="51" s="1"/>
  <c r="N123" i="51"/>
  <c r="N129" i="51" s="1"/>
  <c r="N115" i="51"/>
  <c r="A115" i="51"/>
  <c r="A116" i="51" s="1"/>
  <c r="A117" i="51" s="1"/>
  <c r="A118" i="51" s="1"/>
  <c r="A119" i="51" s="1"/>
  <c r="A120" i="51" s="1"/>
  <c r="A105" i="51"/>
  <c r="A106" i="51" s="1"/>
  <c r="N100" i="51"/>
  <c r="P99" i="51"/>
  <c r="P98" i="51"/>
  <c r="P102" i="51" s="1"/>
  <c r="N98" i="51"/>
  <c r="N102" i="51" s="1"/>
  <c r="H89" i="51"/>
  <c r="P83" i="51"/>
  <c r="P82" i="51"/>
  <c r="N72" i="51"/>
  <c r="L72" i="51"/>
  <c r="L86" i="51" s="1"/>
  <c r="H72" i="51"/>
  <c r="H86" i="51" s="1"/>
  <c r="F72" i="51"/>
  <c r="F86" i="51" s="1"/>
  <c r="P70" i="51"/>
  <c r="N202" i="51"/>
  <c r="L59" i="51"/>
  <c r="L58" i="51"/>
  <c r="P52" i="51"/>
  <c r="F45" i="51"/>
  <c r="L38" i="51"/>
  <c r="J38" i="51"/>
  <c r="L37" i="51"/>
  <c r="J37" i="51"/>
  <c r="P36" i="51"/>
  <c r="P137" i="51" s="1"/>
  <c r="L35" i="51"/>
  <c r="J35" i="51"/>
  <c r="H35" i="51"/>
  <c r="H38" i="51" s="1"/>
  <c r="F35" i="51"/>
  <c r="F38" i="51" s="1"/>
  <c r="D35" i="51"/>
  <c r="D38" i="51" s="1"/>
  <c r="L34" i="51"/>
  <c r="J34" i="51"/>
  <c r="H34" i="51"/>
  <c r="H37" i="51" s="1"/>
  <c r="F34" i="51"/>
  <c r="F37" i="51" s="1"/>
  <c r="D34" i="51"/>
  <c r="D37" i="51" s="1"/>
  <c r="M235" i="52" l="1"/>
  <c r="O235" i="52"/>
  <c r="N130" i="51"/>
  <c r="P85" i="51" s="1"/>
  <c r="P165" i="51" s="1"/>
  <c r="P37" i="51"/>
  <c r="P45" i="51" s="1"/>
  <c r="N192" i="51" s="1"/>
  <c r="N193" i="51" s="1"/>
  <c r="O255" i="51"/>
  <c r="N233" i="51"/>
  <c r="O226" i="51" s="1"/>
  <c r="O244" i="51"/>
  <c r="N268" i="51"/>
  <c r="L233" i="51"/>
  <c r="M227" i="51" s="1"/>
  <c r="N173" i="51"/>
  <c r="M174" i="51" s="1"/>
  <c r="P53" i="51"/>
  <c r="P38" i="51"/>
  <c r="P166" i="51" s="1"/>
  <c r="N194" i="51"/>
  <c r="P178" i="51"/>
  <c r="P120" i="51"/>
  <c r="P129" i="51" s="1"/>
  <c r="P130" i="51" s="1"/>
  <c r="P180" i="51"/>
  <c r="P173" i="51"/>
  <c r="M226" i="51"/>
  <c r="O228" i="51"/>
  <c r="O230" i="51"/>
  <c r="O231" i="51"/>
  <c r="O232" i="51"/>
  <c r="P54" i="51"/>
  <c r="P69" i="51"/>
  <c r="P72" i="51" s="1"/>
  <c r="J72" i="51"/>
  <c r="J86" i="51" s="1"/>
  <c r="P171" i="51"/>
  <c r="P172" i="51"/>
  <c r="O225" i="51"/>
  <c r="P156" i="51"/>
  <c r="P158" i="51" s="1"/>
  <c r="P37" i="50"/>
  <c r="O229" i="51" l="1"/>
  <c r="M225" i="51"/>
  <c r="M232" i="51"/>
  <c r="O227" i="51"/>
  <c r="M231" i="51"/>
  <c r="M230" i="51"/>
  <c r="M229" i="51"/>
  <c r="M228" i="51"/>
  <c r="P164" i="51"/>
  <c r="P86" i="51"/>
  <c r="P45" i="50"/>
  <c r="O233" i="51" l="1"/>
  <c r="M233" i="51"/>
  <c r="P106" i="50"/>
  <c r="P92" i="50"/>
  <c r="N172" i="50"/>
  <c r="N91" i="50"/>
  <c r="J69" i="50"/>
  <c r="F46" i="50"/>
  <c r="P159" i="50" l="1"/>
  <c r="N171" i="50" l="1"/>
  <c r="M171" i="50"/>
  <c r="O266" i="50"/>
  <c r="N266" i="50"/>
  <c r="M266" i="50"/>
  <c r="L266" i="50"/>
  <c r="N255" i="50"/>
  <c r="O254" i="50" s="1"/>
  <c r="L255" i="50"/>
  <c r="M254" i="50" s="1"/>
  <c r="O253" i="50"/>
  <c r="M253" i="50"/>
  <c r="O251" i="50"/>
  <c r="M250" i="50"/>
  <c r="O249" i="50"/>
  <c r="M249" i="50"/>
  <c r="O247" i="50"/>
  <c r="N244" i="50"/>
  <c r="L244" i="50"/>
  <c r="O243" i="50"/>
  <c r="M243" i="50"/>
  <c r="O242" i="50"/>
  <c r="M242" i="50"/>
  <c r="O241" i="50"/>
  <c r="M241" i="50"/>
  <c r="O240" i="50"/>
  <c r="M240" i="50"/>
  <c r="O239" i="50"/>
  <c r="M239" i="50"/>
  <c r="O238" i="50"/>
  <c r="M238" i="50"/>
  <c r="O237" i="50"/>
  <c r="M237" i="50"/>
  <c r="O236" i="50"/>
  <c r="M236" i="50"/>
  <c r="M244" i="50" s="1"/>
  <c r="N232" i="50"/>
  <c r="L232" i="50"/>
  <c r="N231" i="50"/>
  <c r="L231" i="50"/>
  <c r="N230" i="50"/>
  <c r="L230" i="50"/>
  <c r="N229" i="50"/>
  <c r="L229" i="50"/>
  <c r="N228" i="50"/>
  <c r="L228" i="50"/>
  <c r="N227" i="50"/>
  <c r="L227" i="50"/>
  <c r="N226" i="50"/>
  <c r="L226" i="50"/>
  <c r="N225" i="50"/>
  <c r="L225" i="50"/>
  <c r="N208" i="50"/>
  <c r="M208" i="50"/>
  <c r="M207" i="50"/>
  <c r="N190" i="50"/>
  <c r="N173" i="50"/>
  <c r="M173" i="50"/>
  <c r="P157" i="50"/>
  <c r="P155" i="50"/>
  <c r="N212" i="50" s="1"/>
  <c r="N213" i="50" s="1"/>
  <c r="P145" i="50"/>
  <c r="B133" i="50"/>
  <c r="B185" i="50" s="1"/>
  <c r="B277" i="50" s="1"/>
  <c r="N123" i="50"/>
  <c r="N129" i="50" s="1"/>
  <c r="N115" i="50"/>
  <c r="A115" i="50"/>
  <c r="A116" i="50" s="1"/>
  <c r="A117" i="50" s="1"/>
  <c r="A118" i="50" s="1"/>
  <c r="A119" i="50" s="1"/>
  <c r="A120" i="50" s="1"/>
  <c r="A105" i="50"/>
  <c r="A106" i="50" s="1"/>
  <c r="N100" i="50"/>
  <c r="P99" i="50"/>
  <c r="P98" i="50"/>
  <c r="N98" i="50"/>
  <c r="N102" i="50" s="1"/>
  <c r="H89" i="50"/>
  <c r="F86" i="50"/>
  <c r="P83" i="50"/>
  <c r="P82" i="50"/>
  <c r="N72" i="50"/>
  <c r="H72" i="50"/>
  <c r="H86" i="50" s="1"/>
  <c r="F72" i="50"/>
  <c r="P70" i="50"/>
  <c r="L72" i="50"/>
  <c r="L86" i="50" s="1"/>
  <c r="J72" i="50"/>
  <c r="J86" i="50" s="1"/>
  <c r="L59" i="50"/>
  <c r="L58" i="50"/>
  <c r="P52" i="50"/>
  <c r="F45" i="50"/>
  <c r="L38" i="50"/>
  <c r="J38" i="50"/>
  <c r="L37" i="50"/>
  <c r="J37" i="50"/>
  <c r="F37" i="50"/>
  <c r="P36" i="50"/>
  <c r="P137" i="50" s="1"/>
  <c r="L35" i="50"/>
  <c r="J35" i="50"/>
  <c r="H35" i="50"/>
  <c r="H38" i="50" s="1"/>
  <c r="F35" i="50"/>
  <c r="F38" i="50" s="1"/>
  <c r="D35" i="50"/>
  <c r="D38" i="50" s="1"/>
  <c r="L34" i="50"/>
  <c r="J34" i="50"/>
  <c r="H34" i="50"/>
  <c r="H37" i="50" s="1"/>
  <c r="F34" i="50"/>
  <c r="D34" i="50"/>
  <c r="D37" i="50" s="1"/>
  <c r="L268" i="50" l="1"/>
  <c r="M247" i="50"/>
  <c r="M248" i="50"/>
  <c r="M251" i="50"/>
  <c r="M252" i="50"/>
  <c r="L233" i="50"/>
  <c r="M226" i="50" s="1"/>
  <c r="N192" i="50"/>
  <c r="N193" i="50" s="1"/>
  <c r="P102" i="50"/>
  <c r="N194" i="50" s="1"/>
  <c r="N207" i="50"/>
  <c r="N233" i="50"/>
  <c r="O227" i="50" s="1"/>
  <c r="O244" i="50"/>
  <c r="O248" i="50"/>
  <c r="O250" i="50"/>
  <c r="O252" i="50"/>
  <c r="N130" i="50"/>
  <c r="P85" i="50" s="1"/>
  <c r="P165" i="50" s="1"/>
  <c r="P38" i="50"/>
  <c r="P166" i="50" s="1"/>
  <c r="N268" i="50"/>
  <c r="P173" i="50"/>
  <c r="M174" i="50"/>
  <c r="M230" i="50"/>
  <c r="M232" i="50"/>
  <c r="P53" i="50"/>
  <c r="O226" i="50"/>
  <c r="O228" i="50"/>
  <c r="O230" i="50"/>
  <c r="O232" i="50"/>
  <c r="P54" i="50"/>
  <c r="P156" i="50"/>
  <c r="P158" i="50" s="1"/>
  <c r="P171" i="50"/>
  <c r="P172" i="50"/>
  <c r="N202" i="50"/>
  <c r="M225" i="50"/>
  <c r="P69" i="50"/>
  <c r="P72" i="50" s="1"/>
  <c r="N130" i="49"/>
  <c r="P38" i="49"/>
  <c r="N91" i="49"/>
  <c r="J69" i="49"/>
  <c r="P120" i="50" l="1"/>
  <c r="P129" i="50" s="1"/>
  <c r="P130" i="50" s="1"/>
  <c r="P180" i="50"/>
  <c r="P178" i="50"/>
  <c r="O225" i="50"/>
  <c r="O233" i="50" s="1"/>
  <c r="O231" i="50"/>
  <c r="O229" i="50"/>
  <c r="O255" i="50"/>
  <c r="M255" i="50"/>
  <c r="M231" i="50"/>
  <c r="M229" i="50"/>
  <c r="M228" i="50"/>
  <c r="M227" i="50"/>
  <c r="P164" i="50"/>
  <c r="P86" i="50"/>
  <c r="P120" i="49"/>
  <c r="P45" i="49"/>
  <c r="M233" i="50" l="1"/>
  <c r="P106" i="49"/>
  <c r="P92" i="49"/>
  <c r="L69" i="49"/>
  <c r="F46" i="49"/>
  <c r="O266" i="49" l="1"/>
  <c r="N266" i="49"/>
  <c r="N208" i="49" s="1"/>
  <c r="M266" i="49"/>
  <c r="L266" i="49"/>
  <c r="N255" i="49"/>
  <c r="O254" i="49" s="1"/>
  <c r="L255" i="49"/>
  <c r="M254" i="49"/>
  <c r="M253" i="49"/>
  <c r="M252" i="49"/>
  <c r="M251" i="49"/>
  <c r="M250" i="49"/>
  <c r="M249" i="49"/>
  <c r="M248" i="49"/>
  <c r="M247" i="49"/>
  <c r="M255" i="49" s="1"/>
  <c r="N244" i="49"/>
  <c r="O243" i="49" s="1"/>
  <c r="L244" i="49"/>
  <c r="L268" i="49" s="1"/>
  <c r="M239" i="49"/>
  <c r="M237" i="49"/>
  <c r="M236" i="49"/>
  <c r="N232" i="49"/>
  <c r="L232" i="49"/>
  <c r="N231" i="49"/>
  <c r="L231" i="49"/>
  <c r="N230" i="49"/>
  <c r="L230" i="49"/>
  <c r="N229" i="49"/>
  <c r="L229" i="49"/>
  <c r="N228" i="49"/>
  <c r="L228" i="49"/>
  <c r="N227" i="49"/>
  <c r="L227" i="49"/>
  <c r="N226" i="49"/>
  <c r="L226" i="49"/>
  <c r="N225" i="49"/>
  <c r="N233" i="49" s="1"/>
  <c r="L225" i="49"/>
  <c r="L233" i="49" s="1"/>
  <c r="M208" i="49"/>
  <c r="N207" i="49"/>
  <c r="M207" i="49"/>
  <c r="N190" i="49"/>
  <c r="P172" i="49"/>
  <c r="N172" i="49"/>
  <c r="P157" i="49"/>
  <c r="P156" i="49"/>
  <c r="P158" i="49" s="1"/>
  <c r="P155" i="49"/>
  <c r="N212" i="49" s="1"/>
  <c r="P145" i="49"/>
  <c r="B133" i="49"/>
  <c r="B185" i="49" s="1"/>
  <c r="B278" i="49" s="1"/>
  <c r="N123" i="49"/>
  <c r="N129" i="49" s="1"/>
  <c r="N115" i="49"/>
  <c r="A115" i="49"/>
  <c r="A116" i="49" s="1"/>
  <c r="A117" i="49" s="1"/>
  <c r="A118" i="49" s="1"/>
  <c r="A119" i="49" s="1"/>
  <c r="A120" i="49" s="1"/>
  <c r="A105" i="49"/>
  <c r="A106" i="49" s="1"/>
  <c r="N100" i="49"/>
  <c r="P99" i="49"/>
  <c r="N98" i="49"/>
  <c r="N102" i="49" s="1"/>
  <c r="P98" i="49"/>
  <c r="P102" i="49" s="1"/>
  <c r="H89" i="49"/>
  <c r="P83" i="49"/>
  <c r="P82" i="49"/>
  <c r="N72" i="49"/>
  <c r="L72" i="49"/>
  <c r="L86" i="49" s="1"/>
  <c r="H72" i="49"/>
  <c r="H86" i="49" s="1"/>
  <c r="F72" i="49"/>
  <c r="F86" i="49" s="1"/>
  <c r="P70" i="49"/>
  <c r="N202" i="49"/>
  <c r="L59" i="49"/>
  <c r="L58" i="49"/>
  <c r="P52" i="49"/>
  <c r="F45" i="49"/>
  <c r="L38" i="49"/>
  <c r="J38" i="49"/>
  <c r="L37" i="49"/>
  <c r="J37" i="49"/>
  <c r="P36" i="49"/>
  <c r="P137" i="49" s="1"/>
  <c r="L35" i="49"/>
  <c r="J35" i="49"/>
  <c r="H35" i="49"/>
  <c r="H38" i="49" s="1"/>
  <c r="F35" i="49"/>
  <c r="F38" i="49" s="1"/>
  <c r="D35" i="49"/>
  <c r="D38" i="49" s="1"/>
  <c r="L34" i="49"/>
  <c r="J34" i="49"/>
  <c r="H34" i="49"/>
  <c r="H37" i="49" s="1"/>
  <c r="F34" i="49"/>
  <c r="F37" i="49" s="1"/>
  <c r="D34" i="49"/>
  <c r="D37" i="49" s="1"/>
  <c r="O247" i="49" l="1"/>
  <c r="O248" i="49"/>
  <c r="O250" i="49"/>
  <c r="O249" i="49"/>
  <c r="O251" i="49"/>
  <c r="O253" i="49"/>
  <c r="O252" i="49"/>
  <c r="P85" i="49"/>
  <c r="P165" i="49" s="1"/>
  <c r="M238" i="49"/>
  <c r="M240" i="49"/>
  <c r="M241" i="49"/>
  <c r="M242" i="49"/>
  <c r="M243" i="49"/>
  <c r="M244" i="49" s="1"/>
  <c r="N268" i="49"/>
  <c r="P69" i="49"/>
  <c r="P72" i="49" s="1"/>
  <c r="P164" i="49" s="1"/>
  <c r="J72" i="49"/>
  <c r="J86" i="49" s="1"/>
  <c r="O236" i="49"/>
  <c r="O237" i="49"/>
  <c r="O238" i="49"/>
  <c r="O239" i="49"/>
  <c r="O240" i="49"/>
  <c r="O241" i="49"/>
  <c r="O242" i="49"/>
  <c r="P37" i="49"/>
  <c r="N192" i="49" s="1"/>
  <c r="N193" i="49" s="1"/>
  <c r="P53" i="49"/>
  <c r="P166" i="49"/>
  <c r="N194" i="49"/>
  <c r="P178" i="49"/>
  <c r="P180" i="49"/>
  <c r="P129" i="49"/>
  <c r="P130" i="49" s="1"/>
  <c r="O232" i="49"/>
  <c r="O231" i="49"/>
  <c r="O230" i="49"/>
  <c r="O229" i="49"/>
  <c r="O228" i="49"/>
  <c r="O227" i="49"/>
  <c r="O226" i="49"/>
  <c r="O225" i="49"/>
  <c r="M232" i="49"/>
  <c r="M231" i="49"/>
  <c r="M230" i="49"/>
  <c r="M229" i="49"/>
  <c r="M228" i="49"/>
  <c r="M227" i="49"/>
  <c r="M226" i="49"/>
  <c r="M225" i="49"/>
  <c r="P54" i="49"/>
  <c r="O255" i="49" l="1"/>
  <c r="P86" i="49"/>
  <c r="M233" i="49"/>
  <c r="O233" i="49"/>
  <c r="O244" i="49"/>
  <c r="P106" i="48" l="1"/>
  <c r="P93" i="48"/>
  <c r="P92" i="48"/>
  <c r="N91" i="48"/>
  <c r="J69" i="48"/>
  <c r="F46" i="48"/>
  <c r="O266" i="48" l="1"/>
  <c r="N266" i="48"/>
  <c r="M266" i="48"/>
  <c r="L266" i="48"/>
  <c r="M208" i="48" s="1"/>
  <c r="N255" i="48"/>
  <c r="O254" i="48" s="1"/>
  <c r="L255" i="48"/>
  <c r="M254" i="48" s="1"/>
  <c r="O248" i="48"/>
  <c r="N244" i="48"/>
  <c r="O243" i="48" s="1"/>
  <c r="L244" i="48"/>
  <c r="O238" i="48"/>
  <c r="O236" i="48"/>
  <c r="N232" i="48"/>
  <c r="L232" i="48"/>
  <c r="N231" i="48"/>
  <c r="L231" i="48"/>
  <c r="N230" i="48"/>
  <c r="L230" i="48"/>
  <c r="N229" i="48"/>
  <c r="L229" i="48"/>
  <c r="N228" i="48"/>
  <c r="L228" i="48"/>
  <c r="N227" i="48"/>
  <c r="L227" i="48"/>
  <c r="N226" i="48"/>
  <c r="L226" i="48"/>
  <c r="N225" i="48"/>
  <c r="N233" i="48" s="1"/>
  <c r="L225" i="48"/>
  <c r="L233" i="48" s="1"/>
  <c r="N208" i="48"/>
  <c r="N207" i="48"/>
  <c r="N190" i="48"/>
  <c r="N172" i="48"/>
  <c r="P157" i="48"/>
  <c r="P155" i="48"/>
  <c r="N212" i="48" s="1"/>
  <c r="P145" i="48"/>
  <c r="B133" i="48"/>
  <c r="B185" i="48" s="1"/>
  <c r="B278" i="48" s="1"/>
  <c r="N123" i="48"/>
  <c r="N129" i="48" s="1"/>
  <c r="N115" i="48"/>
  <c r="A115" i="48"/>
  <c r="A116" i="48" s="1"/>
  <c r="A117" i="48" s="1"/>
  <c r="A118" i="48" s="1"/>
  <c r="A119" i="48" s="1"/>
  <c r="A120" i="48" s="1"/>
  <c r="A105" i="48"/>
  <c r="A106" i="48" s="1"/>
  <c r="N100" i="48"/>
  <c r="P99" i="48"/>
  <c r="N98" i="48"/>
  <c r="N102" i="48" s="1"/>
  <c r="P98" i="48"/>
  <c r="P102" i="48" s="1"/>
  <c r="H89" i="48"/>
  <c r="P83" i="48"/>
  <c r="P82" i="48"/>
  <c r="N72" i="48"/>
  <c r="L72" i="48"/>
  <c r="L86" i="48" s="1"/>
  <c r="J72" i="48"/>
  <c r="J86" i="48" s="1"/>
  <c r="H72" i="48"/>
  <c r="H86" i="48" s="1"/>
  <c r="F72" i="48"/>
  <c r="F86" i="48" s="1"/>
  <c r="P70" i="48"/>
  <c r="P69" i="48"/>
  <c r="P72" i="48" s="1"/>
  <c r="N202" i="48"/>
  <c r="L59" i="48"/>
  <c r="L58" i="48"/>
  <c r="P52" i="48"/>
  <c r="F45" i="48"/>
  <c r="L38" i="48"/>
  <c r="J38" i="48"/>
  <c r="L37" i="48"/>
  <c r="J37" i="48"/>
  <c r="P36" i="48"/>
  <c r="P137" i="48" s="1"/>
  <c r="L35" i="48"/>
  <c r="J35" i="48"/>
  <c r="H35" i="48"/>
  <c r="H38" i="48" s="1"/>
  <c r="F35" i="48"/>
  <c r="F38" i="48" s="1"/>
  <c r="D35" i="48"/>
  <c r="D38" i="48" s="1"/>
  <c r="L34" i="48"/>
  <c r="J34" i="48"/>
  <c r="H34" i="48"/>
  <c r="H37" i="48" s="1"/>
  <c r="F34" i="48"/>
  <c r="F37" i="48" s="1"/>
  <c r="D34" i="48"/>
  <c r="D37" i="48" s="1"/>
  <c r="P37" i="48" s="1"/>
  <c r="P45" i="48" s="1"/>
  <c r="N130" i="48" l="1"/>
  <c r="O247" i="48"/>
  <c r="M251" i="48"/>
  <c r="M207" i="48"/>
  <c r="L268" i="48"/>
  <c r="M247" i="48"/>
  <c r="M248" i="48"/>
  <c r="M249" i="48"/>
  <c r="M253" i="48"/>
  <c r="M250" i="48"/>
  <c r="M252" i="48"/>
  <c r="O237" i="48"/>
  <c r="N268" i="48"/>
  <c r="M240" i="48"/>
  <c r="M242" i="48"/>
  <c r="M236" i="48"/>
  <c r="M237" i="48"/>
  <c r="M238" i="48"/>
  <c r="M239" i="48"/>
  <c r="M241" i="48"/>
  <c r="M243" i="48"/>
  <c r="P85" i="48"/>
  <c r="P165" i="48" s="1"/>
  <c r="P156" i="48"/>
  <c r="P158" i="48" s="1"/>
  <c r="N192" i="48"/>
  <c r="N193" i="48" s="1"/>
  <c r="P53" i="48"/>
  <c r="O226" i="48"/>
  <c r="O227" i="48"/>
  <c r="O228" i="48"/>
  <c r="O229" i="48"/>
  <c r="O230" i="48"/>
  <c r="O231" i="48"/>
  <c r="O232" i="48"/>
  <c r="P164" i="48"/>
  <c r="P86" i="48"/>
  <c r="P38" i="48"/>
  <c r="P166" i="48" s="1"/>
  <c r="N194" i="48"/>
  <c r="P178" i="48"/>
  <c r="P120" i="48"/>
  <c r="P129" i="48" s="1"/>
  <c r="P130" i="48" s="1"/>
  <c r="P180" i="48"/>
  <c r="M226" i="48"/>
  <c r="M227" i="48"/>
  <c r="M228" i="48"/>
  <c r="M229" i="48"/>
  <c r="M230" i="48"/>
  <c r="M231" i="48"/>
  <c r="M232" i="48"/>
  <c r="P54" i="48"/>
  <c r="P172" i="48"/>
  <c r="M225" i="48"/>
  <c r="O225" i="48"/>
  <c r="O239" i="48"/>
  <c r="O240" i="48"/>
  <c r="O241" i="48"/>
  <c r="O242" i="48"/>
  <c r="O249" i="48"/>
  <c r="O250" i="48"/>
  <c r="O251" i="48"/>
  <c r="O252" i="48"/>
  <c r="O253" i="48"/>
  <c r="N231" i="47"/>
  <c r="N232" i="47"/>
  <c r="O255" i="48" l="1"/>
  <c r="M255" i="48"/>
  <c r="O233" i="48"/>
  <c r="O244" i="48"/>
  <c r="M244" i="48"/>
  <c r="M233" i="48"/>
  <c r="N91" i="47" l="1"/>
  <c r="J69" i="47"/>
  <c r="P106" i="47" l="1"/>
  <c r="P93" i="47"/>
  <c r="P92" i="47"/>
  <c r="F46" i="47"/>
  <c r="O266" i="47" l="1"/>
  <c r="N266" i="47"/>
  <c r="M266" i="47"/>
  <c r="L266" i="47"/>
  <c r="M208" i="47" s="1"/>
  <c r="N255" i="47"/>
  <c r="O252" i="47" s="1"/>
  <c r="L255" i="47"/>
  <c r="M252" i="47" s="1"/>
  <c r="M253" i="47"/>
  <c r="M251" i="47"/>
  <c r="M249" i="47"/>
  <c r="M247" i="47"/>
  <c r="N244" i="47"/>
  <c r="L244" i="47"/>
  <c r="O243" i="47"/>
  <c r="M243" i="47"/>
  <c r="O242" i="47"/>
  <c r="M242" i="47"/>
  <c r="O241" i="47"/>
  <c r="M241" i="47"/>
  <c r="O240" i="47"/>
  <c r="M240" i="47"/>
  <c r="O239" i="47"/>
  <c r="M239" i="47"/>
  <c r="O238" i="47"/>
  <c r="M238" i="47"/>
  <c r="O237" i="47"/>
  <c r="M237" i="47"/>
  <c r="O236" i="47"/>
  <c r="O244" i="47" s="1"/>
  <c r="M236" i="47"/>
  <c r="M244" i="47" s="1"/>
  <c r="L232" i="47"/>
  <c r="L231" i="47"/>
  <c r="N230" i="47"/>
  <c r="L230" i="47"/>
  <c r="N229" i="47"/>
  <c r="L229" i="47"/>
  <c r="N228" i="47"/>
  <c r="L228" i="47"/>
  <c r="N227" i="47"/>
  <c r="L227" i="47"/>
  <c r="N226" i="47"/>
  <c r="L226" i="47"/>
  <c r="N225" i="47"/>
  <c r="L225" i="47"/>
  <c r="N208" i="47"/>
  <c r="M207" i="47"/>
  <c r="N190" i="47"/>
  <c r="N172" i="47"/>
  <c r="P159" i="47"/>
  <c r="P157" i="47"/>
  <c r="P155" i="47"/>
  <c r="N212" i="47" s="1"/>
  <c r="P145" i="47"/>
  <c r="B133" i="47"/>
  <c r="B185" i="47" s="1"/>
  <c r="B278" i="47" s="1"/>
  <c r="N123" i="47"/>
  <c r="N129" i="47" s="1"/>
  <c r="N115" i="47"/>
  <c r="A115" i="47"/>
  <c r="A116" i="47" s="1"/>
  <c r="A117" i="47" s="1"/>
  <c r="A118" i="47" s="1"/>
  <c r="A119" i="47" s="1"/>
  <c r="A120" i="47" s="1"/>
  <c r="A106" i="47"/>
  <c r="A105" i="47"/>
  <c r="N100" i="47"/>
  <c r="P99" i="47"/>
  <c r="P98" i="47"/>
  <c r="P102" i="47" s="1"/>
  <c r="N98" i="47"/>
  <c r="N102" i="47" s="1"/>
  <c r="H89" i="47"/>
  <c r="P83" i="47"/>
  <c r="P82" i="47"/>
  <c r="N72" i="47"/>
  <c r="L72" i="47"/>
  <c r="L86" i="47" s="1"/>
  <c r="H72" i="47"/>
  <c r="H86" i="47" s="1"/>
  <c r="F72" i="47"/>
  <c r="F86" i="47" s="1"/>
  <c r="P70" i="47"/>
  <c r="J72" i="47"/>
  <c r="J86" i="47" s="1"/>
  <c r="L59" i="47"/>
  <c r="L58" i="47"/>
  <c r="P52" i="47"/>
  <c r="F45" i="47"/>
  <c r="L38" i="47"/>
  <c r="J38" i="47"/>
  <c r="L37" i="47"/>
  <c r="J37" i="47"/>
  <c r="P36" i="47"/>
  <c r="P54" i="47" s="1"/>
  <c r="L35" i="47"/>
  <c r="J35" i="47"/>
  <c r="H35" i="47"/>
  <c r="H38" i="47" s="1"/>
  <c r="F35" i="47"/>
  <c r="F38" i="47" s="1"/>
  <c r="D35" i="47"/>
  <c r="D38" i="47" s="1"/>
  <c r="P38" i="47" s="1"/>
  <c r="L34" i="47"/>
  <c r="J34" i="47"/>
  <c r="H34" i="47"/>
  <c r="H37" i="47" s="1"/>
  <c r="F34" i="47"/>
  <c r="F37" i="47" s="1"/>
  <c r="D34" i="47"/>
  <c r="D37" i="47" s="1"/>
  <c r="P172" i="47" l="1"/>
  <c r="P37" i="47"/>
  <c r="P45" i="47" s="1"/>
  <c r="P137" i="47"/>
  <c r="O248" i="47"/>
  <c r="O253" i="47"/>
  <c r="N268" i="47"/>
  <c r="O251" i="47"/>
  <c r="O254" i="47"/>
  <c r="O247" i="47"/>
  <c r="O250" i="47"/>
  <c r="N207" i="47"/>
  <c r="O249" i="47"/>
  <c r="L233" i="47"/>
  <c r="M229" i="47" s="1"/>
  <c r="L268" i="47"/>
  <c r="M248" i="47"/>
  <c r="M250" i="47"/>
  <c r="M254" i="47"/>
  <c r="N130" i="47"/>
  <c r="P85" i="47" s="1"/>
  <c r="P165" i="47" s="1"/>
  <c r="N233" i="47"/>
  <c r="O232" i="47" s="1"/>
  <c r="P53" i="47"/>
  <c r="N194" i="47"/>
  <c r="P178" i="47"/>
  <c r="P120" i="47"/>
  <c r="P129" i="47" s="1"/>
  <c r="P130" i="47" s="1"/>
  <c r="P180" i="47"/>
  <c r="P166" i="47"/>
  <c r="N192" i="47"/>
  <c r="N193" i="47" s="1"/>
  <c r="M232" i="47"/>
  <c r="M231" i="47"/>
  <c r="M230" i="47"/>
  <c r="M228" i="47"/>
  <c r="M227" i="47"/>
  <c r="M226" i="47"/>
  <c r="M225" i="47"/>
  <c r="N202" i="47"/>
  <c r="P69" i="47"/>
  <c r="P72" i="47" s="1"/>
  <c r="P156" i="47"/>
  <c r="P158" i="47" s="1"/>
  <c r="M255" i="47" l="1"/>
  <c r="O225" i="47"/>
  <c r="O255" i="47"/>
  <c r="O229" i="47"/>
  <c r="M233" i="47"/>
  <c r="O227" i="47"/>
  <c r="O231" i="47"/>
  <c r="O226" i="47"/>
  <c r="O228" i="47"/>
  <c r="O230" i="47"/>
  <c r="P164" i="47"/>
  <c r="P86" i="47"/>
  <c r="O233" i="47" l="1"/>
  <c r="P159" i="46"/>
  <c r="P106" i="46"/>
  <c r="P93" i="46"/>
  <c r="P92" i="46"/>
  <c r="N91" i="46"/>
  <c r="J69" i="46"/>
  <c r="F46" i="46" l="1"/>
  <c r="O266" i="46" l="1"/>
  <c r="N266" i="46"/>
  <c r="M266" i="46"/>
  <c r="L266" i="46"/>
  <c r="N255" i="46"/>
  <c r="N207" i="46" s="1"/>
  <c r="L255" i="46"/>
  <c r="M207" i="46" s="1"/>
  <c r="O254" i="46"/>
  <c r="M254" i="46"/>
  <c r="O253" i="46"/>
  <c r="M253" i="46"/>
  <c r="O252" i="46"/>
  <c r="M252" i="46"/>
  <c r="O251" i="46"/>
  <c r="M251" i="46"/>
  <c r="O250" i="46"/>
  <c r="M250" i="46"/>
  <c r="O249" i="46"/>
  <c r="M249" i="46"/>
  <c r="O248" i="46"/>
  <c r="M248" i="46"/>
  <c r="O247" i="46"/>
  <c r="O255" i="46" s="1"/>
  <c r="M247" i="46"/>
  <c r="M255" i="46" s="1"/>
  <c r="N244" i="46"/>
  <c r="O243" i="46" s="1"/>
  <c r="L244" i="46"/>
  <c r="M243" i="46" s="1"/>
  <c r="M242" i="46"/>
  <c r="M240" i="46"/>
  <c r="M239" i="46"/>
  <c r="M238" i="46"/>
  <c r="M237" i="46"/>
  <c r="M236" i="46"/>
  <c r="N232" i="46"/>
  <c r="L232" i="46"/>
  <c r="N231" i="46"/>
  <c r="L231" i="46"/>
  <c r="N230" i="46"/>
  <c r="L230" i="46"/>
  <c r="N229" i="46"/>
  <c r="L229" i="46"/>
  <c r="N228" i="46"/>
  <c r="L228" i="46"/>
  <c r="N227" i="46"/>
  <c r="L227" i="46"/>
  <c r="N226" i="46"/>
  <c r="L226" i="46"/>
  <c r="N225" i="46"/>
  <c r="N233" i="46" s="1"/>
  <c r="L225" i="46"/>
  <c r="L233" i="46" s="1"/>
  <c r="N208" i="46"/>
  <c r="M208" i="46"/>
  <c r="N202" i="46"/>
  <c r="N190" i="46"/>
  <c r="N172" i="46"/>
  <c r="P172" i="46" s="1"/>
  <c r="P157" i="46"/>
  <c r="P156" i="46"/>
  <c r="P155" i="46"/>
  <c r="N212" i="46" s="1"/>
  <c r="P145" i="46"/>
  <c r="B133" i="46"/>
  <c r="B185" i="46" s="1"/>
  <c r="B278" i="46" s="1"/>
  <c r="N123" i="46"/>
  <c r="N129" i="46" s="1"/>
  <c r="N115" i="46"/>
  <c r="A115" i="46"/>
  <c r="A116" i="46" s="1"/>
  <c r="A117" i="46" s="1"/>
  <c r="A118" i="46" s="1"/>
  <c r="A119" i="46" s="1"/>
  <c r="A120" i="46" s="1"/>
  <c r="A105" i="46"/>
  <c r="A106" i="46" s="1"/>
  <c r="N100" i="46"/>
  <c r="P99" i="46"/>
  <c r="N98" i="46"/>
  <c r="N102" i="46" s="1"/>
  <c r="N130" i="46" s="1"/>
  <c r="P98" i="46"/>
  <c r="P102" i="46" s="1"/>
  <c r="H89" i="46"/>
  <c r="P83" i="46"/>
  <c r="P82" i="46"/>
  <c r="N72" i="46"/>
  <c r="L72" i="46"/>
  <c r="L86" i="46" s="1"/>
  <c r="J72" i="46"/>
  <c r="J86" i="46" s="1"/>
  <c r="H72" i="46"/>
  <c r="H86" i="46" s="1"/>
  <c r="F72" i="46"/>
  <c r="F86" i="46" s="1"/>
  <c r="P70" i="46"/>
  <c r="P69" i="46"/>
  <c r="P72" i="46" s="1"/>
  <c r="L59" i="46"/>
  <c r="L58" i="46"/>
  <c r="P52" i="46"/>
  <c r="F45" i="46"/>
  <c r="L38" i="46"/>
  <c r="J38" i="46"/>
  <c r="L37" i="46"/>
  <c r="J37" i="46"/>
  <c r="P36" i="46"/>
  <c r="P137" i="46" s="1"/>
  <c r="L35" i="46"/>
  <c r="J35" i="46"/>
  <c r="H35" i="46"/>
  <c r="H38" i="46" s="1"/>
  <c r="F35" i="46"/>
  <c r="F38" i="46" s="1"/>
  <c r="D35" i="46"/>
  <c r="D38" i="46" s="1"/>
  <c r="P38" i="46" s="1"/>
  <c r="L34" i="46"/>
  <c r="J34" i="46"/>
  <c r="H34" i="46"/>
  <c r="H37" i="46" s="1"/>
  <c r="F34" i="46"/>
  <c r="F37" i="46" s="1"/>
  <c r="D34" i="46"/>
  <c r="D37" i="46" s="1"/>
  <c r="M241" i="46" l="1"/>
  <c r="M244" i="46" s="1"/>
  <c r="L268" i="46"/>
  <c r="N268" i="46"/>
  <c r="O236" i="46"/>
  <c r="O237" i="46"/>
  <c r="O238" i="46"/>
  <c r="O239" i="46"/>
  <c r="O240" i="46"/>
  <c r="O241" i="46"/>
  <c r="O242" i="46"/>
  <c r="P85" i="46"/>
  <c r="P165" i="46" s="1"/>
  <c r="P158" i="46"/>
  <c r="P166" i="46"/>
  <c r="P37" i="46"/>
  <c r="P45" i="46" s="1"/>
  <c r="N192" i="46" s="1"/>
  <c r="N193" i="46" s="1"/>
  <c r="N194" i="46"/>
  <c r="P178" i="46"/>
  <c r="P180" i="46"/>
  <c r="P120" i="46"/>
  <c r="P129" i="46" s="1"/>
  <c r="P130" i="46" s="1"/>
  <c r="O232" i="46"/>
  <c r="O231" i="46"/>
  <c r="O230" i="46"/>
  <c r="O229" i="46"/>
  <c r="O228" i="46"/>
  <c r="O227" i="46"/>
  <c r="O226" i="46"/>
  <c r="O225" i="46"/>
  <c r="P53" i="46"/>
  <c r="P164" i="46"/>
  <c r="M232" i="46"/>
  <c r="M231" i="46"/>
  <c r="M230" i="46"/>
  <c r="M229" i="46"/>
  <c r="M228" i="46"/>
  <c r="M227" i="46"/>
  <c r="M226" i="46"/>
  <c r="M225" i="46"/>
  <c r="P54" i="46"/>
  <c r="P106" i="45"/>
  <c r="P93" i="45"/>
  <c r="P92" i="45"/>
  <c r="N91" i="45"/>
  <c r="J69" i="45"/>
  <c r="F46" i="45"/>
  <c r="P86" i="46" l="1"/>
  <c r="O233" i="46"/>
  <c r="O244" i="46"/>
  <c r="M233" i="46"/>
  <c r="O266" i="45"/>
  <c r="N266" i="45"/>
  <c r="M266" i="45"/>
  <c r="L266" i="45"/>
  <c r="N255" i="45"/>
  <c r="O252" i="45" s="1"/>
  <c r="L255" i="45"/>
  <c r="M254" i="45" s="1"/>
  <c r="M253" i="45"/>
  <c r="M247" i="45"/>
  <c r="N244" i="45"/>
  <c r="O242" i="45" s="1"/>
  <c r="L244" i="45"/>
  <c r="O240" i="45"/>
  <c r="N232" i="45"/>
  <c r="L232" i="45"/>
  <c r="N231" i="45"/>
  <c r="L231" i="45"/>
  <c r="N230" i="45"/>
  <c r="L230" i="45"/>
  <c r="N229" i="45"/>
  <c r="L229" i="45"/>
  <c r="N228" i="45"/>
  <c r="L228" i="45"/>
  <c r="N227" i="45"/>
  <c r="L227" i="45"/>
  <c r="N226" i="45"/>
  <c r="L226" i="45"/>
  <c r="N225" i="45"/>
  <c r="L225" i="45"/>
  <c r="N208" i="45"/>
  <c r="M208" i="45"/>
  <c r="N190" i="45"/>
  <c r="N172" i="45"/>
  <c r="P172" i="45" s="1"/>
  <c r="P157" i="45"/>
  <c r="P155" i="45"/>
  <c r="N212" i="45" s="1"/>
  <c r="P145" i="45"/>
  <c r="B133" i="45"/>
  <c r="B185" i="45" s="1"/>
  <c r="B278" i="45" s="1"/>
  <c r="N123" i="45"/>
  <c r="N129" i="45" s="1"/>
  <c r="N115" i="45"/>
  <c r="A115" i="45"/>
  <c r="A116" i="45" s="1"/>
  <c r="A117" i="45" s="1"/>
  <c r="A118" i="45" s="1"/>
  <c r="A119" i="45" s="1"/>
  <c r="A120" i="45" s="1"/>
  <c r="A105" i="45"/>
  <c r="A106" i="45" s="1"/>
  <c r="N100" i="45"/>
  <c r="P99" i="45"/>
  <c r="N98" i="45"/>
  <c r="N102" i="45" s="1"/>
  <c r="P98" i="45"/>
  <c r="H89" i="45"/>
  <c r="P83" i="45"/>
  <c r="P82" i="45"/>
  <c r="N72" i="45"/>
  <c r="L72" i="45"/>
  <c r="L86" i="45" s="1"/>
  <c r="J72" i="45"/>
  <c r="J86" i="45" s="1"/>
  <c r="H72" i="45"/>
  <c r="H86" i="45" s="1"/>
  <c r="F72" i="45"/>
  <c r="F86" i="45" s="1"/>
  <c r="P70" i="45"/>
  <c r="P69" i="45"/>
  <c r="P72" i="45" s="1"/>
  <c r="N202" i="45"/>
  <c r="L59" i="45"/>
  <c r="L58" i="45"/>
  <c r="P52" i="45"/>
  <c r="F45" i="45"/>
  <c r="L38" i="45"/>
  <c r="J38" i="45"/>
  <c r="L37" i="45"/>
  <c r="J37" i="45"/>
  <c r="P36" i="45"/>
  <c r="P54" i="45" s="1"/>
  <c r="L35" i="45"/>
  <c r="J35" i="45"/>
  <c r="H35" i="45"/>
  <c r="H38" i="45" s="1"/>
  <c r="F35" i="45"/>
  <c r="F38" i="45" s="1"/>
  <c r="D35" i="45"/>
  <c r="D38" i="45" s="1"/>
  <c r="L34" i="45"/>
  <c r="J34" i="45"/>
  <c r="H34" i="45"/>
  <c r="H37" i="45" s="1"/>
  <c r="F34" i="45"/>
  <c r="F37" i="45" s="1"/>
  <c r="D34" i="45"/>
  <c r="D37" i="45" s="1"/>
  <c r="P102" i="45" l="1"/>
  <c r="P156" i="45"/>
  <c r="P158" i="45" s="1"/>
  <c r="N130" i="45"/>
  <c r="P85" i="45" s="1"/>
  <c r="P165" i="45" s="1"/>
  <c r="P38" i="45"/>
  <c r="P166" i="45" s="1"/>
  <c r="O249" i="45"/>
  <c r="O253" i="45"/>
  <c r="O247" i="45"/>
  <c r="O251" i="45"/>
  <c r="O254" i="45"/>
  <c r="O250" i="45"/>
  <c r="N207" i="45"/>
  <c r="O248" i="45"/>
  <c r="M251" i="45"/>
  <c r="L268" i="45"/>
  <c r="M249" i="45"/>
  <c r="M207" i="45"/>
  <c r="M248" i="45"/>
  <c r="M250" i="45"/>
  <c r="M252" i="45"/>
  <c r="O239" i="45"/>
  <c r="O236" i="45"/>
  <c r="O241" i="45"/>
  <c r="N233" i="45"/>
  <c r="O231" i="45" s="1"/>
  <c r="O237" i="45"/>
  <c r="O243" i="45"/>
  <c r="O238" i="45"/>
  <c r="N268" i="45"/>
  <c r="M236" i="45"/>
  <c r="M238" i="45"/>
  <c r="M240" i="45"/>
  <c r="M242" i="45"/>
  <c r="M237" i="45"/>
  <c r="M239" i="45"/>
  <c r="M241" i="45"/>
  <c r="M243" i="45"/>
  <c r="P53" i="45"/>
  <c r="P164" i="45"/>
  <c r="P178" i="45"/>
  <c r="P180" i="45"/>
  <c r="P120" i="45"/>
  <c r="P129" i="45" s="1"/>
  <c r="P130" i="45" s="1"/>
  <c r="N194" i="45"/>
  <c r="P37" i="45"/>
  <c r="P45" i="45" s="1"/>
  <c r="N192" i="45" s="1"/>
  <c r="N193" i="45" s="1"/>
  <c r="P137" i="45"/>
  <c r="L233" i="45"/>
  <c r="M231" i="45" s="1"/>
  <c r="O244" i="45" l="1"/>
  <c r="P86" i="45"/>
  <c r="O255" i="45"/>
  <c r="M255" i="45"/>
  <c r="O226" i="45"/>
  <c r="O225" i="45"/>
  <c r="O228" i="45"/>
  <c r="O227" i="45"/>
  <c r="O230" i="45"/>
  <c r="O229" i="45"/>
  <c r="O232" i="45"/>
  <c r="M226" i="45"/>
  <c r="M228" i="45"/>
  <c r="M227" i="45"/>
  <c r="M229" i="45"/>
  <c r="M244" i="45"/>
  <c r="M225" i="45"/>
  <c r="M232" i="45"/>
  <c r="M230" i="45"/>
  <c r="N91" i="44"/>
  <c r="O233" i="45" l="1"/>
  <c r="M233" i="45"/>
  <c r="P106" i="44"/>
  <c r="P93" i="44"/>
  <c r="P92" i="44"/>
  <c r="J69" i="44"/>
  <c r="F46" i="44"/>
  <c r="O266" i="44" l="1"/>
  <c r="N266" i="44"/>
  <c r="M266" i="44"/>
  <c r="L266" i="44"/>
  <c r="N255" i="44"/>
  <c r="O253" i="44" s="1"/>
  <c r="L255" i="44"/>
  <c r="M254" i="44" s="1"/>
  <c r="N244" i="44"/>
  <c r="O241" i="44" s="1"/>
  <c r="L244" i="44"/>
  <c r="M243" i="44" s="1"/>
  <c r="N232" i="44"/>
  <c r="L232" i="44"/>
  <c r="N231" i="44"/>
  <c r="L231" i="44"/>
  <c r="N230" i="44"/>
  <c r="L230" i="44"/>
  <c r="N229" i="44"/>
  <c r="L229" i="44"/>
  <c r="N228" i="44"/>
  <c r="L228" i="44"/>
  <c r="N227" i="44"/>
  <c r="L227" i="44"/>
  <c r="N226" i="44"/>
  <c r="L226" i="44"/>
  <c r="N225" i="44"/>
  <c r="L225" i="44"/>
  <c r="N208" i="44"/>
  <c r="M208" i="44"/>
  <c r="N190" i="44"/>
  <c r="N172" i="44"/>
  <c r="P172" i="44" s="1"/>
  <c r="P157" i="44"/>
  <c r="P155" i="44"/>
  <c r="N212" i="44" s="1"/>
  <c r="P145" i="44"/>
  <c r="B133" i="44"/>
  <c r="B185" i="44" s="1"/>
  <c r="B278" i="44" s="1"/>
  <c r="N123" i="44"/>
  <c r="N129" i="44" s="1"/>
  <c r="N115" i="44"/>
  <c r="A115" i="44"/>
  <c r="A116" i="44" s="1"/>
  <c r="A117" i="44" s="1"/>
  <c r="A118" i="44" s="1"/>
  <c r="A119" i="44" s="1"/>
  <c r="A120" i="44" s="1"/>
  <c r="A105" i="44"/>
  <c r="A106" i="44" s="1"/>
  <c r="N100" i="44"/>
  <c r="P99" i="44"/>
  <c r="P98" i="44"/>
  <c r="N98" i="44"/>
  <c r="N102" i="44" s="1"/>
  <c r="N130" i="44" s="1"/>
  <c r="H89" i="44"/>
  <c r="P83" i="44"/>
  <c r="P82" i="44"/>
  <c r="N72" i="44"/>
  <c r="L72" i="44"/>
  <c r="L86" i="44" s="1"/>
  <c r="H72" i="44"/>
  <c r="H86" i="44" s="1"/>
  <c r="F72" i="44"/>
  <c r="F86" i="44" s="1"/>
  <c r="P70" i="44"/>
  <c r="N202" i="44"/>
  <c r="L59" i="44"/>
  <c r="L58" i="44"/>
  <c r="P52" i="44"/>
  <c r="F45" i="44"/>
  <c r="L38" i="44"/>
  <c r="J38" i="44"/>
  <c r="L37" i="44"/>
  <c r="J37" i="44"/>
  <c r="P36" i="44"/>
  <c r="P54" i="44" s="1"/>
  <c r="L35" i="44"/>
  <c r="J35" i="44"/>
  <c r="H35" i="44"/>
  <c r="H38" i="44" s="1"/>
  <c r="F35" i="44"/>
  <c r="F38" i="44" s="1"/>
  <c r="D35" i="44"/>
  <c r="D38" i="44" s="1"/>
  <c r="L34" i="44"/>
  <c r="J34" i="44"/>
  <c r="H34" i="44"/>
  <c r="H37" i="44" s="1"/>
  <c r="F34" i="44"/>
  <c r="F37" i="44" s="1"/>
  <c r="D34" i="44"/>
  <c r="D37" i="44" s="1"/>
  <c r="N207" i="44" l="1"/>
  <c r="O251" i="44"/>
  <c r="O250" i="44"/>
  <c r="O254" i="44"/>
  <c r="O247" i="44"/>
  <c r="M253" i="44"/>
  <c r="M249" i="44"/>
  <c r="M247" i="44"/>
  <c r="O239" i="44"/>
  <c r="N233" i="44"/>
  <c r="O231" i="44" s="1"/>
  <c r="O236" i="44"/>
  <c r="M242" i="44"/>
  <c r="M238" i="44"/>
  <c r="M236" i="44"/>
  <c r="M240" i="44"/>
  <c r="P102" i="44"/>
  <c r="O237" i="44"/>
  <c r="O242" i="44"/>
  <c r="O249" i="44"/>
  <c r="O252" i="44"/>
  <c r="N268" i="44"/>
  <c r="O240" i="44"/>
  <c r="O243" i="44"/>
  <c r="L233" i="44"/>
  <c r="M227" i="44" s="1"/>
  <c r="O238" i="44"/>
  <c r="O248" i="44"/>
  <c r="M251" i="44"/>
  <c r="P85" i="44"/>
  <c r="P165" i="44" s="1"/>
  <c r="P156" i="44"/>
  <c r="P158" i="44" s="1"/>
  <c r="P37" i="44"/>
  <c r="P53" i="44"/>
  <c r="P38" i="44"/>
  <c r="P166" i="44" s="1"/>
  <c r="P120" i="44"/>
  <c r="P129" i="44" s="1"/>
  <c r="N194" i="44"/>
  <c r="P180" i="44"/>
  <c r="P137" i="44"/>
  <c r="P69" i="44"/>
  <c r="P72" i="44" s="1"/>
  <c r="J72" i="44"/>
  <c r="J86" i="44" s="1"/>
  <c r="L268" i="44"/>
  <c r="M207" i="44"/>
  <c r="M237" i="44"/>
  <c r="M239" i="44"/>
  <c r="M241" i="44"/>
  <c r="M248" i="44"/>
  <c r="M250" i="44"/>
  <c r="M252" i="44"/>
  <c r="P106" i="43"/>
  <c r="P93" i="43"/>
  <c r="P92" i="43"/>
  <c r="N91" i="43"/>
  <c r="J69" i="43"/>
  <c r="F46" i="43"/>
  <c r="P130" i="44" l="1"/>
  <c r="P45" i="44"/>
  <c r="N192" i="44" s="1"/>
  <c r="N193" i="44" s="1"/>
  <c r="P178" i="44"/>
  <c r="O226" i="44"/>
  <c r="O225" i="44"/>
  <c r="O227" i="44"/>
  <c r="O255" i="44"/>
  <c r="O228" i="44"/>
  <c r="O232" i="44"/>
  <c r="M232" i="44"/>
  <c r="M225" i="44"/>
  <c r="O230" i="44"/>
  <c r="O229" i="44"/>
  <c r="M231" i="44"/>
  <c r="M229" i="44"/>
  <c r="M230" i="44"/>
  <c r="M228" i="44"/>
  <c r="P98" i="43"/>
  <c r="M255" i="44"/>
  <c r="O244" i="44"/>
  <c r="M244" i="44"/>
  <c r="M226" i="44"/>
  <c r="P164" i="44"/>
  <c r="P86" i="44"/>
  <c r="N266" i="43"/>
  <c r="L266" i="43"/>
  <c r="M208" i="43" s="1"/>
  <c r="M266" i="43"/>
  <c r="N255" i="43"/>
  <c r="O253" i="43" s="1"/>
  <c r="L255" i="43"/>
  <c r="M253" i="43" s="1"/>
  <c r="M250" i="43"/>
  <c r="N244" i="43"/>
  <c r="O242" i="43" s="1"/>
  <c r="L244" i="43"/>
  <c r="N232" i="43"/>
  <c r="L232" i="43"/>
  <c r="N231" i="43"/>
  <c r="L231" i="43"/>
  <c r="N230" i="43"/>
  <c r="L230" i="43"/>
  <c r="N229" i="43"/>
  <c r="L229" i="43"/>
  <c r="N228" i="43"/>
  <c r="L228" i="43"/>
  <c r="N227" i="43"/>
  <c r="L227" i="43"/>
  <c r="N226" i="43"/>
  <c r="L226" i="43"/>
  <c r="N225" i="43"/>
  <c r="L225" i="43"/>
  <c r="N190" i="43"/>
  <c r="N172" i="43"/>
  <c r="P172" i="43" s="1"/>
  <c r="P157" i="43"/>
  <c r="P155" i="43"/>
  <c r="N212" i="43" s="1"/>
  <c r="P145" i="43"/>
  <c r="B133" i="43"/>
  <c r="B185" i="43" s="1"/>
  <c r="B278" i="43" s="1"/>
  <c r="N123" i="43"/>
  <c r="N129" i="43" s="1"/>
  <c r="N115" i="43"/>
  <c r="A115" i="43"/>
  <c r="A116" i="43" s="1"/>
  <c r="A117" i="43" s="1"/>
  <c r="A118" i="43" s="1"/>
  <c r="A119" i="43" s="1"/>
  <c r="A120" i="43" s="1"/>
  <c r="A106" i="43"/>
  <c r="A105" i="43"/>
  <c r="N100" i="43"/>
  <c r="P99" i="43"/>
  <c r="P102" i="43" s="1"/>
  <c r="N98" i="43"/>
  <c r="H89" i="43"/>
  <c r="P83" i="43"/>
  <c r="P82" i="43"/>
  <c r="N72" i="43"/>
  <c r="L72" i="43"/>
  <c r="L86" i="43" s="1"/>
  <c r="H72" i="43"/>
  <c r="H86" i="43" s="1"/>
  <c r="F72" i="43"/>
  <c r="F86" i="43" s="1"/>
  <c r="P70" i="43"/>
  <c r="N202" i="43"/>
  <c r="L59" i="43"/>
  <c r="L58" i="43"/>
  <c r="P52" i="43"/>
  <c r="F45" i="43"/>
  <c r="L38" i="43"/>
  <c r="J38" i="43"/>
  <c r="L37" i="43"/>
  <c r="J37" i="43"/>
  <c r="P36" i="43"/>
  <c r="P54" i="43" s="1"/>
  <c r="L35" i="43"/>
  <c r="J35" i="43"/>
  <c r="H35" i="43"/>
  <c r="H38" i="43" s="1"/>
  <c r="F35" i="43"/>
  <c r="F38" i="43" s="1"/>
  <c r="D35" i="43"/>
  <c r="D38" i="43" s="1"/>
  <c r="L34" i="43"/>
  <c r="J34" i="43"/>
  <c r="H34" i="43"/>
  <c r="H37" i="43" s="1"/>
  <c r="F34" i="43"/>
  <c r="F37" i="43" s="1"/>
  <c r="D34" i="43"/>
  <c r="D37" i="43" s="1"/>
  <c r="O233" i="44" l="1"/>
  <c r="M233" i="44"/>
  <c r="P137" i="43"/>
  <c r="P156" i="43"/>
  <c r="P158" i="43" s="1"/>
  <c r="L268" i="43"/>
  <c r="M207" i="43"/>
  <c r="N102" i="43"/>
  <c r="N130" i="43" s="1"/>
  <c r="P85" i="43" s="1"/>
  <c r="P165" i="43" s="1"/>
  <c r="N207" i="43"/>
  <c r="M247" i="43"/>
  <c r="O250" i="43"/>
  <c r="O252" i="43"/>
  <c r="N208" i="43"/>
  <c r="O254" i="43"/>
  <c r="O248" i="43"/>
  <c r="M254" i="43"/>
  <c r="M251" i="43"/>
  <c r="M249" i="43"/>
  <c r="M252" i="43"/>
  <c r="M248" i="43"/>
  <c r="N268" i="43"/>
  <c r="O237" i="43"/>
  <c r="N233" i="43"/>
  <c r="O229" i="43" s="1"/>
  <c r="O239" i="43"/>
  <c r="O241" i="43"/>
  <c r="O243" i="43"/>
  <c r="M238" i="43"/>
  <c r="M237" i="43"/>
  <c r="M242" i="43"/>
  <c r="M236" i="43"/>
  <c r="M239" i="43"/>
  <c r="M240" i="43"/>
  <c r="M243" i="43"/>
  <c r="M241" i="43"/>
  <c r="P178" i="43"/>
  <c r="P180" i="43"/>
  <c r="N194" i="43"/>
  <c r="P120" i="43"/>
  <c r="P129" i="43" s="1"/>
  <c r="P130" i="43" s="1"/>
  <c r="P37" i="43"/>
  <c r="P45" i="43" s="1"/>
  <c r="N192" i="43" s="1"/>
  <c r="N193" i="43" s="1"/>
  <c r="P38" i="43"/>
  <c r="P166" i="43" s="1"/>
  <c r="P53" i="43"/>
  <c r="O225" i="43"/>
  <c r="P69" i="43"/>
  <c r="P72" i="43" s="1"/>
  <c r="J72" i="43"/>
  <c r="J86" i="43" s="1"/>
  <c r="L233" i="43"/>
  <c r="M232" i="43" s="1"/>
  <c r="O236" i="43"/>
  <c r="O238" i="43"/>
  <c r="O240" i="43"/>
  <c r="O247" i="43"/>
  <c r="O249" i="43"/>
  <c r="O251" i="43"/>
  <c r="O266" i="43"/>
  <c r="P106" i="42"/>
  <c r="P93" i="42"/>
  <c r="P92" i="42"/>
  <c r="P98" i="42" s="1"/>
  <c r="N91" i="42"/>
  <c r="J69" i="42"/>
  <c r="F46" i="42"/>
  <c r="O255" i="43" l="1"/>
  <c r="O226" i="43"/>
  <c r="M255" i="43"/>
  <c r="O228" i="43"/>
  <c r="O231" i="43"/>
  <c r="O230" i="43"/>
  <c r="O232" i="43"/>
  <c r="O227" i="43"/>
  <c r="M244" i="43"/>
  <c r="M231" i="43"/>
  <c r="M230" i="43"/>
  <c r="M229" i="43"/>
  <c r="M228" i="43"/>
  <c r="M226" i="43"/>
  <c r="M227" i="43"/>
  <c r="O244" i="43"/>
  <c r="P164" i="43"/>
  <c r="P86" i="43"/>
  <c r="M225" i="43"/>
  <c r="P159" i="42"/>
  <c r="O233" i="43" l="1"/>
  <c r="M233" i="43"/>
  <c r="N266" i="42"/>
  <c r="L266" i="42"/>
  <c r="M265" i="42" s="1"/>
  <c r="N255" i="42"/>
  <c r="O254" i="42" s="1"/>
  <c r="L255" i="42"/>
  <c r="M254" i="42" s="1"/>
  <c r="N244" i="42"/>
  <c r="O243" i="42" s="1"/>
  <c r="L244" i="42"/>
  <c r="N232" i="42"/>
  <c r="L232" i="42"/>
  <c r="N231" i="42"/>
  <c r="L231" i="42"/>
  <c r="N230" i="42"/>
  <c r="L230" i="42"/>
  <c r="N229" i="42"/>
  <c r="L229" i="42"/>
  <c r="N228" i="42"/>
  <c r="L228" i="42"/>
  <c r="N227" i="42"/>
  <c r="L227" i="42"/>
  <c r="N226" i="42"/>
  <c r="L226" i="42"/>
  <c r="N225" i="42"/>
  <c r="L225" i="42"/>
  <c r="M207" i="42"/>
  <c r="N190" i="42"/>
  <c r="N172" i="42"/>
  <c r="P157" i="42"/>
  <c r="P155" i="42"/>
  <c r="P145" i="42"/>
  <c r="B133" i="42"/>
  <c r="B185" i="42" s="1"/>
  <c r="B278" i="42" s="1"/>
  <c r="N123" i="42"/>
  <c r="N129" i="42" s="1"/>
  <c r="N115" i="42"/>
  <c r="A115" i="42"/>
  <c r="A116" i="42" s="1"/>
  <c r="A117" i="42" s="1"/>
  <c r="A118" i="42" s="1"/>
  <c r="A119" i="42" s="1"/>
  <c r="A120" i="42" s="1"/>
  <c r="A105" i="42"/>
  <c r="A106" i="42" s="1"/>
  <c r="N100" i="42"/>
  <c r="P99" i="42"/>
  <c r="P102" i="42" s="1"/>
  <c r="N98" i="42"/>
  <c r="H89" i="42"/>
  <c r="P83" i="42"/>
  <c r="P82" i="42"/>
  <c r="N72" i="42"/>
  <c r="L72" i="42"/>
  <c r="L86" i="42" s="1"/>
  <c r="H72" i="42"/>
  <c r="H86" i="42" s="1"/>
  <c r="F72" i="42"/>
  <c r="F86" i="42" s="1"/>
  <c r="P70" i="42"/>
  <c r="L59" i="42"/>
  <c r="L58" i="42"/>
  <c r="P52" i="42"/>
  <c r="F45" i="42"/>
  <c r="L38" i="42"/>
  <c r="J38" i="42"/>
  <c r="L37" i="42"/>
  <c r="J37" i="42"/>
  <c r="P36" i="42"/>
  <c r="P54" i="42" s="1"/>
  <c r="L35" i="42"/>
  <c r="J35" i="42"/>
  <c r="H35" i="42"/>
  <c r="H38" i="42" s="1"/>
  <c r="F35" i="42"/>
  <c r="F38" i="42" s="1"/>
  <c r="D35" i="42"/>
  <c r="D38" i="42" s="1"/>
  <c r="L34" i="42"/>
  <c r="J34" i="42"/>
  <c r="H34" i="42"/>
  <c r="H37" i="42" s="1"/>
  <c r="F34" i="42"/>
  <c r="F37" i="42" s="1"/>
  <c r="D34" i="42"/>
  <c r="D37" i="42" s="1"/>
  <c r="N102" i="42" l="1"/>
  <c r="P137" i="42"/>
  <c r="M208" i="42"/>
  <c r="M259" i="42"/>
  <c r="M266" i="42" s="1"/>
  <c r="L268" i="42"/>
  <c r="M247" i="42"/>
  <c r="M251" i="42"/>
  <c r="M249" i="42"/>
  <c r="M253" i="42"/>
  <c r="M248" i="42"/>
  <c r="M250" i="42"/>
  <c r="M252" i="42"/>
  <c r="N268" i="42"/>
  <c r="M236" i="42"/>
  <c r="M240" i="42"/>
  <c r="M238" i="42"/>
  <c r="M242" i="42"/>
  <c r="M237" i="42"/>
  <c r="M239" i="42"/>
  <c r="M241" i="42"/>
  <c r="M243" i="42"/>
  <c r="N130" i="42"/>
  <c r="P85" i="42" s="1"/>
  <c r="P165" i="42" s="1"/>
  <c r="P38" i="42"/>
  <c r="P166" i="42" s="1"/>
  <c r="P53" i="42"/>
  <c r="P180" i="42"/>
  <c r="P120" i="42"/>
  <c r="P129" i="42" s="1"/>
  <c r="P130" i="42" s="1"/>
  <c r="N194" i="42"/>
  <c r="P178" i="42"/>
  <c r="P37" i="42"/>
  <c r="P45" i="42" s="1"/>
  <c r="N192" i="42" s="1"/>
  <c r="N193" i="42" s="1"/>
  <c r="N202" i="42"/>
  <c r="J72" i="42"/>
  <c r="J86" i="42" s="1"/>
  <c r="P69" i="42"/>
  <c r="P72" i="42" s="1"/>
  <c r="P156" i="42"/>
  <c r="P158" i="42" s="1"/>
  <c r="N212" i="42"/>
  <c r="L233" i="42"/>
  <c r="M226" i="42" s="1"/>
  <c r="N233" i="42"/>
  <c r="O226" i="42" s="1"/>
  <c r="P172" i="42"/>
  <c r="N207" i="42"/>
  <c r="N208" i="42"/>
  <c r="O236" i="42"/>
  <c r="O237" i="42"/>
  <c r="O238" i="42"/>
  <c r="O239" i="42"/>
  <c r="O240" i="42"/>
  <c r="O241" i="42"/>
  <c r="O242" i="42"/>
  <c r="O247" i="42"/>
  <c r="O248" i="42"/>
  <c r="O249" i="42"/>
  <c r="O250" i="42"/>
  <c r="O251" i="42"/>
  <c r="O252" i="42"/>
  <c r="O253" i="42"/>
  <c r="O259" i="42"/>
  <c r="O265" i="42"/>
  <c r="P106" i="41"/>
  <c r="P93" i="41"/>
  <c r="P92" i="41"/>
  <c r="N91" i="41"/>
  <c r="J69" i="41"/>
  <c r="F46" i="41"/>
  <c r="O266" i="42" l="1"/>
  <c r="M255" i="42"/>
  <c r="M244" i="42"/>
  <c r="M229" i="42"/>
  <c r="M225" i="42"/>
  <c r="M231" i="42"/>
  <c r="M227" i="42"/>
  <c r="O244" i="42"/>
  <c r="O231" i="42"/>
  <c r="O229" i="42"/>
  <c r="O227" i="42"/>
  <c r="O225" i="42"/>
  <c r="O255" i="42"/>
  <c r="M232" i="42"/>
  <c r="M230" i="42"/>
  <c r="M228" i="42"/>
  <c r="P164" i="42"/>
  <c r="P86" i="42"/>
  <c r="O232" i="42"/>
  <c r="O230" i="42"/>
  <c r="O228" i="42"/>
  <c r="M233" i="42" l="1"/>
  <c r="O233" i="42"/>
  <c r="N266" i="41"/>
  <c r="L266" i="41"/>
  <c r="M265" i="41" s="1"/>
  <c r="N255" i="41"/>
  <c r="O253" i="41" s="1"/>
  <c r="L255" i="41"/>
  <c r="M254" i="41" s="1"/>
  <c r="N244" i="41"/>
  <c r="O243" i="41" s="1"/>
  <c r="L244" i="41"/>
  <c r="M242" i="41" s="1"/>
  <c r="N232" i="41"/>
  <c r="L232" i="41"/>
  <c r="N231" i="41"/>
  <c r="L231" i="41"/>
  <c r="N230" i="41"/>
  <c r="L230" i="41"/>
  <c r="N229" i="41"/>
  <c r="L229" i="41"/>
  <c r="N228" i="41"/>
  <c r="L228" i="41"/>
  <c r="N227" i="41"/>
  <c r="L227" i="41"/>
  <c r="N226" i="41"/>
  <c r="L226" i="41"/>
  <c r="N225" i="41"/>
  <c r="L225" i="41"/>
  <c r="N208" i="41"/>
  <c r="N207" i="41"/>
  <c r="N190" i="41"/>
  <c r="N172" i="41"/>
  <c r="P157" i="41"/>
  <c r="P155" i="41"/>
  <c r="N212" i="41" s="1"/>
  <c r="P145" i="41"/>
  <c r="B133" i="41"/>
  <c r="B185" i="41" s="1"/>
  <c r="B278" i="41" s="1"/>
  <c r="N123" i="41"/>
  <c r="N129" i="41" s="1"/>
  <c r="N115" i="41"/>
  <c r="A115" i="41"/>
  <c r="A116" i="41" s="1"/>
  <c r="A117" i="41" s="1"/>
  <c r="A118" i="41" s="1"/>
  <c r="A119" i="41" s="1"/>
  <c r="A120" i="41" s="1"/>
  <c r="A105" i="41"/>
  <c r="A106" i="41" s="1"/>
  <c r="N100" i="41"/>
  <c r="P99" i="41"/>
  <c r="N98" i="41"/>
  <c r="P98" i="41"/>
  <c r="P102" i="41" s="1"/>
  <c r="H89" i="41"/>
  <c r="P83" i="41"/>
  <c r="P82" i="41"/>
  <c r="N72" i="41"/>
  <c r="L72" i="41"/>
  <c r="L86" i="41" s="1"/>
  <c r="J72" i="41"/>
  <c r="J86" i="41" s="1"/>
  <c r="H72" i="41"/>
  <c r="H86" i="41" s="1"/>
  <c r="F72" i="41"/>
  <c r="F86" i="41" s="1"/>
  <c r="P70" i="41"/>
  <c r="P69" i="41"/>
  <c r="N202" i="41"/>
  <c r="L59" i="41"/>
  <c r="L58" i="41"/>
  <c r="P52" i="41"/>
  <c r="F45" i="41"/>
  <c r="L38" i="41"/>
  <c r="J38" i="41"/>
  <c r="L37" i="41"/>
  <c r="J37" i="41"/>
  <c r="P36" i="41"/>
  <c r="P137" i="41" s="1"/>
  <c r="L35" i="41"/>
  <c r="J35" i="41"/>
  <c r="H35" i="41"/>
  <c r="H38" i="41" s="1"/>
  <c r="F35" i="41"/>
  <c r="F38" i="41" s="1"/>
  <c r="D35" i="41"/>
  <c r="D38" i="41" s="1"/>
  <c r="L34" i="41"/>
  <c r="J34" i="41"/>
  <c r="H34" i="41"/>
  <c r="H37" i="41" s="1"/>
  <c r="F34" i="41"/>
  <c r="F37" i="41" s="1"/>
  <c r="D34" i="41"/>
  <c r="D37" i="41" s="1"/>
  <c r="O237" i="41" l="1"/>
  <c r="O238" i="41"/>
  <c r="O240" i="41"/>
  <c r="M236" i="41"/>
  <c r="M241" i="41"/>
  <c r="N102" i="41"/>
  <c r="O236" i="41"/>
  <c r="M239" i="41"/>
  <c r="O241" i="41"/>
  <c r="P72" i="41"/>
  <c r="M237" i="41"/>
  <c r="O239" i="41"/>
  <c r="M243" i="41"/>
  <c r="M238" i="41"/>
  <c r="M240" i="41"/>
  <c r="M207" i="41"/>
  <c r="O242" i="41"/>
  <c r="O254" i="41"/>
  <c r="O259" i="41"/>
  <c r="O265" i="41"/>
  <c r="N130" i="41"/>
  <c r="P85" i="41" s="1"/>
  <c r="P165" i="41" s="1"/>
  <c r="P53" i="41"/>
  <c r="P37" i="41"/>
  <c r="P45" i="41" s="1"/>
  <c r="N192" i="41" s="1"/>
  <c r="N193" i="41" s="1"/>
  <c r="M208" i="41"/>
  <c r="M259" i="41"/>
  <c r="M266" i="41" s="1"/>
  <c r="O250" i="41"/>
  <c r="O248" i="41"/>
  <c r="O252" i="41"/>
  <c r="O247" i="41"/>
  <c r="O249" i="41"/>
  <c r="O251" i="41"/>
  <c r="L268" i="41"/>
  <c r="M247" i="41"/>
  <c r="M248" i="41"/>
  <c r="M249" i="41"/>
  <c r="M250" i="41"/>
  <c r="M251" i="41"/>
  <c r="M252" i="41"/>
  <c r="M253" i="41"/>
  <c r="N233" i="41"/>
  <c r="O226" i="41" s="1"/>
  <c r="N268" i="41"/>
  <c r="L233" i="41"/>
  <c r="M226" i="41" s="1"/>
  <c r="P164" i="41"/>
  <c r="P38" i="41"/>
  <c r="P166" i="41" s="1"/>
  <c r="N194" i="41"/>
  <c r="P178" i="41"/>
  <c r="P180" i="41"/>
  <c r="P120" i="41"/>
  <c r="P129" i="41" s="1"/>
  <c r="P130" i="41" s="1"/>
  <c r="P54" i="41"/>
  <c r="P156" i="41"/>
  <c r="P158" i="41" s="1"/>
  <c r="P172" i="41"/>
  <c r="P106" i="40"/>
  <c r="P93" i="40"/>
  <c r="P92" i="40"/>
  <c r="N91" i="40"/>
  <c r="J69" i="40"/>
  <c r="F46" i="40"/>
  <c r="O266" i="41" l="1"/>
  <c r="O244" i="41"/>
  <c r="M244" i="41"/>
  <c r="P86" i="41"/>
  <c r="M255" i="41"/>
  <c r="O225" i="41"/>
  <c r="O255" i="41"/>
  <c r="O232" i="41"/>
  <c r="O231" i="41"/>
  <c r="O229" i="41"/>
  <c r="O227" i="41"/>
  <c r="O230" i="41"/>
  <c r="O228" i="41"/>
  <c r="M225" i="41"/>
  <c r="M230" i="41"/>
  <c r="M232" i="41"/>
  <c r="M228" i="41"/>
  <c r="M231" i="41"/>
  <c r="M229" i="41"/>
  <c r="M227" i="41"/>
  <c r="O266" i="40"/>
  <c r="N266" i="40"/>
  <c r="N208" i="40" s="1"/>
  <c r="M266" i="40"/>
  <c r="L266" i="40"/>
  <c r="N255" i="40"/>
  <c r="O254" i="40" s="1"/>
  <c r="L255" i="40"/>
  <c r="M207" i="40" s="1"/>
  <c r="O249" i="40"/>
  <c r="M249" i="40"/>
  <c r="N244" i="40"/>
  <c r="O242" i="40" s="1"/>
  <c r="L244" i="40"/>
  <c r="N232" i="40"/>
  <c r="L232" i="40"/>
  <c r="N231" i="40"/>
  <c r="L231" i="40"/>
  <c r="N230" i="40"/>
  <c r="L230" i="40"/>
  <c r="N229" i="40"/>
  <c r="L229" i="40"/>
  <c r="N228" i="40"/>
  <c r="L228" i="40"/>
  <c r="N227" i="40"/>
  <c r="L227" i="40"/>
  <c r="N226" i="40"/>
  <c r="L226" i="40"/>
  <c r="N225" i="40"/>
  <c r="L225" i="40"/>
  <c r="M208" i="40"/>
  <c r="N190" i="40"/>
  <c r="N172" i="40"/>
  <c r="P157" i="40"/>
  <c r="P155" i="40"/>
  <c r="N212" i="40" s="1"/>
  <c r="P145" i="40"/>
  <c r="B133" i="40"/>
  <c r="B185" i="40" s="1"/>
  <c r="B278" i="40" s="1"/>
  <c r="N123" i="40"/>
  <c r="N129" i="40" s="1"/>
  <c r="N115" i="40"/>
  <c r="A115" i="40"/>
  <c r="A116" i="40" s="1"/>
  <c r="A117" i="40" s="1"/>
  <c r="A118" i="40" s="1"/>
  <c r="A119" i="40" s="1"/>
  <c r="A120" i="40" s="1"/>
  <c r="A105" i="40"/>
  <c r="A106" i="40" s="1"/>
  <c r="N100" i="40"/>
  <c r="P99" i="40"/>
  <c r="N98" i="40"/>
  <c r="N102" i="40" s="1"/>
  <c r="P98" i="40"/>
  <c r="H89" i="40"/>
  <c r="P83" i="40"/>
  <c r="P82" i="40"/>
  <c r="N72" i="40"/>
  <c r="L72" i="40"/>
  <c r="L86" i="40" s="1"/>
  <c r="J72" i="40"/>
  <c r="J86" i="40" s="1"/>
  <c r="H72" i="40"/>
  <c r="H86" i="40" s="1"/>
  <c r="F72" i="40"/>
  <c r="F86" i="40" s="1"/>
  <c r="P70" i="40"/>
  <c r="P69" i="40"/>
  <c r="P72" i="40" s="1"/>
  <c r="N202" i="40"/>
  <c r="L59" i="40"/>
  <c r="L58" i="40"/>
  <c r="P52" i="40"/>
  <c r="F45" i="40"/>
  <c r="L38" i="40"/>
  <c r="J38" i="40"/>
  <c r="L37" i="40"/>
  <c r="J37" i="40"/>
  <c r="P36" i="40"/>
  <c r="P54" i="40" s="1"/>
  <c r="L35" i="40"/>
  <c r="J35" i="40"/>
  <c r="H35" i="40"/>
  <c r="H38" i="40" s="1"/>
  <c r="F35" i="40"/>
  <c r="F38" i="40" s="1"/>
  <c r="D35" i="40"/>
  <c r="D38" i="40" s="1"/>
  <c r="L34" i="40"/>
  <c r="J34" i="40"/>
  <c r="H34" i="40"/>
  <c r="H37" i="40" s="1"/>
  <c r="F34" i="40"/>
  <c r="F37" i="40" s="1"/>
  <c r="D34" i="40"/>
  <c r="D37" i="40" s="1"/>
  <c r="O251" i="40" l="1"/>
  <c r="O247" i="40"/>
  <c r="M247" i="40"/>
  <c r="M252" i="40"/>
  <c r="O243" i="40"/>
  <c r="M250" i="40"/>
  <c r="M253" i="40"/>
  <c r="L268" i="40"/>
  <c r="M248" i="40"/>
  <c r="M251" i="40"/>
  <c r="M254" i="40"/>
  <c r="O253" i="40"/>
  <c r="N207" i="40"/>
  <c r="P102" i="40"/>
  <c r="N194" i="40" s="1"/>
  <c r="O248" i="40"/>
  <c r="O250" i="40"/>
  <c r="O252" i="40"/>
  <c r="O255" i="40"/>
  <c r="O233" i="41"/>
  <c r="M233" i="41"/>
  <c r="N233" i="40"/>
  <c r="O227" i="40" s="1"/>
  <c r="O236" i="40"/>
  <c r="O239" i="40"/>
  <c r="O237" i="40"/>
  <c r="O241" i="40"/>
  <c r="O238" i="40"/>
  <c r="O240" i="40"/>
  <c r="N268" i="40"/>
  <c r="M236" i="40"/>
  <c r="M237" i="40"/>
  <c r="M238" i="40"/>
  <c r="M239" i="40"/>
  <c r="M240" i="40"/>
  <c r="M241" i="40"/>
  <c r="M242" i="40"/>
  <c r="M243" i="40"/>
  <c r="L233" i="40"/>
  <c r="M227" i="40" s="1"/>
  <c r="N130" i="40"/>
  <c r="P85" i="40" s="1"/>
  <c r="P165" i="40" s="1"/>
  <c r="P37" i="40"/>
  <c r="P45" i="40" s="1"/>
  <c r="N192" i="40" s="1"/>
  <c r="N193" i="40" s="1"/>
  <c r="P38" i="40"/>
  <c r="P166" i="40" s="1"/>
  <c r="P180" i="40"/>
  <c r="P53" i="40"/>
  <c r="P164" i="40"/>
  <c r="P137" i="40"/>
  <c r="P172" i="40"/>
  <c r="O225" i="40"/>
  <c r="P156" i="40"/>
  <c r="P158" i="40" s="1"/>
  <c r="P106" i="39"/>
  <c r="P93" i="39"/>
  <c r="P92" i="39"/>
  <c r="N91" i="39"/>
  <c r="J69" i="39"/>
  <c r="F46" i="39"/>
  <c r="M255" i="40" l="1"/>
  <c r="M232" i="40"/>
  <c r="O226" i="40"/>
  <c r="M226" i="40"/>
  <c r="P120" i="40"/>
  <c r="P129" i="40" s="1"/>
  <c r="P130" i="40" s="1"/>
  <c r="P178" i="40"/>
  <c r="O231" i="40"/>
  <c r="O232" i="40"/>
  <c r="O230" i="40"/>
  <c r="O228" i="40"/>
  <c r="O229" i="40"/>
  <c r="M230" i="40"/>
  <c r="M225" i="40"/>
  <c r="M231" i="40"/>
  <c r="M228" i="40"/>
  <c r="M229" i="40"/>
  <c r="O244" i="40"/>
  <c r="M244" i="40"/>
  <c r="P86" i="40"/>
  <c r="P159" i="39"/>
  <c r="O233" i="40" l="1"/>
  <c r="M233" i="40"/>
  <c r="H89" i="39"/>
  <c r="O266" i="39" l="1"/>
  <c r="N266" i="39"/>
  <c r="N208" i="39" s="1"/>
  <c r="M266" i="39"/>
  <c r="L266" i="39"/>
  <c r="M208" i="39" s="1"/>
  <c r="N255" i="39"/>
  <c r="O254" i="39" s="1"/>
  <c r="L255" i="39"/>
  <c r="M254" i="39" s="1"/>
  <c r="O253" i="39"/>
  <c r="O251" i="39"/>
  <c r="O250" i="39"/>
  <c r="O249" i="39"/>
  <c r="M249" i="39"/>
  <c r="O248" i="39"/>
  <c r="O247" i="39"/>
  <c r="M247" i="39"/>
  <c r="N244" i="39"/>
  <c r="L244" i="39"/>
  <c r="M243" i="39" s="1"/>
  <c r="N232" i="39"/>
  <c r="L232" i="39"/>
  <c r="N231" i="39"/>
  <c r="L231" i="39"/>
  <c r="N230" i="39"/>
  <c r="L230" i="39"/>
  <c r="N229" i="39"/>
  <c r="L229" i="39"/>
  <c r="N228" i="39"/>
  <c r="L228" i="39"/>
  <c r="N227" i="39"/>
  <c r="L227" i="39"/>
  <c r="N226" i="39"/>
  <c r="L226" i="39"/>
  <c r="N225" i="39"/>
  <c r="L225" i="39"/>
  <c r="N207" i="39"/>
  <c r="N190" i="39"/>
  <c r="N172" i="39"/>
  <c r="P172" i="39" s="1"/>
  <c r="P157" i="39"/>
  <c r="P155" i="39"/>
  <c r="N212" i="39" s="1"/>
  <c r="P145" i="39"/>
  <c r="B133" i="39"/>
  <c r="B185" i="39" s="1"/>
  <c r="B278" i="39" s="1"/>
  <c r="N123" i="39"/>
  <c r="N129" i="39" s="1"/>
  <c r="N115" i="39"/>
  <c r="A115" i="39"/>
  <c r="A116" i="39" s="1"/>
  <c r="A117" i="39" s="1"/>
  <c r="A118" i="39" s="1"/>
  <c r="A119" i="39" s="1"/>
  <c r="A120" i="39" s="1"/>
  <c r="A105" i="39"/>
  <c r="A106" i="39" s="1"/>
  <c r="N100" i="39"/>
  <c r="P99" i="39"/>
  <c r="N98" i="39"/>
  <c r="P98" i="39"/>
  <c r="P102" i="39" s="1"/>
  <c r="P83" i="39"/>
  <c r="P82" i="39"/>
  <c r="N72" i="39"/>
  <c r="L72" i="39"/>
  <c r="L86" i="39" s="1"/>
  <c r="H72" i="39"/>
  <c r="H86" i="39" s="1"/>
  <c r="F72" i="39"/>
  <c r="F86" i="39" s="1"/>
  <c r="P70" i="39"/>
  <c r="J72" i="39"/>
  <c r="J86" i="39" s="1"/>
  <c r="L59" i="39"/>
  <c r="L58" i="39"/>
  <c r="P52" i="39"/>
  <c r="F45" i="39"/>
  <c r="L38" i="39"/>
  <c r="J38" i="39"/>
  <c r="L37" i="39"/>
  <c r="J37" i="39"/>
  <c r="P36" i="39"/>
  <c r="P137" i="39" s="1"/>
  <c r="L35" i="39"/>
  <c r="J35" i="39"/>
  <c r="H35" i="39"/>
  <c r="H38" i="39" s="1"/>
  <c r="F35" i="39"/>
  <c r="F38" i="39" s="1"/>
  <c r="D35" i="39"/>
  <c r="D38" i="39" s="1"/>
  <c r="L34" i="39"/>
  <c r="J34" i="39"/>
  <c r="H34" i="39"/>
  <c r="H37" i="39" s="1"/>
  <c r="F34" i="39"/>
  <c r="F37" i="39" s="1"/>
  <c r="D34" i="39"/>
  <c r="D37" i="39" s="1"/>
  <c r="M236" i="39" l="1"/>
  <c r="M240" i="39"/>
  <c r="M238" i="39"/>
  <c r="M242" i="39"/>
  <c r="M237" i="39"/>
  <c r="M241" i="39"/>
  <c r="M239" i="39"/>
  <c r="M251" i="39"/>
  <c r="M253" i="39"/>
  <c r="N102" i="39"/>
  <c r="M207" i="39"/>
  <c r="L268" i="39"/>
  <c r="M248" i="39"/>
  <c r="M250" i="39"/>
  <c r="M252" i="39"/>
  <c r="N268" i="39"/>
  <c r="O252" i="39"/>
  <c r="O255" i="39" s="1"/>
  <c r="N130" i="39"/>
  <c r="P85" i="39" s="1"/>
  <c r="P165" i="39" s="1"/>
  <c r="P156" i="39"/>
  <c r="P158" i="39" s="1"/>
  <c r="P38" i="39"/>
  <c r="P166" i="39" s="1"/>
  <c r="N233" i="39"/>
  <c r="O236" i="39"/>
  <c r="O237" i="39"/>
  <c r="O238" i="39"/>
  <c r="O239" i="39"/>
  <c r="O240" i="39"/>
  <c r="O241" i="39"/>
  <c r="O242" i="39"/>
  <c r="O243" i="39"/>
  <c r="L233" i="39"/>
  <c r="M231" i="39" s="1"/>
  <c r="P37" i="39"/>
  <c r="P45" i="39" s="1"/>
  <c r="N192" i="39" s="1"/>
  <c r="N193" i="39" s="1"/>
  <c r="O232" i="39"/>
  <c r="O231" i="39"/>
  <c r="O230" i="39"/>
  <c r="O229" i="39"/>
  <c r="O228" i="39"/>
  <c r="O227" i="39"/>
  <c r="O226" i="39"/>
  <c r="O225" i="39"/>
  <c r="P53" i="39"/>
  <c r="N194" i="39"/>
  <c r="P178" i="39"/>
  <c r="P180" i="39"/>
  <c r="P120" i="39"/>
  <c r="P129" i="39" s="1"/>
  <c r="P130" i="39" s="1"/>
  <c r="N202" i="39"/>
  <c r="P54" i="39"/>
  <c r="P69" i="39"/>
  <c r="P72" i="39" s="1"/>
  <c r="M225" i="39" l="1"/>
  <c r="M244" i="39"/>
  <c r="M232" i="39"/>
  <c r="M255" i="39"/>
  <c r="M228" i="39"/>
  <c r="M226" i="39"/>
  <c r="M230" i="39"/>
  <c r="M227" i="39"/>
  <c r="M229" i="39"/>
  <c r="O244" i="39"/>
  <c r="P164" i="39"/>
  <c r="P86" i="39"/>
  <c r="O233" i="39"/>
  <c r="P106" i="38"/>
  <c r="P93" i="38"/>
  <c r="P92" i="38"/>
  <c r="N91" i="38"/>
  <c r="J69" i="38"/>
  <c r="F46" i="38"/>
  <c r="M233" i="39" l="1"/>
  <c r="N266" i="38"/>
  <c r="L266" i="38"/>
  <c r="M266" i="38"/>
  <c r="N255" i="38"/>
  <c r="O254" i="38" s="1"/>
  <c r="L255" i="38"/>
  <c r="O253" i="38"/>
  <c r="M253" i="38"/>
  <c r="O251" i="38"/>
  <c r="M251" i="38"/>
  <c r="O249" i="38"/>
  <c r="M249" i="38"/>
  <c r="O247" i="38"/>
  <c r="M247" i="38"/>
  <c r="N244" i="38"/>
  <c r="O243" i="38" s="1"/>
  <c r="L244" i="38"/>
  <c r="N232" i="38"/>
  <c r="L232" i="38"/>
  <c r="N231" i="38"/>
  <c r="L231" i="38"/>
  <c r="N230" i="38"/>
  <c r="L230" i="38"/>
  <c r="N229" i="38"/>
  <c r="L229" i="38"/>
  <c r="N228" i="38"/>
  <c r="L228" i="38"/>
  <c r="N227" i="38"/>
  <c r="L227" i="38"/>
  <c r="N226" i="38"/>
  <c r="L226" i="38"/>
  <c r="N225" i="38"/>
  <c r="L225" i="38"/>
  <c r="M208" i="38"/>
  <c r="N207" i="38"/>
  <c r="N202" i="38"/>
  <c r="N190" i="38"/>
  <c r="N172" i="38"/>
  <c r="P172" i="38" s="1"/>
  <c r="P157" i="38"/>
  <c r="P155" i="38"/>
  <c r="N212" i="38" s="1"/>
  <c r="P145" i="38"/>
  <c r="B133" i="38"/>
  <c r="B185" i="38" s="1"/>
  <c r="B278" i="38" s="1"/>
  <c r="N123" i="38"/>
  <c r="N129" i="38" s="1"/>
  <c r="N115" i="38"/>
  <c r="A115" i="38"/>
  <c r="A116" i="38" s="1"/>
  <c r="A117" i="38" s="1"/>
  <c r="A118" i="38" s="1"/>
  <c r="A119" i="38" s="1"/>
  <c r="A120" i="38" s="1"/>
  <c r="A105" i="38"/>
  <c r="A106" i="38" s="1"/>
  <c r="N100" i="38"/>
  <c r="P99" i="38"/>
  <c r="N98" i="38"/>
  <c r="N102" i="38" s="1"/>
  <c r="P98" i="38"/>
  <c r="P83" i="38"/>
  <c r="P82" i="38"/>
  <c r="N72" i="38"/>
  <c r="H72" i="38"/>
  <c r="H86" i="38" s="1"/>
  <c r="F72" i="38"/>
  <c r="F86" i="38" s="1"/>
  <c r="P70" i="38"/>
  <c r="L72" i="38"/>
  <c r="L86" i="38" s="1"/>
  <c r="J72" i="38"/>
  <c r="J86" i="38" s="1"/>
  <c r="L59" i="38"/>
  <c r="L58" i="38"/>
  <c r="P52" i="38"/>
  <c r="F45" i="38"/>
  <c r="L38" i="38"/>
  <c r="J38" i="38"/>
  <c r="L37" i="38"/>
  <c r="J37" i="38"/>
  <c r="P36" i="38"/>
  <c r="P137" i="38" s="1"/>
  <c r="L35" i="38"/>
  <c r="J35" i="38"/>
  <c r="H35" i="38"/>
  <c r="H38" i="38" s="1"/>
  <c r="F35" i="38"/>
  <c r="F38" i="38" s="1"/>
  <c r="D35" i="38"/>
  <c r="D38" i="38" s="1"/>
  <c r="L34" i="38"/>
  <c r="J34" i="38"/>
  <c r="H34" i="38"/>
  <c r="H37" i="38" s="1"/>
  <c r="F34" i="38"/>
  <c r="F37" i="38" s="1"/>
  <c r="D34" i="38"/>
  <c r="D37" i="38" s="1"/>
  <c r="P106" i="37"/>
  <c r="P93" i="37"/>
  <c r="P98" i="37" s="1"/>
  <c r="P92" i="37"/>
  <c r="N91" i="37"/>
  <c r="N98" i="37" s="1"/>
  <c r="L69" i="37"/>
  <c r="J69" i="37"/>
  <c r="F46" i="37"/>
  <c r="N266" i="37"/>
  <c r="L266" i="37"/>
  <c r="M264" i="37" s="1"/>
  <c r="M266" i="37" s="1"/>
  <c r="N255" i="37"/>
  <c r="N207" i="37" s="1"/>
  <c r="L255" i="37"/>
  <c r="O253" i="37"/>
  <c r="O252" i="37"/>
  <c r="O248" i="37"/>
  <c r="N244" i="37"/>
  <c r="O243" i="37" s="1"/>
  <c r="L244" i="37"/>
  <c r="M236" i="37" s="1"/>
  <c r="N232" i="37"/>
  <c r="L232" i="37"/>
  <c r="N231" i="37"/>
  <c r="L231" i="37"/>
  <c r="N230" i="37"/>
  <c r="L230" i="37"/>
  <c r="N229" i="37"/>
  <c r="L229" i="37"/>
  <c r="N228" i="37"/>
  <c r="L228" i="37"/>
  <c r="N227" i="37"/>
  <c r="L227" i="37"/>
  <c r="N226" i="37"/>
  <c r="L226" i="37"/>
  <c r="N225" i="37"/>
  <c r="L225" i="37"/>
  <c r="M208" i="37"/>
  <c r="N190" i="37"/>
  <c r="N172" i="37"/>
  <c r="P172" i="37" s="1"/>
  <c r="N123" i="37"/>
  <c r="N129" i="37" s="1"/>
  <c r="P157" i="37"/>
  <c r="P155" i="37"/>
  <c r="N212" i="37" s="1"/>
  <c r="P145" i="37"/>
  <c r="B133" i="37"/>
  <c r="B185" i="37" s="1"/>
  <c r="B278" i="37" s="1"/>
  <c r="N115" i="37"/>
  <c r="A115" i="37"/>
  <c r="A116" i="37" s="1"/>
  <c r="A117" i="37" s="1"/>
  <c r="A118" i="37" s="1"/>
  <c r="A119" i="37" s="1"/>
  <c r="A120" i="37" s="1"/>
  <c r="A105" i="37"/>
  <c r="A106" i="37" s="1"/>
  <c r="N100" i="37"/>
  <c r="P99" i="37"/>
  <c r="P83" i="37"/>
  <c r="P82" i="37"/>
  <c r="N72" i="37"/>
  <c r="H72" i="37"/>
  <c r="H86" i="37" s="1"/>
  <c r="F72" i="37"/>
  <c r="F86" i="37" s="1"/>
  <c r="P70" i="37"/>
  <c r="L72" i="37"/>
  <c r="L86" i="37" s="1"/>
  <c r="L59" i="37"/>
  <c r="L58" i="37"/>
  <c r="P52" i="37"/>
  <c r="F45" i="37"/>
  <c r="L38" i="37"/>
  <c r="J38" i="37"/>
  <c r="L37" i="37"/>
  <c r="J37" i="37"/>
  <c r="P36" i="37"/>
  <c r="P137" i="37"/>
  <c r="L35" i="37"/>
  <c r="J35" i="37"/>
  <c r="H35" i="37"/>
  <c r="H38" i="37"/>
  <c r="F35" i="37"/>
  <c r="F38" i="37" s="1"/>
  <c r="D35" i="37"/>
  <c r="D38" i="37" s="1"/>
  <c r="L34" i="37"/>
  <c r="J34" i="37"/>
  <c r="H34" i="37"/>
  <c r="H37" i="37" s="1"/>
  <c r="F34" i="37"/>
  <c r="F37" i="37" s="1"/>
  <c r="D34" i="37"/>
  <c r="D37" i="37" s="1"/>
  <c r="L255" i="36"/>
  <c r="M247" i="36" s="1"/>
  <c r="P106" i="36"/>
  <c r="P93" i="36"/>
  <c r="P92" i="36"/>
  <c r="M172" i="36"/>
  <c r="N91" i="36"/>
  <c r="N98" i="36" s="1"/>
  <c r="L69" i="36"/>
  <c r="J69" i="36"/>
  <c r="F46" i="36"/>
  <c r="P159" i="36"/>
  <c r="N266" i="36"/>
  <c r="O264" i="36" s="1"/>
  <c r="O266" i="36" s="1"/>
  <c r="L266" i="36"/>
  <c r="M264" i="36" s="1"/>
  <c r="M266" i="36" s="1"/>
  <c r="N255" i="36"/>
  <c r="O254" i="36" s="1"/>
  <c r="M250" i="36"/>
  <c r="M248" i="36"/>
  <c r="N244" i="36"/>
  <c r="O241" i="36" s="1"/>
  <c r="L244" i="36"/>
  <c r="L268" i="36" s="1"/>
  <c r="N232" i="36"/>
  <c r="L232" i="36"/>
  <c r="N231" i="36"/>
  <c r="L231" i="36"/>
  <c r="N230" i="36"/>
  <c r="L230" i="36"/>
  <c r="N229" i="36"/>
  <c r="L229" i="36"/>
  <c r="N228" i="36"/>
  <c r="L228" i="36"/>
  <c r="N227" i="36"/>
  <c r="L227" i="36"/>
  <c r="N226" i="36"/>
  <c r="L226" i="36"/>
  <c r="N225" i="36"/>
  <c r="L225" i="36"/>
  <c r="L233" i="36" s="1"/>
  <c r="N208" i="36"/>
  <c r="M208" i="36"/>
  <c r="M207" i="36"/>
  <c r="N190" i="36"/>
  <c r="N172" i="36"/>
  <c r="P157" i="36"/>
  <c r="P155" i="36"/>
  <c r="P145" i="36"/>
  <c r="B133" i="36"/>
  <c r="B185" i="36" s="1"/>
  <c r="B278" i="36" s="1"/>
  <c r="N115" i="36"/>
  <c r="A115" i="36"/>
  <c r="A116" i="36" s="1"/>
  <c r="A117" i="36" s="1"/>
  <c r="A118" i="36" s="1"/>
  <c r="A119" i="36" s="1"/>
  <c r="A120" i="36" s="1"/>
  <c r="A105" i="36"/>
  <c r="A106" i="36" s="1"/>
  <c r="N100" i="36"/>
  <c r="P99" i="36"/>
  <c r="P98" i="36"/>
  <c r="P83" i="36"/>
  <c r="P82" i="36"/>
  <c r="N72" i="36"/>
  <c r="L72" i="36"/>
  <c r="L86" i="36" s="1"/>
  <c r="H72" i="36"/>
  <c r="H86" i="36" s="1"/>
  <c r="F72" i="36"/>
  <c r="F86" i="36" s="1"/>
  <c r="P70" i="36"/>
  <c r="J72" i="36"/>
  <c r="J86" i="36" s="1"/>
  <c r="L59" i="36"/>
  <c r="L58" i="36"/>
  <c r="P52" i="36"/>
  <c r="F45" i="36"/>
  <c r="L38" i="36"/>
  <c r="J38" i="36"/>
  <c r="L37" i="36"/>
  <c r="J37" i="36"/>
  <c r="P36" i="36"/>
  <c r="P137" i="36" s="1"/>
  <c r="L35" i="36"/>
  <c r="J35" i="36"/>
  <c r="H35" i="36"/>
  <c r="H38" i="36" s="1"/>
  <c r="F35" i="36"/>
  <c r="F38" i="36" s="1"/>
  <c r="D35" i="36"/>
  <c r="D38" i="36" s="1"/>
  <c r="L34" i="36"/>
  <c r="J34" i="36"/>
  <c r="H34" i="36"/>
  <c r="H37" i="36" s="1"/>
  <c r="F34" i="36"/>
  <c r="F37" i="36" s="1"/>
  <c r="D34" i="36"/>
  <c r="D37" i="36" s="1"/>
  <c r="P106" i="35"/>
  <c r="P93" i="35"/>
  <c r="P92" i="35"/>
  <c r="N91" i="35"/>
  <c r="N98" i="35" s="1"/>
  <c r="J69" i="35"/>
  <c r="P69" i="35" s="1"/>
  <c r="F46" i="35"/>
  <c r="N266" i="35"/>
  <c r="O264" i="35" s="1"/>
  <c r="O266" i="35" s="1"/>
  <c r="L266" i="35"/>
  <c r="M264" i="35" s="1"/>
  <c r="M266" i="35" s="1"/>
  <c r="N255" i="35"/>
  <c r="O254" i="35" s="1"/>
  <c r="L255" i="35"/>
  <c r="M254" i="35" s="1"/>
  <c r="N244" i="35"/>
  <c r="L244" i="35"/>
  <c r="N232" i="35"/>
  <c r="L232" i="35"/>
  <c r="N231" i="35"/>
  <c r="L231" i="35"/>
  <c r="N230" i="35"/>
  <c r="L230" i="35"/>
  <c r="N229" i="35"/>
  <c r="L229" i="35"/>
  <c r="N228" i="35"/>
  <c r="L228" i="35"/>
  <c r="N227" i="35"/>
  <c r="L227" i="35"/>
  <c r="N226" i="35"/>
  <c r="L226" i="35"/>
  <c r="N225" i="35"/>
  <c r="L225" i="35"/>
  <c r="N208" i="35"/>
  <c r="M208" i="35"/>
  <c r="N190" i="35"/>
  <c r="N172" i="35"/>
  <c r="P157" i="35"/>
  <c r="P155" i="35"/>
  <c r="P156" i="35" s="1"/>
  <c r="P158" i="35" s="1"/>
  <c r="N212" i="35"/>
  <c r="P145" i="35"/>
  <c r="B133" i="35"/>
  <c r="B185" i="35" s="1"/>
  <c r="B278" i="35" s="1"/>
  <c r="N123" i="35"/>
  <c r="N129" i="35" s="1"/>
  <c r="N115" i="35"/>
  <c r="A115" i="35"/>
  <c r="A116" i="35" s="1"/>
  <c r="A117" i="35" s="1"/>
  <c r="A118" i="35" s="1"/>
  <c r="A119" i="35" s="1"/>
  <c r="A120" i="35" s="1"/>
  <c r="A105" i="35"/>
  <c r="A106" i="35" s="1"/>
  <c r="N100" i="35"/>
  <c r="P99" i="35"/>
  <c r="P83" i="35"/>
  <c r="P82" i="35"/>
  <c r="N72" i="35"/>
  <c r="L72" i="35"/>
  <c r="L86" i="35" s="1"/>
  <c r="J72" i="35"/>
  <c r="J86" i="35" s="1"/>
  <c r="H72" i="35"/>
  <c r="H86" i="35" s="1"/>
  <c r="F72" i="35"/>
  <c r="F86" i="35" s="1"/>
  <c r="P70" i="35"/>
  <c r="N202" i="35"/>
  <c r="L59" i="35"/>
  <c r="L58" i="35"/>
  <c r="P52" i="35"/>
  <c r="F45" i="35"/>
  <c r="L38" i="35"/>
  <c r="J38" i="35"/>
  <c r="L37" i="35"/>
  <c r="J37" i="35"/>
  <c r="P36" i="35"/>
  <c r="P137" i="35" s="1"/>
  <c r="L35" i="35"/>
  <c r="J35" i="35"/>
  <c r="H35" i="35"/>
  <c r="H38" i="35" s="1"/>
  <c r="F35" i="35"/>
  <c r="F38" i="35" s="1"/>
  <c r="D35" i="35"/>
  <c r="D38" i="35" s="1"/>
  <c r="L34" i="35"/>
  <c r="J34" i="35"/>
  <c r="H34" i="35"/>
  <c r="H37" i="35" s="1"/>
  <c r="F34" i="35"/>
  <c r="F37" i="35" s="1"/>
  <c r="D34" i="35"/>
  <c r="D37" i="35" s="1"/>
  <c r="N172" i="34"/>
  <c r="P106" i="34"/>
  <c r="P93" i="34"/>
  <c r="P92" i="34"/>
  <c r="N91" i="34"/>
  <c r="N98" i="34" s="1"/>
  <c r="J69" i="34"/>
  <c r="F46" i="34"/>
  <c r="P155" i="34"/>
  <c r="N212" i="34" s="1"/>
  <c r="N244" i="34"/>
  <c r="N255" i="34"/>
  <c r="N266" i="34"/>
  <c r="L266" i="34"/>
  <c r="M208" i="34" s="1"/>
  <c r="L255" i="34"/>
  <c r="M247" i="34" s="1"/>
  <c r="M254" i="34"/>
  <c r="O254" i="34"/>
  <c r="O253" i="34"/>
  <c r="O252" i="34"/>
  <c r="O251" i="34"/>
  <c r="O250" i="34"/>
  <c r="O249" i="34"/>
  <c r="O248" i="34"/>
  <c r="O247" i="34"/>
  <c r="L244" i="34"/>
  <c r="M238" i="34" s="1"/>
  <c r="O238" i="34"/>
  <c r="N232" i="34"/>
  <c r="L232" i="34"/>
  <c r="N231" i="34"/>
  <c r="L231" i="34"/>
  <c r="N230" i="34"/>
  <c r="L230" i="34"/>
  <c r="N229" i="34"/>
  <c r="L229" i="34"/>
  <c r="N228" i="34"/>
  <c r="L228" i="34"/>
  <c r="N227" i="34"/>
  <c r="L227" i="34"/>
  <c r="N226" i="34"/>
  <c r="L226" i="34"/>
  <c r="N225" i="34"/>
  <c r="L225" i="34"/>
  <c r="N208" i="34"/>
  <c r="N207" i="34"/>
  <c r="M207" i="34"/>
  <c r="N190" i="34"/>
  <c r="P157" i="34"/>
  <c r="P156" i="34"/>
  <c r="P145" i="34"/>
  <c r="B133" i="34"/>
  <c r="B185" i="34" s="1"/>
  <c r="B278" i="34" s="1"/>
  <c r="N123" i="34"/>
  <c r="N129" i="34" s="1"/>
  <c r="N115" i="34"/>
  <c r="A115" i="34"/>
  <c r="A116" i="34" s="1"/>
  <c r="A117" i="34" s="1"/>
  <c r="A118" i="34" s="1"/>
  <c r="A119" i="34" s="1"/>
  <c r="A120" i="34" s="1"/>
  <c r="A105" i="34"/>
  <c r="A106" i="34" s="1"/>
  <c r="N100" i="34"/>
  <c r="P99" i="34"/>
  <c r="P83" i="34"/>
  <c r="P82" i="34"/>
  <c r="N72" i="34"/>
  <c r="L72" i="34"/>
  <c r="L86" i="34" s="1"/>
  <c r="H72" i="34"/>
  <c r="H86" i="34" s="1"/>
  <c r="F72" i="34"/>
  <c r="F86" i="34" s="1"/>
  <c r="P70" i="34"/>
  <c r="J72" i="34"/>
  <c r="J86" i="34" s="1"/>
  <c r="L59" i="34"/>
  <c r="L58" i="34"/>
  <c r="P52" i="34"/>
  <c r="F45" i="34"/>
  <c r="L38" i="34"/>
  <c r="J38" i="34"/>
  <c r="L37" i="34"/>
  <c r="J37" i="34"/>
  <c r="H34" i="34"/>
  <c r="H37" i="34" s="1"/>
  <c r="D34" i="34"/>
  <c r="D37" i="34" s="1"/>
  <c r="P36" i="34"/>
  <c r="P137" i="34" s="1"/>
  <c r="L35" i="34"/>
  <c r="J35" i="34"/>
  <c r="H35" i="34"/>
  <c r="H38" i="34" s="1"/>
  <c r="F35" i="34"/>
  <c r="F38" i="34" s="1"/>
  <c r="D35" i="34"/>
  <c r="D38" i="34" s="1"/>
  <c r="L34" i="34"/>
  <c r="J34" i="34"/>
  <c r="F34" i="34"/>
  <c r="F37" i="34" s="1"/>
  <c r="P106" i="33"/>
  <c r="P93" i="33"/>
  <c r="P92" i="33"/>
  <c r="N91" i="33"/>
  <c r="N98" i="33"/>
  <c r="J69" i="33"/>
  <c r="F46" i="33"/>
  <c r="N265" i="33"/>
  <c r="L265" i="33"/>
  <c r="M207" i="33" s="1"/>
  <c r="N254" i="33"/>
  <c r="O252" i="33" s="1"/>
  <c r="L254" i="33"/>
  <c r="M246" i="33" s="1"/>
  <c r="M253" i="33"/>
  <c r="O251" i="33"/>
  <c r="M251" i="33"/>
  <c r="M250" i="33"/>
  <c r="O249" i="33"/>
  <c r="M249" i="33"/>
  <c r="M248" i="33"/>
  <c r="O247" i="33"/>
  <c r="M247" i="33"/>
  <c r="N243" i="33"/>
  <c r="O242" i="33" s="1"/>
  <c r="L243" i="33"/>
  <c r="N231" i="33"/>
  <c r="L231" i="33"/>
  <c r="N230" i="33"/>
  <c r="L230" i="33"/>
  <c r="N229" i="33"/>
  <c r="L229" i="33"/>
  <c r="N228" i="33"/>
  <c r="L228" i="33"/>
  <c r="N227" i="33"/>
  <c r="L227" i="33"/>
  <c r="N226" i="33"/>
  <c r="L226" i="33"/>
  <c r="N225" i="33"/>
  <c r="L225" i="33"/>
  <c r="N224" i="33"/>
  <c r="L224" i="33"/>
  <c r="N207" i="33"/>
  <c r="M206" i="33"/>
  <c r="N189" i="33"/>
  <c r="P158" i="33"/>
  <c r="P156" i="33"/>
  <c r="P154" i="33"/>
  <c r="P144" i="33"/>
  <c r="B132" i="33"/>
  <c r="B184" i="33" s="1"/>
  <c r="B277" i="33" s="1"/>
  <c r="N122" i="33"/>
  <c r="N128" i="33" s="1"/>
  <c r="N114" i="33"/>
  <c r="A114" i="33"/>
  <c r="A115" i="33" s="1"/>
  <c r="A116" i="33" s="1"/>
  <c r="A117" i="33" s="1"/>
  <c r="A118" i="33" s="1"/>
  <c r="A119" i="33" s="1"/>
  <c r="A105" i="33"/>
  <c r="A106" i="33" s="1"/>
  <c r="N100" i="33"/>
  <c r="P99" i="33"/>
  <c r="P83" i="33"/>
  <c r="P82" i="33"/>
  <c r="N72" i="33"/>
  <c r="L72" i="33"/>
  <c r="L86" i="33" s="1"/>
  <c r="H72" i="33"/>
  <c r="H86" i="33" s="1"/>
  <c r="F72" i="33"/>
  <c r="F86" i="33" s="1"/>
  <c r="P70" i="33"/>
  <c r="N201" i="33"/>
  <c r="L59" i="33"/>
  <c r="L58" i="33"/>
  <c r="P52" i="33"/>
  <c r="F45" i="33"/>
  <c r="L38" i="33"/>
  <c r="J38" i="33"/>
  <c r="L37" i="33"/>
  <c r="J37" i="33"/>
  <c r="P36" i="33"/>
  <c r="P136" i="33" s="1"/>
  <c r="L35" i="33"/>
  <c r="J35" i="33"/>
  <c r="H35" i="33"/>
  <c r="H38" i="33" s="1"/>
  <c r="F35" i="33"/>
  <c r="F38" i="33" s="1"/>
  <c r="D35" i="33"/>
  <c r="D38" i="33" s="1"/>
  <c r="L34" i="33"/>
  <c r="J34" i="33"/>
  <c r="H34" i="33"/>
  <c r="H37" i="33" s="1"/>
  <c r="F34" i="33"/>
  <c r="F37" i="33" s="1"/>
  <c r="D34" i="33"/>
  <c r="D37" i="33" s="1"/>
  <c r="P158" i="32"/>
  <c r="P106" i="32"/>
  <c r="P93" i="32"/>
  <c r="P92" i="32"/>
  <c r="N91" i="32"/>
  <c r="N98" i="32" s="1"/>
  <c r="J69" i="32"/>
  <c r="F46" i="32"/>
  <c r="N265" i="32"/>
  <c r="L265" i="32"/>
  <c r="M207" i="32" s="1"/>
  <c r="N254" i="32"/>
  <c r="O252" i="32" s="1"/>
  <c r="L254" i="32"/>
  <c r="M246" i="32" s="1"/>
  <c r="M253" i="32"/>
  <c r="M252" i="32"/>
  <c r="M249" i="32"/>
  <c r="M248" i="32"/>
  <c r="M247" i="32"/>
  <c r="N243" i="32"/>
  <c r="O242" i="32" s="1"/>
  <c r="L243" i="32"/>
  <c r="N231" i="32"/>
  <c r="L231" i="32"/>
  <c r="N230" i="32"/>
  <c r="L230" i="32"/>
  <c r="N229" i="32"/>
  <c r="L229" i="32"/>
  <c r="N228" i="32"/>
  <c r="L228" i="32"/>
  <c r="N227" i="32"/>
  <c r="L227" i="32"/>
  <c r="N226" i="32"/>
  <c r="L226" i="32"/>
  <c r="N225" i="32"/>
  <c r="L225" i="32"/>
  <c r="N224" i="32"/>
  <c r="L224" i="32"/>
  <c r="N207" i="32"/>
  <c r="N189" i="32"/>
  <c r="N171" i="32"/>
  <c r="P171" i="32" s="1"/>
  <c r="P156" i="32"/>
  <c r="P154" i="32"/>
  <c r="N211" i="32" s="1"/>
  <c r="P144" i="32"/>
  <c r="B132" i="32"/>
  <c r="B184" i="32" s="1"/>
  <c r="B277" i="32" s="1"/>
  <c r="N122" i="32"/>
  <c r="N128" i="32" s="1"/>
  <c r="N114" i="32"/>
  <c r="A114" i="32"/>
  <c r="A115" i="32" s="1"/>
  <c r="A116" i="32" s="1"/>
  <c r="A117" i="32" s="1"/>
  <c r="A118" i="32" s="1"/>
  <c r="A119" i="32" s="1"/>
  <c r="A105" i="32"/>
  <c r="A106" i="32" s="1"/>
  <c r="N100" i="32"/>
  <c r="P99" i="32"/>
  <c r="P83" i="32"/>
  <c r="P82" i="32"/>
  <c r="N72" i="32"/>
  <c r="L72" i="32"/>
  <c r="L86" i="32"/>
  <c r="H72" i="32"/>
  <c r="H86" i="32" s="1"/>
  <c r="F72" i="32"/>
  <c r="F86" i="32" s="1"/>
  <c r="P70" i="32"/>
  <c r="J72" i="32"/>
  <c r="J86" i="32" s="1"/>
  <c r="L59" i="32"/>
  <c r="L58" i="32"/>
  <c r="P52" i="32"/>
  <c r="F45" i="32"/>
  <c r="L38" i="32"/>
  <c r="J38" i="32"/>
  <c r="L37" i="32"/>
  <c r="J37" i="32"/>
  <c r="P36" i="32"/>
  <c r="P136" i="32" s="1"/>
  <c r="L35" i="32"/>
  <c r="J35" i="32"/>
  <c r="H35" i="32"/>
  <c r="H38" i="32" s="1"/>
  <c r="F35" i="32"/>
  <c r="F38" i="32" s="1"/>
  <c r="D35" i="32"/>
  <c r="D38" i="32" s="1"/>
  <c r="L34" i="32"/>
  <c r="J34" i="32"/>
  <c r="H34" i="32"/>
  <c r="H37" i="32" s="1"/>
  <c r="F34" i="32"/>
  <c r="F37" i="32" s="1"/>
  <c r="D34" i="32"/>
  <c r="D37" i="32"/>
  <c r="P106" i="31"/>
  <c r="P93" i="31"/>
  <c r="P92" i="31"/>
  <c r="N91" i="31"/>
  <c r="N98" i="31" s="1"/>
  <c r="J69" i="31"/>
  <c r="F46" i="31"/>
  <c r="N265" i="31"/>
  <c r="L265" i="31"/>
  <c r="M261" i="31" s="1"/>
  <c r="O264" i="31"/>
  <c r="O263" i="31"/>
  <c r="O261" i="31"/>
  <c r="N254" i="31"/>
  <c r="N206" i="31" s="1"/>
  <c r="L254" i="31"/>
  <c r="M206" i="31" s="1"/>
  <c r="O251" i="31"/>
  <c r="O247" i="31"/>
  <c r="N243" i="31"/>
  <c r="O237" i="31" s="1"/>
  <c r="L243" i="31"/>
  <c r="N231" i="31"/>
  <c r="L231" i="31"/>
  <c r="N230" i="31"/>
  <c r="L230" i="31"/>
  <c r="N229" i="31"/>
  <c r="L229" i="31"/>
  <c r="N228" i="31"/>
  <c r="L228" i="31"/>
  <c r="N227" i="31"/>
  <c r="L227" i="31"/>
  <c r="N226" i="31"/>
  <c r="L226" i="31"/>
  <c r="N225" i="31"/>
  <c r="L225" i="31"/>
  <c r="N224" i="31"/>
  <c r="L224" i="31"/>
  <c r="N207" i="31"/>
  <c r="M207" i="31"/>
  <c r="N189" i="31"/>
  <c r="N171" i="31"/>
  <c r="P156" i="31"/>
  <c r="P154" i="31"/>
  <c r="N211" i="31" s="1"/>
  <c r="P144" i="31"/>
  <c r="B132" i="31"/>
  <c r="B184" i="31" s="1"/>
  <c r="B277" i="31" s="1"/>
  <c r="N122" i="31"/>
  <c r="N128" i="31" s="1"/>
  <c r="N114" i="31"/>
  <c r="A114" i="31"/>
  <c r="A115" i="31"/>
  <c r="A116" i="31" s="1"/>
  <c r="A117" i="31" s="1"/>
  <c r="A118" i="31" s="1"/>
  <c r="A119" i="31" s="1"/>
  <c r="A105" i="31"/>
  <c r="A106" i="31" s="1"/>
  <c r="N100" i="31"/>
  <c r="N102" i="31" s="1"/>
  <c r="P99" i="31"/>
  <c r="P98" i="31"/>
  <c r="P83" i="31"/>
  <c r="P82" i="31"/>
  <c r="N72" i="31"/>
  <c r="H72" i="31"/>
  <c r="H86" i="31" s="1"/>
  <c r="F72" i="31"/>
  <c r="F86" i="31" s="1"/>
  <c r="P70" i="31"/>
  <c r="L72" i="31"/>
  <c r="L86" i="31" s="1"/>
  <c r="N201" i="31"/>
  <c r="L59" i="31"/>
  <c r="L58" i="31"/>
  <c r="P52" i="31"/>
  <c r="F45" i="31"/>
  <c r="L38" i="31"/>
  <c r="J38" i="31"/>
  <c r="L37" i="31"/>
  <c r="J37" i="31"/>
  <c r="P36" i="31"/>
  <c r="P136" i="31" s="1"/>
  <c r="L35" i="31"/>
  <c r="J35" i="31"/>
  <c r="H35" i="31"/>
  <c r="H38" i="31" s="1"/>
  <c r="F35" i="31"/>
  <c r="F38" i="31" s="1"/>
  <c r="D35" i="31"/>
  <c r="D38" i="31" s="1"/>
  <c r="L34" i="31"/>
  <c r="J34" i="31"/>
  <c r="H34" i="31"/>
  <c r="H37" i="31" s="1"/>
  <c r="F34" i="31"/>
  <c r="F37" i="31" s="1"/>
  <c r="D34" i="31"/>
  <c r="D37" i="31" s="1"/>
  <c r="P106" i="30"/>
  <c r="P92" i="30"/>
  <c r="P98" i="30" s="1"/>
  <c r="N91" i="30"/>
  <c r="N98" i="30" s="1"/>
  <c r="L69" i="30"/>
  <c r="L72" i="30" s="1"/>
  <c r="L86" i="30" s="1"/>
  <c r="J69" i="30"/>
  <c r="N201" i="30" s="1"/>
  <c r="F46" i="30"/>
  <c r="N265" i="30"/>
  <c r="O264" i="30" s="1"/>
  <c r="L265" i="30"/>
  <c r="M263" i="30"/>
  <c r="N254" i="30"/>
  <c r="O250" i="30" s="1"/>
  <c r="L254" i="30"/>
  <c r="M246" i="30" s="1"/>
  <c r="M253" i="30"/>
  <c r="O252" i="30"/>
  <c r="M251" i="30"/>
  <c r="M250" i="30"/>
  <c r="M249" i="30"/>
  <c r="O248" i="30"/>
  <c r="M248" i="30"/>
  <c r="M247" i="30"/>
  <c r="O246" i="30"/>
  <c r="N243" i="30"/>
  <c r="O242" i="30" s="1"/>
  <c r="L243" i="30"/>
  <c r="M235" i="30" s="1"/>
  <c r="N231" i="30"/>
  <c r="L231" i="30"/>
  <c r="N230" i="30"/>
  <c r="L230" i="30"/>
  <c r="N229" i="30"/>
  <c r="L229" i="30"/>
  <c r="N228" i="30"/>
  <c r="L228" i="30"/>
  <c r="N227" i="30"/>
  <c r="L227" i="30"/>
  <c r="N226" i="30"/>
  <c r="L226" i="30"/>
  <c r="N225" i="30"/>
  <c r="L225" i="30"/>
  <c r="N224" i="30"/>
  <c r="L224" i="30"/>
  <c r="N207" i="30"/>
  <c r="N206" i="30"/>
  <c r="N189" i="30"/>
  <c r="N171" i="30"/>
  <c r="P156" i="30"/>
  <c r="P154" i="30"/>
  <c r="P155" i="30" s="1"/>
  <c r="P144" i="30"/>
  <c r="B132" i="30"/>
  <c r="B184" i="30" s="1"/>
  <c r="B277" i="30" s="1"/>
  <c r="N122" i="30"/>
  <c r="N128" i="30" s="1"/>
  <c r="N114" i="30"/>
  <c r="A114" i="30"/>
  <c r="A115" i="30"/>
  <c r="A116" i="30" s="1"/>
  <c r="A117" i="30" s="1"/>
  <c r="A118" i="30" s="1"/>
  <c r="A119" i="30" s="1"/>
  <c r="A105" i="30"/>
  <c r="A106" i="30" s="1"/>
  <c r="N100" i="30"/>
  <c r="P99" i="30"/>
  <c r="P83" i="30"/>
  <c r="P82" i="30"/>
  <c r="N72" i="30"/>
  <c r="H72" i="30"/>
  <c r="H86" i="30" s="1"/>
  <c r="F72" i="30"/>
  <c r="F86" i="30" s="1"/>
  <c r="P70" i="30"/>
  <c r="J72" i="30"/>
  <c r="J86" i="30" s="1"/>
  <c r="L59" i="30"/>
  <c r="L58" i="30"/>
  <c r="P52" i="30"/>
  <c r="F45" i="30"/>
  <c r="L38" i="30"/>
  <c r="J38" i="30"/>
  <c r="L37" i="30"/>
  <c r="J37" i="30"/>
  <c r="P36" i="30"/>
  <c r="P136" i="30" s="1"/>
  <c r="L35" i="30"/>
  <c r="J35" i="30"/>
  <c r="H35" i="30"/>
  <c r="H38" i="30" s="1"/>
  <c r="F35" i="30"/>
  <c r="F38" i="30" s="1"/>
  <c r="D35" i="30"/>
  <c r="D38" i="30" s="1"/>
  <c r="L34" i="30"/>
  <c r="J34" i="30"/>
  <c r="H34" i="30"/>
  <c r="H37" i="30" s="1"/>
  <c r="F34" i="30"/>
  <c r="F37" i="30" s="1"/>
  <c r="D34" i="30"/>
  <c r="D37" i="30" s="1"/>
  <c r="P106" i="29"/>
  <c r="P93" i="29"/>
  <c r="P92" i="29"/>
  <c r="N91" i="29"/>
  <c r="N98" i="29" s="1"/>
  <c r="L69" i="29"/>
  <c r="L72" i="29"/>
  <c r="L86" i="29" s="1"/>
  <c r="J69" i="29"/>
  <c r="N201" i="29" s="1"/>
  <c r="F46" i="29"/>
  <c r="D34" i="29"/>
  <c r="F34" i="29"/>
  <c r="F37" i="29" s="1"/>
  <c r="H34" i="29"/>
  <c r="H37" i="29" s="1"/>
  <c r="J34" i="29"/>
  <c r="L34" i="29"/>
  <c r="D35" i="29"/>
  <c r="D38" i="29" s="1"/>
  <c r="F35" i="29"/>
  <c r="F38" i="29" s="1"/>
  <c r="H35" i="29"/>
  <c r="H38" i="29" s="1"/>
  <c r="J35" i="29"/>
  <c r="L35" i="29"/>
  <c r="P36" i="29"/>
  <c r="P54" i="29" s="1"/>
  <c r="D37" i="29"/>
  <c r="J37" i="29"/>
  <c r="L37" i="29"/>
  <c r="J38" i="29"/>
  <c r="L38" i="29"/>
  <c r="F45" i="29"/>
  <c r="P52" i="29"/>
  <c r="L58" i="29"/>
  <c r="L59" i="29"/>
  <c r="P70" i="29"/>
  <c r="F72" i="29"/>
  <c r="F86" i="29" s="1"/>
  <c r="H72" i="29"/>
  <c r="N72" i="29"/>
  <c r="P82" i="29"/>
  <c r="P83" i="29"/>
  <c r="H86" i="29"/>
  <c r="P99" i="29"/>
  <c r="N100" i="29"/>
  <c r="A105" i="29"/>
  <c r="A106" i="29" s="1"/>
  <c r="A114" i="29"/>
  <c r="A115" i="29" s="1"/>
  <c r="A116" i="29" s="1"/>
  <c r="A117" i="29" s="1"/>
  <c r="A118" i="29" s="1"/>
  <c r="A119" i="29" s="1"/>
  <c r="N114" i="29"/>
  <c r="N122" i="29"/>
  <c r="N128" i="29" s="1"/>
  <c r="B132" i="29"/>
  <c r="B184" i="29" s="1"/>
  <c r="B277" i="29" s="1"/>
  <c r="P136" i="29"/>
  <c r="P144" i="29"/>
  <c r="P154" i="29"/>
  <c r="P155" i="29" s="1"/>
  <c r="P156" i="29"/>
  <c r="N171" i="29"/>
  <c r="P171" i="29" s="1"/>
  <c r="N189" i="29"/>
  <c r="L254" i="29"/>
  <c r="M206" i="29" s="1"/>
  <c r="L224" i="29"/>
  <c r="L228" i="29"/>
  <c r="L231" i="29"/>
  <c r="L230" i="29"/>
  <c r="L225" i="29"/>
  <c r="L226" i="29"/>
  <c r="L227" i="29"/>
  <c r="L229" i="29"/>
  <c r="N224" i="29"/>
  <c r="N225" i="29"/>
  <c r="N228" i="29"/>
  <c r="N231" i="29"/>
  <c r="N230" i="29"/>
  <c r="N226" i="29"/>
  <c r="N227" i="29"/>
  <c r="N229" i="29"/>
  <c r="L243" i="29"/>
  <c r="N243" i="29"/>
  <c r="O238" i="29" s="1"/>
  <c r="M249" i="29"/>
  <c r="N254" i="29"/>
  <c r="M253" i="29"/>
  <c r="M246" i="29"/>
  <c r="L265" i="29"/>
  <c r="N265" i="29"/>
  <c r="O263" i="29" s="1"/>
  <c r="P106" i="28"/>
  <c r="P93" i="28"/>
  <c r="P92" i="28"/>
  <c r="N91" i="28"/>
  <c r="L69" i="28"/>
  <c r="J69" i="28"/>
  <c r="P69" i="28" s="1"/>
  <c r="F46" i="28"/>
  <c r="N205" i="5"/>
  <c r="N206" i="5" s="1"/>
  <c r="N208" i="6" s="1"/>
  <c r="N207" i="6"/>
  <c r="N207" i="7"/>
  <c r="N207" i="8"/>
  <c r="P152" i="9"/>
  <c r="N207" i="9" s="1"/>
  <c r="P153" i="10"/>
  <c r="N208" i="10" s="1"/>
  <c r="P153" i="11"/>
  <c r="N208" i="11" s="1"/>
  <c r="P153" i="12"/>
  <c r="N208" i="12"/>
  <c r="P153" i="13"/>
  <c r="N208" i="13" s="1"/>
  <c r="P154" i="14"/>
  <c r="N209" i="14" s="1"/>
  <c r="P154" i="15"/>
  <c r="N209" i="15" s="1"/>
  <c r="P154" i="16"/>
  <c r="N209" i="16" s="1"/>
  <c r="P154" i="17"/>
  <c r="N209" i="17" s="1"/>
  <c r="P155" i="18"/>
  <c r="N211" i="18" s="1"/>
  <c r="P155" i="19"/>
  <c r="N211" i="19" s="1"/>
  <c r="P155" i="20"/>
  <c r="N211" i="20" s="1"/>
  <c r="P155" i="21"/>
  <c r="N212" i="21" s="1"/>
  <c r="P155" i="22"/>
  <c r="N212" i="22" s="1"/>
  <c r="P155" i="23"/>
  <c r="P154" i="24"/>
  <c r="N211" i="24" s="1"/>
  <c r="P154" i="25"/>
  <c r="N211" i="25" s="1"/>
  <c r="P154" i="26"/>
  <c r="N211" i="26" s="1"/>
  <c r="P154" i="27"/>
  <c r="P154" i="28"/>
  <c r="N211" i="28" s="1"/>
  <c r="N171" i="27"/>
  <c r="N171" i="26"/>
  <c r="P171" i="26" s="1"/>
  <c r="N171" i="25"/>
  <c r="N171" i="24"/>
  <c r="P171" i="24" s="1"/>
  <c r="N172" i="23"/>
  <c r="N172" i="22"/>
  <c r="N172" i="21"/>
  <c r="N171" i="20"/>
  <c r="N171" i="19"/>
  <c r="N171" i="18"/>
  <c r="N169" i="17"/>
  <c r="N169" i="16"/>
  <c r="P169" i="16" s="1"/>
  <c r="N169" i="15"/>
  <c r="N169" i="14"/>
  <c r="P169" i="14" s="1"/>
  <c r="N168" i="13"/>
  <c r="N168" i="12"/>
  <c r="N168" i="11"/>
  <c r="N168" i="10"/>
  <c r="N167" i="9"/>
  <c r="N167" i="8"/>
  <c r="N167" i="7"/>
  <c r="N167" i="6"/>
  <c r="N165" i="5"/>
  <c r="N165" i="4"/>
  <c r="N164" i="3"/>
  <c r="N164" i="1"/>
  <c r="M164" i="1"/>
  <c r="M162" i="2" s="1"/>
  <c r="M164" i="2" s="1"/>
  <c r="M163" i="3" s="1"/>
  <c r="M165" i="3" s="1"/>
  <c r="M169" i="17"/>
  <c r="M171" i="18"/>
  <c r="N123" i="18" s="1"/>
  <c r="M171" i="19"/>
  <c r="M171" i="20"/>
  <c r="M172" i="21"/>
  <c r="M172" i="22"/>
  <c r="N123" i="22" s="1"/>
  <c r="N129" i="22" s="1"/>
  <c r="M172" i="23"/>
  <c r="N123" i="23" s="1"/>
  <c r="N129" i="23" s="1"/>
  <c r="M171" i="25"/>
  <c r="D34" i="28"/>
  <c r="D37" i="28" s="1"/>
  <c r="F34" i="28"/>
  <c r="F37" i="28" s="1"/>
  <c r="H34" i="28"/>
  <c r="H37" i="28" s="1"/>
  <c r="J34" i="28"/>
  <c r="L34" i="28"/>
  <c r="D35" i="28"/>
  <c r="D38" i="28" s="1"/>
  <c r="F35" i="28"/>
  <c r="F38" i="28" s="1"/>
  <c r="H35" i="28"/>
  <c r="H38" i="28" s="1"/>
  <c r="J35" i="28"/>
  <c r="L35" i="28"/>
  <c r="P36" i="28"/>
  <c r="J37" i="28"/>
  <c r="L37" i="28"/>
  <c r="J38" i="28"/>
  <c r="L38" i="28"/>
  <c r="F45" i="28"/>
  <c r="P52" i="28"/>
  <c r="L58" i="28"/>
  <c r="L59" i="28"/>
  <c r="P70" i="28"/>
  <c r="F72" i="28"/>
  <c r="F86" i="28"/>
  <c r="H72" i="28"/>
  <c r="H86" i="28" s="1"/>
  <c r="L72" i="28"/>
  <c r="L86" i="28" s="1"/>
  <c r="N72" i="28"/>
  <c r="P82" i="28"/>
  <c r="P83" i="28"/>
  <c r="N98" i="28"/>
  <c r="N100" i="28"/>
  <c r="N122" i="28"/>
  <c r="N128" i="28" s="1"/>
  <c r="N114" i="28"/>
  <c r="P99" i="28"/>
  <c r="A105" i="28"/>
  <c r="A106" i="28" s="1"/>
  <c r="A114" i="28"/>
  <c r="A115" i="28" s="1"/>
  <c r="A116" i="28" s="1"/>
  <c r="A117" i="28" s="1"/>
  <c r="A118" i="28" s="1"/>
  <c r="A119" i="28" s="1"/>
  <c r="B132" i="28"/>
  <c r="B184" i="28" s="1"/>
  <c r="B277" i="28" s="1"/>
  <c r="P144" i="28"/>
  <c r="P156" i="28"/>
  <c r="N171" i="28"/>
  <c r="P171" i="28" s="1"/>
  <c r="N189" i="28"/>
  <c r="L254" i="28"/>
  <c r="N254" i="28"/>
  <c r="O252" i="28" s="1"/>
  <c r="L265" i="28"/>
  <c r="M261" i="28" s="1"/>
  <c r="N265" i="28"/>
  <c r="O261" i="28" s="1"/>
  <c r="L224" i="28"/>
  <c r="L225" i="28"/>
  <c r="L226" i="28"/>
  <c r="L227" i="28"/>
  <c r="L228" i="28"/>
  <c r="L229" i="28"/>
  <c r="L230" i="28"/>
  <c r="L231" i="28"/>
  <c r="N224" i="28"/>
  <c r="N225" i="28"/>
  <c r="N226" i="28"/>
  <c r="N227" i="28"/>
  <c r="N228" i="28"/>
  <c r="N229" i="28"/>
  <c r="N230" i="28"/>
  <c r="N231" i="28"/>
  <c r="L243" i="28"/>
  <c r="N243" i="28"/>
  <c r="O240" i="28" s="1"/>
  <c r="P158" i="27"/>
  <c r="P106" i="27"/>
  <c r="P93" i="27"/>
  <c r="P92" i="27"/>
  <c r="N91" i="27"/>
  <c r="N98" i="27" s="1"/>
  <c r="L69" i="27"/>
  <c r="L72" i="27"/>
  <c r="L86" i="27" s="1"/>
  <c r="J69" i="27"/>
  <c r="F46" i="27"/>
  <c r="D34" i="27"/>
  <c r="D37" i="27" s="1"/>
  <c r="F34" i="27"/>
  <c r="F37" i="27" s="1"/>
  <c r="H34" i="27"/>
  <c r="H37" i="27" s="1"/>
  <c r="J34" i="27"/>
  <c r="L34" i="27"/>
  <c r="D35" i="27"/>
  <c r="D38" i="27" s="1"/>
  <c r="F35" i="27"/>
  <c r="F38" i="27" s="1"/>
  <c r="H35" i="27"/>
  <c r="H38" i="27" s="1"/>
  <c r="J35" i="27"/>
  <c r="L35" i="27"/>
  <c r="P36" i="27"/>
  <c r="P136" i="27" s="1"/>
  <c r="J37" i="27"/>
  <c r="L37" i="27"/>
  <c r="J38" i="27"/>
  <c r="L38" i="27"/>
  <c r="F45" i="27"/>
  <c r="P52" i="27"/>
  <c r="L58" i="27"/>
  <c r="L59" i="27"/>
  <c r="P70" i="27"/>
  <c r="F72" i="27"/>
  <c r="F86" i="27" s="1"/>
  <c r="H72" i="27"/>
  <c r="H86" i="27" s="1"/>
  <c r="N72" i="27"/>
  <c r="P82" i="27"/>
  <c r="P83" i="27"/>
  <c r="N100" i="27"/>
  <c r="N122" i="27"/>
  <c r="N128" i="27" s="1"/>
  <c r="N114" i="27"/>
  <c r="P99" i="27"/>
  <c r="A105" i="27"/>
  <c r="A106" i="27" s="1"/>
  <c r="A114" i="27"/>
  <c r="A115" i="27" s="1"/>
  <c r="A116" i="27" s="1"/>
  <c r="A117" i="27" s="1"/>
  <c r="A118" i="27" s="1"/>
  <c r="A119" i="27" s="1"/>
  <c r="B132" i="27"/>
  <c r="B184" i="27" s="1"/>
  <c r="B277" i="27" s="1"/>
  <c r="P144" i="27"/>
  <c r="P156" i="27"/>
  <c r="P171" i="27"/>
  <c r="N189" i="27"/>
  <c r="L254" i="27"/>
  <c r="M247" i="27" s="1"/>
  <c r="N254" i="27"/>
  <c r="O251" i="27" s="1"/>
  <c r="L265" i="27"/>
  <c r="M207" i="27" s="1"/>
  <c r="N265" i="27"/>
  <c r="N207" i="27" s="1"/>
  <c r="L224" i="27"/>
  <c r="L225" i="27"/>
  <c r="L226" i="27"/>
  <c r="L227" i="27"/>
  <c r="L228" i="27"/>
  <c r="L229" i="27"/>
  <c r="L230" i="27"/>
  <c r="L231" i="27"/>
  <c r="N224" i="27"/>
  <c r="N225" i="27"/>
  <c r="N226" i="27"/>
  <c r="N227" i="27"/>
  <c r="N228" i="27"/>
  <c r="N229" i="27"/>
  <c r="N230" i="27"/>
  <c r="N231" i="27"/>
  <c r="L243" i="27"/>
  <c r="N243" i="27"/>
  <c r="M246" i="27"/>
  <c r="M248" i="27"/>
  <c r="M250" i="27"/>
  <c r="M252" i="27"/>
  <c r="P92" i="26"/>
  <c r="P106" i="26"/>
  <c r="P93" i="26"/>
  <c r="N91" i="26"/>
  <c r="N98" i="26"/>
  <c r="L69" i="26"/>
  <c r="J69" i="26"/>
  <c r="N201" i="26" s="1"/>
  <c r="F46" i="26"/>
  <c r="D34" i="26"/>
  <c r="D37" i="26" s="1"/>
  <c r="F34" i="26"/>
  <c r="F37" i="26" s="1"/>
  <c r="H34" i="26"/>
  <c r="H37" i="26" s="1"/>
  <c r="J37" i="26"/>
  <c r="L37" i="26"/>
  <c r="J34" i="26"/>
  <c r="L34" i="26"/>
  <c r="D35" i="26"/>
  <c r="D38" i="26" s="1"/>
  <c r="F35" i="26"/>
  <c r="F38" i="26" s="1"/>
  <c r="H35" i="26"/>
  <c r="H38" i="26" s="1"/>
  <c r="J35" i="26"/>
  <c r="L35" i="26"/>
  <c r="P36" i="26"/>
  <c r="P54" i="26" s="1"/>
  <c r="J38" i="26"/>
  <c r="L38" i="26"/>
  <c r="F45" i="26"/>
  <c r="P52" i="26"/>
  <c r="L58" i="26"/>
  <c r="L59" i="26"/>
  <c r="P70" i="26"/>
  <c r="F72" i="26"/>
  <c r="F86" i="26" s="1"/>
  <c r="H72" i="26"/>
  <c r="H86" i="26" s="1"/>
  <c r="L72" i="26"/>
  <c r="L86" i="26" s="1"/>
  <c r="N72" i="26"/>
  <c r="P82" i="26"/>
  <c r="P83" i="26"/>
  <c r="N100" i="26"/>
  <c r="N122" i="26"/>
  <c r="N128" i="26" s="1"/>
  <c r="N114" i="26"/>
  <c r="P99" i="26"/>
  <c r="A105" i="26"/>
  <c r="A106" i="26" s="1"/>
  <c r="A114" i="26"/>
  <c r="A115" i="26" s="1"/>
  <c r="A116" i="26" s="1"/>
  <c r="A117" i="26" s="1"/>
  <c r="A118" i="26" s="1"/>
  <c r="A119" i="26" s="1"/>
  <c r="B132" i="26"/>
  <c r="B184" i="26" s="1"/>
  <c r="B277" i="26" s="1"/>
  <c r="P144" i="26"/>
  <c r="P155" i="26"/>
  <c r="P156" i="26"/>
  <c r="N185" i="26"/>
  <c r="N189" i="26"/>
  <c r="L254" i="26"/>
  <c r="M206" i="26" s="1"/>
  <c r="N254" i="26"/>
  <c r="O250" i="26"/>
  <c r="L265" i="26"/>
  <c r="N265" i="26"/>
  <c r="N207" i="26" s="1"/>
  <c r="L224" i="26"/>
  <c r="L225" i="26"/>
  <c r="L226" i="26"/>
  <c r="L227" i="26"/>
  <c r="L228" i="26"/>
  <c r="L229" i="26"/>
  <c r="L230" i="26"/>
  <c r="L231" i="26"/>
  <c r="N224" i="26"/>
  <c r="N225" i="26"/>
  <c r="N226" i="26"/>
  <c r="N227" i="26"/>
  <c r="N228" i="26"/>
  <c r="N229" i="26"/>
  <c r="N230" i="26"/>
  <c r="N231" i="26"/>
  <c r="L243" i="26"/>
  <c r="N243" i="26"/>
  <c r="M247" i="26"/>
  <c r="O248" i="26"/>
  <c r="M250" i="26"/>
  <c r="M252" i="26"/>
  <c r="P158" i="25"/>
  <c r="P106" i="25"/>
  <c r="P93" i="25"/>
  <c r="P92" i="25"/>
  <c r="P99" i="25"/>
  <c r="N91" i="25"/>
  <c r="N98" i="25"/>
  <c r="L69" i="25"/>
  <c r="J69" i="25"/>
  <c r="J72" i="25" s="1"/>
  <c r="J86" i="25" s="1"/>
  <c r="F46" i="25"/>
  <c r="D34" i="25"/>
  <c r="D37" i="25" s="1"/>
  <c r="F34" i="25"/>
  <c r="F37" i="25" s="1"/>
  <c r="H34" i="25"/>
  <c r="H37" i="25" s="1"/>
  <c r="J34" i="25"/>
  <c r="L34" i="25"/>
  <c r="D35" i="25"/>
  <c r="D38" i="25" s="1"/>
  <c r="F35" i="25"/>
  <c r="F38" i="25" s="1"/>
  <c r="H35" i="25"/>
  <c r="H38" i="25" s="1"/>
  <c r="J35" i="25"/>
  <c r="L35" i="25"/>
  <c r="P36" i="25"/>
  <c r="P136" i="25" s="1"/>
  <c r="J37" i="25"/>
  <c r="L37" i="25"/>
  <c r="J38" i="25"/>
  <c r="L38" i="25"/>
  <c r="F45" i="25"/>
  <c r="P52" i="25"/>
  <c r="L58" i="25"/>
  <c r="L59" i="25"/>
  <c r="P70" i="25"/>
  <c r="F72" i="25"/>
  <c r="F86" i="25" s="1"/>
  <c r="H72" i="25"/>
  <c r="H86" i="25" s="1"/>
  <c r="L72" i="25"/>
  <c r="L86" i="25" s="1"/>
  <c r="N72" i="25"/>
  <c r="P82" i="25"/>
  <c r="P83" i="25"/>
  <c r="N100" i="25"/>
  <c r="N114" i="25"/>
  <c r="A105" i="25"/>
  <c r="A106" i="25" s="1"/>
  <c r="A114" i="25"/>
  <c r="A115" i="25" s="1"/>
  <c r="A116" i="25" s="1"/>
  <c r="A117" i="25" s="1"/>
  <c r="A118" i="25" s="1"/>
  <c r="A119" i="25" s="1"/>
  <c r="B132" i="25"/>
  <c r="B184" i="25" s="1"/>
  <c r="B277" i="25" s="1"/>
  <c r="P144" i="25"/>
  <c r="P156" i="25"/>
  <c r="N185" i="25"/>
  <c r="N189" i="25"/>
  <c r="L254" i="25"/>
  <c r="N254" i="25"/>
  <c r="O249" i="25" s="1"/>
  <c r="L265" i="25"/>
  <c r="M207" i="25" s="1"/>
  <c r="N265" i="25"/>
  <c r="N207" i="25" s="1"/>
  <c r="L224" i="25"/>
  <c r="L225" i="25"/>
  <c r="L226" i="25"/>
  <c r="L227" i="25"/>
  <c r="L228" i="25"/>
  <c r="L229" i="25"/>
  <c r="L230" i="25"/>
  <c r="L231" i="25"/>
  <c r="N224" i="25"/>
  <c r="N225" i="25"/>
  <c r="N226" i="25"/>
  <c r="N227" i="25"/>
  <c r="N228" i="25"/>
  <c r="N229" i="25"/>
  <c r="N230" i="25"/>
  <c r="N231" i="25"/>
  <c r="L243" i="25"/>
  <c r="M235" i="25" s="1"/>
  <c r="N243" i="25"/>
  <c r="O235" i="25" s="1"/>
  <c r="N224" i="24"/>
  <c r="N225" i="24"/>
  <c r="N226" i="24"/>
  <c r="N227" i="24"/>
  <c r="N228" i="24"/>
  <c r="N229" i="24"/>
  <c r="N230" i="24"/>
  <c r="N231" i="24"/>
  <c r="L225" i="24"/>
  <c r="L226" i="24"/>
  <c r="L227" i="24"/>
  <c r="L228" i="24"/>
  <c r="L229" i="24"/>
  <c r="L230" i="24"/>
  <c r="L231" i="24"/>
  <c r="L224" i="24"/>
  <c r="P106" i="24"/>
  <c r="P93" i="24"/>
  <c r="P92" i="24"/>
  <c r="N91" i="24"/>
  <c r="L69" i="24"/>
  <c r="L72" i="24" s="1"/>
  <c r="L86" i="24" s="1"/>
  <c r="J69" i="24"/>
  <c r="F46" i="24"/>
  <c r="D34" i="24"/>
  <c r="D37" i="24" s="1"/>
  <c r="F34" i="24"/>
  <c r="F37" i="24" s="1"/>
  <c r="H34" i="24"/>
  <c r="H37" i="24" s="1"/>
  <c r="J37" i="24"/>
  <c r="L37" i="24"/>
  <c r="F45" i="24"/>
  <c r="J34" i="24"/>
  <c r="L34" i="24"/>
  <c r="D35" i="24"/>
  <c r="D38" i="24" s="1"/>
  <c r="F35" i="24"/>
  <c r="F38" i="24" s="1"/>
  <c r="H35" i="24"/>
  <c r="J35" i="24"/>
  <c r="L35" i="24"/>
  <c r="P36" i="24"/>
  <c r="P136" i="24" s="1"/>
  <c r="H38" i="24"/>
  <c r="J38" i="24"/>
  <c r="L38" i="24"/>
  <c r="P52" i="24"/>
  <c r="L58" i="24"/>
  <c r="L59" i="24"/>
  <c r="P70" i="24"/>
  <c r="F72" i="24"/>
  <c r="F86" i="24" s="1"/>
  <c r="H72" i="24"/>
  <c r="J72" i="24"/>
  <c r="J86" i="24" s="1"/>
  <c r="N72" i="24"/>
  <c r="P82" i="24"/>
  <c r="P83" i="24"/>
  <c r="N98" i="24"/>
  <c r="N100" i="24"/>
  <c r="N122" i="24"/>
  <c r="N128" i="24" s="1"/>
  <c r="N114" i="24"/>
  <c r="H86" i="24"/>
  <c r="P99" i="24"/>
  <c r="A105" i="24"/>
  <c r="A106" i="24" s="1"/>
  <c r="A114" i="24"/>
  <c r="A115" i="24" s="1"/>
  <c r="A116" i="24" s="1"/>
  <c r="A117" i="24" s="1"/>
  <c r="A118" i="24" s="1"/>
  <c r="A119" i="24" s="1"/>
  <c r="B132" i="24"/>
  <c r="B184" i="24" s="1"/>
  <c r="B277" i="24" s="1"/>
  <c r="P144" i="24"/>
  <c r="P155" i="24"/>
  <c r="P156" i="24"/>
  <c r="N185" i="24"/>
  <c r="N189" i="24"/>
  <c r="L254" i="24"/>
  <c r="N254" i="24"/>
  <c r="N206" i="24" s="1"/>
  <c r="L265" i="24"/>
  <c r="M207" i="24" s="1"/>
  <c r="N265" i="24"/>
  <c r="N207" i="24" s="1"/>
  <c r="L243" i="24"/>
  <c r="N243" i="24"/>
  <c r="O239" i="24" s="1"/>
  <c r="O253" i="24"/>
  <c r="P107" i="23"/>
  <c r="P93" i="23"/>
  <c r="P99" i="23" s="1"/>
  <c r="N115" i="23"/>
  <c r="N92" i="23"/>
  <c r="N99" i="23" s="1"/>
  <c r="L70" i="23"/>
  <c r="L73" i="23"/>
  <c r="L87" i="23" s="1"/>
  <c r="J70" i="23"/>
  <c r="F46" i="23"/>
  <c r="D34" i="23"/>
  <c r="F34" i="23"/>
  <c r="F37" i="23" s="1"/>
  <c r="H34" i="23"/>
  <c r="H37" i="23" s="1"/>
  <c r="J34" i="23"/>
  <c r="L34" i="23"/>
  <c r="D35" i="23"/>
  <c r="D38" i="23" s="1"/>
  <c r="F35" i="23"/>
  <c r="F38" i="23" s="1"/>
  <c r="H35" i="23"/>
  <c r="H38" i="23" s="1"/>
  <c r="J35" i="23"/>
  <c r="L35" i="23"/>
  <c r="P36" i="23"/>
  <c r="D37" i="23"/>
  <c r="J37" i="23"/>
  <c r="L37" i="23"/>
  <c r="F45" i="23"/>
  <c r="J38" i="23"/>
  <c r="L38" i="23"/>
  <c r="P52" i="23"/>
  <c r="L58" i="23"/>
  <c r="L59" i="23"/>
  <c r="P71" i="23"/>
  <c r="F73" i="23"/>
  <c r="F87" i="23" s="1"/>
  <c r="H73" i="23"/>
  <c r="H87" i="23" s="1"/>
  <c r="N73" i="23"/>
  <c r="P83" i="23"/>
  <c r="P84" i="23"/>
  <c r="N101" i="23"/>
  <c r="P100" i="23"/>
  <c r="A106" i="23"/>
  <c r="A107" i="23" s="1"/>
  <c r="A115" i="23"/>
  <c r="A116" i="23" s="1"/>
  <c r="A117" i="23" s="1"/>
  <c r="A118" i="23" s="1"/>
  <c r="A119" i="23" s="1"/>
  <c r="A120" i="23" s="1"/>
  <c r="B133" i="23"/>
  <c r="B185" i="23" s="1"/>
  <c r="B267" i="23" s="1"/>
  <c r="P145" i="23"/>
  <c r="P157" i="23"/>
  <c r="N186" i="23"/>
  <c r="N190" i="23"/>
  <c r="L244" i="23"/>
  <c r="M238" i="23" s="1"/>
  <c r="N244" i="23"/>
  <c r="L255" i="23"/>
  <c r="M208" i="23" s="1"/>
  <c r="N255" i="23"/>
  <c r="L233" i="23"/>
  <c r="N233" i="23"/>
  <c r="O228" i="23"/>
  <c r="M236" i="23"/>
  <c r="P107" i="22"/>
  <c r="P93" i="22"/>
  <c r="P99" i="22" s="1"/>
  <c r="N92" i="22"/>
  <c r="N99" i="22" s="1"/>
  <c r="L70" i="22"/>
  <c r="L73" i="22" s="1"/>
  <c r="L87" i="22" s="1"/>
  <c r="J70" i="22"/>
  <c r="F46" i="22"/>
  <c r="D34" i="22"/>
  <c r="D37" i="22" s="1"/>
  <c r="F34" i="22"/>
  <c r="F37" i="22" s="1"/>
  <c r="H34" i="22"/>
  <c r="H37" i="22" s="1"/>
  <c r="J34" i="22"/>
  <c r="L34" i="22"/>
  <c r="D35" i="22"/>
  <c r="D38" i="22" s="1"/>
  <c r="F35" i="22"/>
  <c r="F38" i="22" s="1"/>
  <c r="H35" i="22"/>
  <c r="H38" i="22" s="1"/>
  <c r="J35" i="22"/>
  <c r="L35" i="22"/>
  <c r="P36" i="22"/>
  <c r="P54" i="22" s="1"/>
  <c r="J37" i="22"/>
  <c r="L37" i="22"/>
  <c r="J38" i="22"/>
  <c r="L38" i="22"/>
  <c r="F45" i="22"/>
  <c r="P52" i="22"/>
  <c r="L58" i="22"/>
  <c r="L59" i="22"/>
  <c r="P71" i="22"/>
  <c r="F73" i="22"/>
  <c r="F87" i="22" s="1"/>
  <c r="H73" i="22"/>
  <c r="H87" i="22" s="1"/>
  <c r="N73" i="22"/>
  <c r="P83" i="22"/>
  <c r="P84" i="22"/>
  <c r="N101" i="22"/>
  <c r="N115" i="22"/>
  <c r="P100" i="22"/>
  <c r="P103" i="22" s="1"/>
  <c r="A106" i="22"/>
  <c r="A107" i="22" s="1"/>
  <c r="A115" i="22"/>
  <c r="A116" i="22" s="1"/>
  <c r="A117" i="22" s="1"/>
  <c r="A118" i="22" s="1"/>
  <c r="A119" i="22" s="1"/>
  <c r="A120" i="22" s="1"/>
  <c r="B133" i="22"/>
  <c r="B185" i="22" s="1"/>
  <c r="B267" i="22" s="1"/>
  <c r="P137" i="22"/>
  <c r="P145" i="22"/>
  <c r="P156" i="22"/>
  <c r="P157" i="22"/>
  <c r="P159" i="22"/>
  <c r="N186" i="22"/>
  <c r="N190" i="22"/>
  <c r="L244" i="22"/>
  <c r="M237" i="22" s="1"/>
  <c r="N244" i="22"/>
  <c r="L255" i="22"/>
  <c r="N255" i="22"/>
  <c r="L233" i="22"/>
  <c r="M231" i="22" s="1"/>
  <c r="N233" i="22"/>
  <c r="P159" i="21"/>
  <c r="P108" i="21"/>
  <c r="P107" i="21"/>
  <c r="P93" i="21"/>
  <c r="P99" i="21" s="1"/>
  <c r="N92" i="21"/>
  <c r="N99" i="21" s="1"/>
  <c r="N101" i="21"/>
  <c r="L70" i="21"/>
  <c r="J70" i="21"/>
  <c r="N202" i="21" s="1"/>
  <c r="F46" i="21"/>
  <c r="L34" i="21"/>
  <c r="J34" i="21"/>
  <c r="D34" i="21"/>
  <c r="D37" i="21" s="1"/>
  <c r="L37" i="21"/>
  <c r="J37" i="21"/>
  <c r="J38" i="21"/>
  <c r="H35" i="21"/>
  <c r="H38" i="21" s="1"/>
  <c r="D35" i="21"/>
  <c r="D38" i="21" s="1"/>
  <c r="F35" i="21"/>
  <c r="F38" i="21" s="1"/>
  <c r="J35" i="21"/>
  <c r="H34" i="21"/>
  <c r="H37" i="21" s="1"/>
  <c r="F34" i="21"/>
  <c r="F37" i="21" s="1"/>
  <c r="L35" i="21"/>
  <c r="P36" i="21"/>
  <c r="P137" i="21" s="1"/>
  <c r="L38" i="21"/>
  <c r="F45" i="21"/>
  <c r="P52" i="21"/>
  <c r="L58" i="21"/>
  <c r="L59" i="21"/>
  <c r="P71" i="21"/>
  <c r="F73" i="21"/>
  <c r="F87" i="21" s="1"/>
  <c r="H73" i="21"/>
  <c r="H87" i="21" s="1"/>
  <c r="J73" i="21"/>
  <c r="J87" i="21"/>
  <c r="N73" i="21"/>
  <c r="P83" i="21"/>
  <c r="P84" i="21"/>
  <c r="N123" i="21"/>
  <c r="N129" i="21" s="1"/>
  <c r="N115" i="21"/>
  <c r="P100" i="21"/>
  <c r="A106" i="21"/>
  <c r="A107" i="21" s="1"/>
  <c r="A115" i="21"/>
  <c r="A116" i="21" s="1"/>
  <c r="A117" i="21" s="1"/>
  <c r="A118" i="21" s="1"/>
  <c r="A119" i="21" s="1"/>
  <c r="A120" i="21" s="1"/>
  <c r="B133" i="21"/>
  <c r="B185" i="21" s="1"/>
  <c r="B267" i="21" s="1"/>
  <c r="P145" i="21"/>
  <c r="P157" i="21"/>
  <c r="N186" i="21"/>
  <c r="N190" i="21"/>
  <c r="L244" i="21"/>
  <c r="M240" i="21" s="1"/>
  <c r="N244" i="21"/>
  <c r="L255" i="21"/>
  <c r="M208" i="21" s="1"/>
  <c r="N255" i="21"/>
  <c r="N208" i="21" s="1"/>
  <c r="L233" i="21"/>
  <c r="N233" i="21"/>
  <c r="M236" i="21"/>
  <c r="P93" i="20"/>
  <c r="P99" i="20" s="1"/>
  <c r="P108" i="20"/>
  <c r="P107" i="20"/>
  <c r="J70" i="20"/>
  <c r="L70" i="20"/>
  <c r="N92" i="20"/>
  <c r="N99" i="20" s="1"/>
  <c r="F46" i="20"/>
  <c r="L38" i="20"/>
  <c r="J38" i="20"/>
  <c r="L35" i="20"/>
  <c r="J35" i="20"/>
  <c r="H35" i="20"/>
  <c r="H38" i="20" s="1"/>
  <c r="F35" i="20"/>
  <c r="F38" i="20" s="1"/>
  <c r="D35" i="20"/>
  <c r="D38" i="20" s="1"/>
  <c r="N129" i="18"/>
  <c r="D34" i="20"/>
  <c r="D37" i="20" s="1"/>
  <c r="F34" i="20"/>
  <c r="F37" i="20" s="1"/>
  <c r="H34" i="20"/>
  <c r="H37" i="20" s="1"/>
  <c r="P36" i="20"/>
  <c r="P54" i="20" s="1"/>
  <c r="F45" i="20"/>
  <c r="P52" i="20"/>
  <c r="L58" i="20"/>
  <c r="L59" i="20"/>
  <c r="P71" i="20"/>
  <c r="F73" i="20"/>
  <c r="F87" i="20" s="1"/>
  <c r="H73" i="20"/>
  <c r="H87" i="20" s="1"/>
  <c r="N73" i="20"/>
  <c r="P83" i="20"/>
  <c r="P84" i="20"/>
  <c r="N92" i="18"/>
  <c r="N99" i="18" s="1"/>
  <c r="N101" i="18"/>
  <c r="N115" i="18"/>
  <c r="N101" i="20"/>
  <c r="N115" i="20"/>
  <c r="P100" i="20"/>
  <c r="A106" i="20"/>
  <c r="A107" i="20" s="1"/>
  <c r="A115" i="20"/>
  <c r="A116" i="20" s="1"/>
  <c r="A117" i="20" s="1"/>
  <c r="A118" i="20" s="1"/>
  <c r="A119" i="20" s="1"/>
  <c r="A120" i="20" s="1"/>
  <c r="B133" i="20"/>
  <c r="B184" i="20" s="1"/>
  <c r="B266" i="20" s="1"/>
  <c r="P137" i="20"/>
  <c r="P145" i="20"/>
  <c r="P156" i="20"/>
  <c r="P157" i="20"/>
  <c r="N185" i="20"/>
  <c r="N189" i="20"/>
  <c r="L243" i="20"/>
  <c r="M206" i="20" s="1"/>
  <c r="N243" i="20"/>
  <c r="L254" i="20"/>
  <c r="M207" i="20" s="1"/>
  <c r="N254" i="20"/>
  <c r="L232" i="20"/>
  <c r="M231" i="20" s="1"/>
  <c r="N232" i="20"/>
  <c r="M239" i="20"/>
  <c r="M240" i="20"/>
  <c r="J70" i="19"/>
  <c r="J73" i="19" s="1"/>
  <c r="J87" i="19" s="1"/>
  <c r="L70" i="19"/>
  <c r="L73" i="19" s="1"/>
  <c r="L87" i="19" s="1"/>
  <c r="P71" i="19"/>
  <c r="P93" i="19"/>
  <c r="P107" i="19"/>
  <c r="P94" i="19"/>
  <c r="N92" i="19"/>
  <c r="F46" i="19"/>
  <c r="D34" i="19"/>
  <c r="D37" i="19" s="1"/>
  <c r="F34" i="19"/>
  <c r="F37" i="19" s="1"/>
  <c r="H34" i="19"/>
  <c r="H37" i="19" s="1"/>
  <c r="D35" i="19"/>
  <c r="F35" i="19"/>
  <c r="F38" i="19" s="1"/>
  <c r="H35" i="19"/>
  <c r="H38" i="19" s="1"/>
  <c r="P36" i="19"/>
  <c r="P54" i="19" s="1"/>
  <c r="D38" i="19"/>
  <c r="F45" i="19"/>
  <c r="P52" i="19"/>
  <c r="L58" i="19"/>
  <c r="L59" i="19"/>
  <c r="F73" i="19"/>
  <c r="F87" i="19" s="1"/>
  <c r="H73" i="19"/>
  <c r="H87" i="19" s="1"/>
  <c r="N73" i="19"/>
  <c r="P83" i="19"/>
  <c r="P84" i="19"/>
  <c r="N101" i="19"/>
  <c r="N123" i="19"/>
  <c r="N129" i="19" s="1"/>
  <c r="N115" i="19"/>
  <c r="P100" i="19"/>
  <c r="A106" i="19"/>
  <c r="A107" i="19" s="1"/>
  <c r="A115" i="19"/>
  <c r="A116" i="19" s="1"/>
  <c r="A117" i="19" s="1"/>
  <c r="A118" i="19" s="1"/>
  <c r="A119" i="19" s="1"/>
  <c r="A120" i="19" s="1"/>
  <c r="B133" i="19"/>
  <c r="B184" i="19" s="1"/>
  <c r="B266" i="19" s="1"/>
  <c r="P145" i="19"/>
  <c r="P156" i="19"/>
  <c r="P157" i="19"/>
  <c r="P171" i="19"/>
  <c r="N185" i="19"/>
  <c r="N189" i="19"/>
  <c r="L243" i="19"/>
  <c r="N243" i="19"/>
  <c r="N206" i="19" s="1"/>
  <c r="L254" i="19"/>
  <c r="N254" i="19"/>
  <c r="N207" i="19" s="1"/>
  <c r="L232" i="19"/>
  <c r="M231" i="19"/>
  <c r="N232" i="19"/>
  <c r="O224" i="19" s="1"/>
  <c r="M238" i="19"/>
  <c r="M240" i="19"/>
  <c r="L70" i="18"/>
  <c r="L73" i="18" s="1"/>
  <c r="L87" i="18" s="1"/>
  <c r="J70" i="18"/>
  <c r="J73" i="18" s="1"/>
  <c r="J87" i="18" s="1"/>
  <c r="P71" i="18"/>
  <c r="P83" i="18"/>
  <c r="P84" i="18"/>
  <c r="H73" i="18"/>
  <c r="H87" i="18" s="1"/>
  <c r="F73" i="18"/>
  <c r="F87" i="18" s="1"/>
  <c r="D35" i="18"/>
  <c r="D38" i="18" s="1"/>
  <c r="F35" i="18"/>
  <c r="F38" i="18" s="1"/>
  <c r="H35" i="18"/>
  <c r="H38" i="18" s="1"/>
  <c r="P93" i="18"/>
  <c r="P107" i="18"/>
  <c r="P94" i="18"/>
  <c r="F46" i="18"/>
  <c r="D34" i="18"/>
  <c r="D37" i="18" s="1"/>
  <c r="F34" i="18"/>
  <c r="F37" i="18" s="1"/>
  <c r="H34" i="18"/>
  <c r="H37" i="18" s="1"/>
  <c r="P36" i="18"/>
  <c r="P54" i="18" s="1"/>
  <c r="F45" i="18"/>
  <c r="P52" i="18"/>
  <c r="L58" i="18"/>
  <c r="L59" i="18"/>
  <c r="N73" i="18"/>
  <c r="P100" i="18"/>
  <c r="A106" i="18"/>
  <c r="A107" i="18" s="1"/>
  <c r="A115" i="18"/>
  <c r="A116" i="18" s="1"/>
  <c r="A117" i="18" s="1"/>
  <c r="A118" i="18" s="1"/>
  <c r="A119" i="18" s="1"/>
  <c r="A120" i="18" s="1"/>
  <c r="B133" i="18"/>
  <c r="B184" i="18" s="1"/>
  <c r="B266" i="18" s="1"/>
  <c r="P145" i="18"/>
  <c r="P156" i="18"/>
  <c r="P157" i="18"/>
  <c r="P171" i="18"/>
  <c r="N185" i="18"/>
  <c r="N189" i="18"/>
  <c r="L243" i="18"/>
  <c r="M236" i="18" s="1"/>
  <c r="N243" i="18"/>
  <c r="N206" i="18" s="1"/>
  <c r="L254" i="18"/>
  <c r="M247" i="18" s="1"/>
  <c r="N254" i="18"/>
  <c r="L232" i="18"/>
  <c r="N232" i="18"/>
  <c r="O231" i="18" s="1"/>
  <c r="M237" i="18"/>
  <c r="M242" i="18"/>
  <c r="M251" i="18"/>
  <c r="J70" i="17"/>
  <c r="N199" i="17" s="1"/>
  <c r="P106" i="17"/>
  <c r="P93" i="17"/>
  <c r="P92" i="17"/>
  <c r="P99" i="17"/>
  <c r="N91" i="17"/>
  <c r="N98" i="17" s="1"/>
  <c r="L70" i="17"/>
  <c r="L73" i="17" s="1"/>
  <c r="F46" i="17"/>
  <c r="D34" i="17"/>
  <c r="D37" i="17" s="1"/>
  <c r="F34" i="17"/>
  <c r="F37" i="17" s="1"/>
  <c r="H34" i="17"/>
  <c r="H37" i="17" s="1"/>
  <c r="D35" i="17"/>
  <c r="D38" i="17" s="1"/>
  <c r="F35" i="17"/>
  <c r="F38" i="17" s="1"/>
  <c r="H35" i="17"/>
  <c r="H38" i="17" s="1"/>
  <c r="P36" i="17"/>
  <c r="P54" i="17" s="1"/>
  <c r="F45" i="17"/>
  <c r="P52" i="17"/>
  <c r="L58" i="17"/>
  <c r="L59" i="17"/>
  <c r="P71" i="17"/>
  <c r="F73" i="17"/>
  <c r="F86" i="17" s="1"/>
  <c r="H73" i="17"/>
  <c r="H86" i="17" s="1"/>
  <c r="N73" i="17"/>
  <c r="P83" i="17"/>
  <c r="P84" i="17"/>
  <c r="N100" i="17"/>
  <c r="N122" i="17"/>
  <c r="N128" i="17" s="1"/>
  <c r="N114" i="17"/>
  <c r="A105" i="17"/>
  <c r="A106" i="17" s="1"/>
  <c r="A114" i="17"/>
  <c r="A115" i="17" s="1"/>
  <c r="A116" i="17" s="1"/>
  <c r="A117" i="17" s="1"/>
  <c r="A118" i="17" s="1"/>
  <c r="A119" i="17" s="1"/>
  <c r="B132" i="17"/>
  <c r="B182" i="17" s="1"/>
  <c r="B264" i="17" s="1"/>
  <c r="P144" i="17"/>
  <c r="P155" i="17"/>
  <c r="P156" i="17"/>
  <c r="N183" i="17"/>
  <c r="N187" i="17"/>
  <c r="L241" i="17"/>
  <c r="N241" i="17"/>
  <c r="N204" i="17" s="1"/>
  <c r="L252" i="17"/>
  <c r="M247" i="17" s="1"/>
  <c r="N252" i="17"/>
  <c r="N205" i="17" s="1"/>
  <c r="L230" i="17"/>
  <c r="M222" i="17" s="1"/>
  <c r="N230" i="17"/>
  <c r="O222" i="17" s="1"/>
  <c r="N252" i="16"/>
  <c r="O245" i="16" s="1"/>
  <c r="L252" i="16"/>
  <c r="M205" i="16" s="1"/>
  <c r="J70" i="16"/>
  <c r="P106" i="16"/>
  <c r="P93" i="16"/>
  <c r="P92" i="16"/>
  <c r="P99" i="16"/>
  <c r="N91" i="16"/>
  <c r="N98" i="16" s="1"/>
  <c r="L70" i="16"/>
  <c r="F46" i="16"/>
  <c r="D34" i="16"/>
  <c r="D37" i="16" s="1"/>
  <c r="F34" i="16"/>
  <c r="F37" i="16" s="1"/>
  <c r="H34" i="16"/>
  <c r="H37" i="16" s="1"/>
  <c r="D35" i="16"/>
  <c r="D38" i="16" s="1"/>
  <c r="F35" i="16"/>
  <c r="F38" i="16" s="1"/>
  <c r="H35" i="16"/>
  <c r="H38" i="16" s="1"/>
  <c r="P36" i="16"/>
  <c r="P54" i="16" s="1"/>
  <c r="F45" i="16"/>
  <c r="P52" i="16"/>
  <c r="L58" i="16"/>
  <c r="L59" i="16"/>
  <c r="P71" i="16"/>
  <c r="F73" i="16"/>
  <c r="F86" i="16" s="1"/>
  <c r="H73" i="16"/>
  <c r="H86" i="16" s="1"/>
  <c r="L73" i="16"/>
  <c r="N73" i="16"/>
  <c r="P83" i="16"/>
  <c r="P84" i="16"/>
  <c r="N100" i="16"/>
  <c r="N102" i="16" s="1"/>
  <c r="A105" i="16"/>
  <c r="A106" i="16" s="1"/>
  <c r="A114" i="16"/>
  <c r="A115" i="16" s="1"/>
  <c r="A116" i="16" s="1"/>
  <c r="A117" i="16" s="1"/>
  <c r="A118" i="16" s="1"/>
  <c r="A119" i="16" s="1"/>
  <c r="N114" i="16"/>
  <c r="N122" i="16"/>
  <c r="N128" i="16" s="1"/>
  <c r="N129" i="16" s="1"/>
  <c r="B132" i="16"/>
  <c r="B182" i="16" s="1"/>
  <c r="B264" i="16" s="1"/>
  <c r="P144" i="16"/>
  <c r="P155" i="16"/>
  <c r="P156" i="16"/>
  <c r="N183" i="16"/>
  <c r="N187" i="16"/>
  <c r="L241" i="16"/>
  <c r="N241" i="16"/>
  <c r="N204" i="16" s="1"/>
  <c r="L230" i="16"/>
  <c r="M222" i="16" s="1"/>
  <c r="N230" i="16"/>
  <c r="O222" i="16" s="1"/>
  <c r="O224" i="16"/>
  <c r="M233" i="16"/>
  <c r="M238" i="16"/>
  <c r="M244" i="16"/>
  <c r="M245" i="16"/>
  <c r="M246" i="16"/>
  <c r="M247" i="16"/>
  <c r="O247" i="16"/>
  <c r="M248" i="16"/>
  <c r="M249" i="16"/>
  <c r="M250" i="16"/>
  <c r="M251" i="16"/>
  <c r="O251" i="16"/>
  <c r="M252" i="16"/>
  <c r="J70" i="15"/>
  <c r="D34" i="15"/>
  <c r="D37" i="15" s="1"/>
  <c r="F34" i="15"/>
  <c r="F37" i="15" s="1"/>
  <c r="H34" i="15"/>
  <c r="H37" i="15" s="1"/>
  <c r="P106" i="15"/>
  <c r="P93" i="15"/>
  <c r="P92" i="15"/>
  <c r="N91" i="15"/>
  <c r="N98" i="15" s="1"/>
  <c r="N102" i="15" s="1"/>
  <c r="N100" i="15"/>
  <c r="N122" i="15"/>
  <c r="N128" i="15" s="1"/>
  <c r="N114" i="15"/>
  <c r="L70" i="15"/>
  <c r="L73" i="15" s="1"/>
  <c r="F46" i="15"/>
  <c r="D35" i="15"/>
  <c r="D38" i="15" s="1"/>
  <c r="F35" i="15"/>
  <c r="F38" i="15" s="1"/>
  <c r="H35" i="15"/>
  <c r="H38" i="15" s="1"/>
  <c r="P36" i="15"/>
  <c r="F45" i="15"/>
  <c r="P52" i="15"/>
  <c r="L58" i="15"/>
  <c r="L59" i="15"/>
  <c r="P71" i="15"/>
  <c r="F73" i="15"/>
  <c r="F86" i="15" s="1"/>
  <c r="H73" i="15"/>
  <c r="H86" i="15" s="1"/>
  <c r="N73" i="15"/>
  <c r="P83" i="15"/>
  <c r="P84" i="15"/>
  <c r="P99" i="15"/>
  <c r="A105" i="15"/>
  <c r="A106" i="15" s="1"/>
  <c r="A114" i="15"/>
  <c r="A115" i="15" s="1"/>
  <c r="A116" i="15" s="1"/>
  <c r="A117" i="15" s="1"/>
  <c r="A118" i="15" s="1"/>
  <c r="A119" i="15" s="1"/>
  <c r="B132" i="15"/>
  <c r="B182" i="15" s="1"/>
  <c r="B264" i="15" s="1"/>
  <c r="P144" i="15"/>
  <c r="P155" i="15"/>
  <c r="P156" i="15"/>
  <c r="P169" i="15"/>
  <c r="N183" i="15"/>
  <c r="N187" i="15"/>
  <c r="L241" i="15"/>
  <c r="M233" i="15" s="1"/>
  <c r="M237" i="15"/>
  <c r="N241" i="15"/>
  <c r="L230" i="15"/>
  <c r="N230" i="15"/>
  <c r="M238" i="15"/>
  <c r="L252" i="15"/>
  <c r="N252" i="15"/>
  <c r="J70" i="14"/>
  <c r="N199" i="14" s="1"/>
  <c r="D35" i="14"/>
  <c r="D38" i="14" s="1"/>
  <c r="F35" i="14"/>
  <c r="F38" i="14"/>
  <c r="H35" i="14"/>
  <c r="H38" i="14" s="1"/>
  <c r="P92" i="14"/>
  <c r="P93" i="14"/>
  <c r="P99" i="14"/>
  <c r="P106" i="14"/>
  <c r="N91" i="14"/>
  <c r="N98" i="14" s="1"/>
  <c r="N102" i="14" s="1"/>
  <c r="N100" i="14"/>
  <c r="L70" i="14"/>
  <c r="F46" i="14"/>
  <c r="D34" i="14"/>
  <c r="D37" i="14" s="1"/>
  <c r="F34" i="14"/>
  <c r="F37" i="14" s="1"/>
  <c r="H34" i="14"/>
  <c r="H37" i="14" s="1"/>
  <c r="P36" i="14"/>
  <c r="F45" i="14"/>
  <c r="P52" i="14"/>
  <c r="L58" i="14"/>
  <c r="L59" i="14"/>
  <c r="P71" i="14"/>
  <c r="F73" i="14"/>
  <c r="F86" i="14"/>
  <c r="H73" i="14"/>
  <c r="H86" i="14" s="1"/>
  <c r="N73" i="14"/>
  <c r="P83" i="14"/>
  <c r="P84" i="14"/>
  <c r="A105" i="14"/>
  <c r="A106" i="14" s="1"/>
  <c r="A114" i="14"/>
  <c r="A115" i="14" s="1"/>
  <c r="A116" i="14" s="1"/>
  <c r="A117" i="14" s="1"/>
  <c r="A118" i="14" s="1"/>
  <c r="A119" i="14" s="1"/>
  <c r="N114" i="14"/>
  <c r="N122" i="14"/>
  <c r="N128" i="14" s="1"/>
  <c r="B132" i="14"/>
  <c r="B182" i="14" s="1"/>
  <c r="B264" i="14" s="1"/>
  <c r="P144" i="14"/>
  <c r="P155" i="14"/>
  <c r="P156" i="14"/>
  <c r="N183" i="14"/>
  <c r="N187" i="14"/>
  <c r="L241" i="14"/>
  <c r="N241" i="14"/>
  <c r="L230" i="14"/>
  <c r="M222" i="14" s="1"/>
  <c r="N230" i="14"/>
  <c r="M234" i="14"/>
  <c r="L252" i="14"/>
  <c r="N252" i="14"/>
  <c r="L251" i="13"/>
  <c r="L251" i="12"/>
  <c r="L251" i="11"/>
  <c r="M250" i="11" s="1"/>
  <c r="N251" i="13"/>
  <c r="O249" i="13" s="1"/>
  <c r="N251" i="12"/>
  <c r="O250" i="12" s="1"/>
  <c r="N251" i="11"/>
  <c r="J70" i="13"/>
  <c r="N198" i="13" s="1"/>
  <c r="P92" i="13"/>
  <c r="P105" i="13"/>
  <c r="P93" i="13"/>
  <c r="N91" i="13"/>
  <c r="N98" i="13" s="1"/>
  <c r="L70" i="13"/>
  <c r="F46" i="13"/>
  <c r="D34" i="13"/>
  <c r="D37" i="13" s="1"/>
  <c r="F34" i="13"/>
  <c r="F37" i="13" s="1"/>
  <c r="H34" i="13"/>
  <c r="H37" i="13" s="1"/>
  <c r="D35" i="13"/>
  <c r="D38" i="13" s="1"/>
  <c r="F35" i="13"/>
  <c r="F38" i="13" s="1"/>
  <c r="H35" i="13"/>
  <c r="H38" i="13" s="1"/>
  <c r="P38" i="13" s="1"/>
  <c r="P36" i="13"/>
  <c r="P54" i="13" s="1"/>
  <c r="F45" i="13"/>
  <c r="P52" i="13"/>
  <c r="L58" i="13"/>
  <c r="L59" i="13"/>
  <c r="P71" i="13"/>
  <c r="F73" i="13"/>
  <c r="F86" i="13" s="1"/>
  <c r="H73" i="13"/>
  <c r="N73" i="13"/>
  <c r="P83" i="13"/>
  <c r="P84" i="13"/>
  <c r="H86" i="13"/>
  <c r="P99" i="13"/>
  <c r="N100" i="13"/>
  <c r="N121" i="13"/>
  <c r="N127" i="13" s="1"/>
  <c r="N113" i="13"/>
  <c r="A104" i="13"/>
  <c r="A105" i="13" s="1"/>
  <c r="A113" i="13"/>
  <c r="A114" i="13" s="1"/>
  <c r="A115" i="13" s="1"/>
  <c r="A116" i="13" s="1"/>
  <c r="A117" i="13" s="1"/>
  <c r="A118" i="13" s="1"/>
  <c r="B131" i="13"/>
  <c r="B181" i="13" s="1"/>
  <c r="B263" i="13" s="1"/>
  <c r="P143" i="13"/>
  <c r="P154" i="13"/>
  <c r="P155" i="13"/>
  <c r="P168" i="13"/>
  <c r="N182" i="13"/>
  <c r="N186" i="13"/>
  <c r="L240" i="13"/>
  <c r="M236" i="13" s="1"/>
  <c r="N240" i="13"/>
  <c r="N203" i="13" s="1"/>
  <c r="L229" i="13"/>
  <c r="M223" i="13" s="1"/>
  <c r="N229" i="13"/>
  <c r="N98" i="12"/>
  <c r="N100" i="12"/>
  <c r="N121" i="12"/>
  <c r="N127" i="12" s="1"/>
  <c r="N113" i="12"/>
  <c r="N91" i="11"/>
  <c r="N98" i="11" s="1"/>
  <c r="N100" i="11"/>
  <c r="N121" i="11"/>
  <c r="N127" i="11" s="1"/>
  <c r="N113" i="11"/>
  <c r="N91" i="10"/>
  <c r="N98" i="10" s="1"/>
  <c r="N101" i="10" s="1"/>
  <c r="N100" i="10"/>
  <c r="N121" i="10"/>
  <c r="N127" i="10" s="1"/>
  <c r="N113" i="10"/>
  <c r="N97" i="9"/>
  <c r="N99" i="9"/>
  <c r="N120" i="9"/>
  <c r="N126" i="9" s="1"/>
  <c r="N112" i="9"/>
  <c r="J70" i="12"/>
  <c r="P92" i="12"/>
  <c r="P105" i="12"/>
  <c r="P93" i="12"/>
  <c r="P99" i="12"/>
  <c r="L70" i="12"/>
  <c r="L73" i="12"/>
  <c r="F46" i="12"/>
  <c r="D34" i="12"/>
  <c r="D37" i="12" s="1"/>
  <c r="F34" i="12"/>
  <c r="F37" i="12" s="1"/>
  <c r="H34" i="12"/>
  <c r="H37" i="12" s="1"/>
  <c r="F45" i="12"/>
  <c r="D35" i="12"/>
  <c r="D38" i="12" s="1"/>
  <c r="F35" i="12"/>
  <c r="F38" i="12" s="1"/>
  <c r="H35" i="12"/>
  <c r="H38" i="12" s="1"/>
  <c r="P36" i="12"/>
  <c r="P52" i="12"/>
  <c r="L58" i="12"/>
  <c r="L59" i="12"/>
  <c r="P71" i="12"/>
  <c r="P83" i="12"/>
  <c r="P84" i="12"/>
  <c r="F73" i="12"/>
  <c r="F86" i="12" s="1"/>
  <c r="H73" i="12"/>
  <c r="H86" i="12" s="1"/>
  <c r="N73" i="12"/>
  <c r="A104" i="12"/>
  <c r="A105" i="12" s="1"/>
  <c r="A113" i="12"/>
  <c r="A114" i="12" s="1"/>
  <c r="A115" i="12" s="1"/>
  <c r="A116" i="12" s="1"/>
  <c r="A117" i="12" s="1"/>
  <c r="A118" i="12" s="1"/>
  <c r="B131" i="12"/>
  <c r="B181" i="12" s="1"/>
  <c r="B263" i="12" s="1"/>
  <c r="P143" i="12"/>
  <c r="P154" i="12"/>
  <c r="P155" i="12"/>
  <c r="P168" i="12"/>
  <c r="N182" i="12"/>
  <c r="N186" i="12"/>
  <c r="L240" i="12"/>
  <c r="M232" i="12" s="1"/>
  <c r="N240" i="12"/>
  <c r="O239" i="12" s="1"/>
  <c r="L229" i="12"/>
  <c r="N229" i="12"/>
  <c r="O221" i="12" s="1"/>
  <c r="J70" i="11"/>
  <c r="N198" i="11" s="1"/>
  <c r="P105" i="11"/>
  <c r="P93" i="11"/>
  <c r="P92" i="11"/>
  <c r="L70" i="11"/>
  <c r="L73" i="11" s="1"/>
  <c r="F46" i="11"/>
  <c r="D34" i="11"/>
  <c r="F34" i="11"/>
  <c r="F37" i="11" s="1"/>
  <c r="H34" i="11"/>
  <c r="H37" i="11" s="1"/>
  <c r="D35" i="11"/>
  <c r="D38" i="11" s="1"/>
  <c r="F35" i="11"/>
  <c r="F38" i="11" s="1"/>
  <c r="H35" i="11"/>
  <c r="H38" i="11" s="1"/>
  <c r="P36" i="11"/>
  <c r="D37" i="11"/>
  <c r="F45" i="11"/>
  <c r="P52" i="11"/>
  <c r="L58" i="11"/>
  <c r="L59" i="11"/>
  <c r="P71" i="11"/>
  <c r="F73" i="11"/>
  <c r="F86" i="11" s="1"/>
  <c r="H73" i="11"/>
  <c r="H86" i="11" s="1"/>
  <c r="N73" i="11"/>
  <c r="P83" i="11"/>
  <c r="P84" i="11"/>
  <c r="P99" i="11"/>
  <c r="A104" i="11"/>
  <c r="A105" i="11" s="1"/>
  <c r="A113" i="11"/>
  <c r="A114" i="11" s="1"/>
  <c r="A115" i="11" s="1"/>
  <c r="A116" i="11" s="1"/>
  <c r="A117" i="11" s="1"/>
  <c r="A118" i="11" s="1"/>
  <c r="B131" i="11"/>
  <c r="B181" i="11" s="1"/>
  <c r="B262" i="11" s="1"/>
  <c r="P143" i="11"/>
  <c r="P154" i="11"/>
  <c r="P155" i="11"/>
  <c r="P168" i="11"/>
  <c r="N182" i="11"/>
  <c r="N186" i="11"/>
  <c r="L240" i="11"/>
  <c r="N240" i="11"/>
  <c r="N203" i="11" s="1"/>
  <c r="L229" i="11"/>
  <c r="M223" i="11" s="1"/>
  <c r="N229" i="11"/>
  <c r="O221" i="11" s="1"/>
  <c r="M239" i="11"/>
  <c r="L229" i="10"/>
  <c r="M226" i="10" s="1"/>
  <c r="L240" i="10"/>
  <c r="L251" i="10"/>
  <c r="M204" i="10" s="1"/>
  <c r="L228" i="9"/>
  <c r="L239" i="9"/>
  <c r="M237" i="9" s="1"/>
  <c r="L250" i="9"/>
  <c r="L228" i="8"/>
  <c r="L239" i="8"/>
  <c r="L250" i="8"/>
  <c r="L228" i="7"/>
  <c r="L239" i="7"/>
  <c r="L250" i="7"/>
  <c r="L228" i="6"/>
  <c r="M225" i="6" s="1"/>
  <c r="L239" i="6"/>
  <c r="L250" i="6"/>
  <c r="L223" i="5"/>
  <c r="L234" i="5"/>
  <c r="L245" i="5"/>
  <c r="L223" i="4"/>
  <c r="L234" i="4"/>
  <c r="L245" i="4"/>
  <c r="N220" i="3"/>
  <c r="N242" i="3"/>
  <c r="L244" i="3" s="1"/>
  <c r="J70" i="10"/>
  <c r="P105" i="10"/>
  <c r="P93" i="10"/>
  <c r="P92" i="10"/>
  <c r="L70" i="10"/>
  <c r="L73" i="10" s="1"/>
  <c r="F46" i="10"/>
  <c r="D34" i="10"/>
  <c r="D37" i="10" s="1"/>
  <c r="F34" i="10"/>
  <c r="F37" i="10" s="1"/>
  <c r="P37" i="10" s="1"/>
  <c r="H34" i="10"/>
  <c r="H37" i="10" s="1"/>
  <c r="D35" i="10"/>
  <c r="D38" i="10" s="1"/>
  <c r="F35" i="10"/>
  <c r="H35" i="10"/>
  <c r="P36" i="10"/>
  <c r="F45" i="10"/>
  <c r="F38" i="10"/>
  <c r="H38" i="10"/>
  <c r="P52" i="10"/>
  <c r="L58" i="10"/>
  <c r="L59" i="10"/>
  <c r="P71" i="10"/>
  <c r="F73" i="10"/>
  <c r="F86" i="10" s="1"/>
  <c r="H73" i="10"/>
  <c r="H86" i="10" s="1"/>
  <c r="N73" i="10"/>
  <c r="P83" i="10"/>
  <c r="P84" i="10"/>
  <c r="P99" i="10"/>
  <c r="A104" i="10"/>
  <c r="A105" i="10"/>
  <c r="A113" i="10"/>
  <c r="A114" i="10" s="1"/>
  <c r="A115" i="10" s="1"/>
  <c r="A116" i="10" s="1"/>
  <c r="A117" i="10" s="1"/>
  <c r="A118" i="10" s="1"/>
  <c r="B131" i="10"/>
  <c r="B181" i="10" s="1"/>
  <c r="B262" i="10" s="1"/>
  <c r="P143" i="10"/>
  <c r="P154" i="10"/>
  <c r="P156" i="10" s="1"/>
  <c r="P155" i="10"/>
  <c r="P168" i="10"/>
  <c r="N182" i="10"/>
  <c r="N186" i="10"/>
  <c r="N240" i="10"/>
  <c r="O233" i="10" s="1"/>
  <c r="N251" i="10"/>
  <c r="N204" i="10" s="1"/>
  <c r="M222" i="10"/>
  <c r="N229" i="10"/>
  <c r="O221" i="10" s="1"/>
  <c r="M233" i="10"/>
  <c r="M240" i="10" s="1"/>
  <c r="M235" i="10"/>
  <c r="M251" i="10"/>
  <c r="O251" i="10"/>
  <c r="N250" i="9"/>
  <c r="O249" i="9" s="1"/>
  <c r="O250" i="9" s="1"/>
  <c r="P91" i="1"/>
  <c r="P94" i="1" s="1"/>
  <c r="P96" i="1" s="1"/>
  <c r="F72" i="1"/>
  <c r="F85" i="1" s="1"/>
  <c r="P91" i="2"/>
  <c r="P94" i="2" s="1"/>
  <c r="P96" i="2" s="1"/>
  <c r="H72" i="2"/>
  <c r="P91" i="3"/>
  <c r="P94" i="3" s="1"/>
  <c r="P95" i="3"/>
  <c r="H72" i="3"/>
  <c r="H85" i="3" s="1"/>
  <c r="P92" i="4"/>
  <c r="P95" i="4" s="1"/>
  <c r="P96" i="4"/>
  <c r="H73" i="4"/>
  <c r="H86" i="4" s="1"/>
  <c r="P92" i="5"/>
  <c r="P95" i="5" s="1"/>
  <c r="P96" i="5"/>
  <c r="H73" i="5"/>
  <c r="H86" i="5" s="1"/>
  <c r="P92" i="6"/>
  <c r="P93" i="6"/>
  <c r="P98" i="6"/>
  <c r="H73" i="6"/>
  <c r="P92" i="7"/>
  <c r="P93" i="7"/>
  <c r="P98" i="7"/>
  <c r="H73" i="7"/>
  <c r="P92" i="8"/>
  <c r="P93" i="8"/>
  <c r="P98" i="8"/>
  <c r="H73" i="8"/>
  <c r="H86" i="8" s="1"/>
  <c r="P92" i="9"/>
  <c r="P93" i="9"/>
  <c r="P98" i="9"/>
  <c r="H73" i="9"/>
  <c r="H86" i="9" s="1"/>
  <c r="P138" i="2"/>
  <c r="P139" i="3"/>
  <c r="P140" i="4"/>
  <c r="P140" i="5"/>
  <c r="P142" i="6"/>
  <c r="P142" i="7"/>
  <c r="P142" i="8"/>
  <c r="P142" i="9"/>
  <c r="P154" i="9"/>
  <c r="P104" i="9"/>
  <c r="L70" i="9"/>
  <c r="L73" i="9" s="1"/>
  <c r="J70" i="9"/>
  <c r="P71" i="9"/>
  <c r="F45" i="9"/>
  <c r="D34" i="9"/>
  <c r="D37" i="9" s="1"/>
  <c r="F34" i="9"/>
  <c r="F37" i="9" s="1"/>
  <c r="H34" i="9"/>
  <c r="H37" i="9" s="1"/>
  <c r="D35" i="9"/>
  <c r="D38" i="9" s="1"/>
  <c r="F35" i="9"/>
  <c r="F38" i="9" s="1"/>
  <c r="H35" i="9"/>
  <c r="H38" i="9" s="1"/>
  <c r="P36" i="9"/>
  <c r="P134" i="9" s="1"/>
  <c r="P52" i="9"/>
  <c r="L58" i="9"/>
  <c r="L59" i="9"/>
  <c r="F73" i="9"/>
  <c r="N73" i="9"/>
  <c r="P83" i="9"/>
  <c r="P84" i="9"/>
  <c r="F86" i="9"/>
  <c r="A103" i="9"/>
  <c r="A104" i="9" s="1"/>
  <c r="A112" i="9"/>
  <c r="A113" i="9" s="1"/>
  <c r="A114" i="9" s="1"/>
  <c r="A115" i="9" s="1"/>
  <c r="A116" i="9" s="1"/>
  <c r="A117" i="9" s="1"/>
  <c r="B130" i="9"/>
  <c r="B180" i="9" s="1"/>
  <c r="B261" i="9" s="1"/>
  <c r="P153" i="9"/>
  <c r="P155" i="9" s="1"/>
  <c r="P167" i="9"/>
  <c r="N181" i="9"/>
  <c r="N185" i="9"/>
  <c r="N239" i="9"/>
  <c r="O233" i="9" s="1"/>
  <c r="M221" i="9"/>
  <c r="M222" i="9"/>
  <c r="M223" i="9"/>
  <c r="M226" i="9"/>
  <c r="M227" i="9"/>
  <c r="N228" i="9"/>
  <c r="O220" i="9" s="1"/>
  <c r="N250" i="8"/>
  <c r="N203" i="8" s="1"/>
  <c r="P104" i="8"/>
  <c r="D34" i="8"/>
  <c r="D37" i="8" s="1"/>
  <c r="F34" i="8"/>
  <c r="F37" i="8" s="1"/>
  <c r="H34" i="8"/>
  <c r="H37" i="8" s="1"/>
  <c r="L70" i="8"/>
  <c r="L73" i="8" s="1"/>
  <c r="J70" i="8"/>
  <c r="J73" i="8" s="1"/>
  <c r="D35" i="8"/>
  <c r="D38" i="8" s="1"/>
  <c r="F35" i="8"/>
  <c r="F38" i="8" s="1"/>
  <c r="H35" i="8"/>
  <c r="H38" i="8" s="1"/>
  <c r="P36" i="8"/>
  <c r="P134" i="8" s="1"/>
  <c r="P52" i="8"/>
  <c r="L58" i="8"/>
  <c r="L59" i="8"/>
  <c r="P71" i="8"/>
  <c r="F73" i="8"/>
  <c r="F86" i="8"/>
  <c r="N73" i="8"/>
  <c r="P83" i="8"/>
  <c r="P84" i="8"/>
  <c r="N97" i="8"/>
  <c r="N99" i="8"/>
  <c r="N120" i="8"/>
  <c r="N126" i="8"/>
  <c r="A103" i="8"/>
  <c r="A104" i="8" s="1"/>
  <c r="A112" i="8"/>
  <c r="A113" i="8" s="1"/>
  <c r="A114" i="8" s="1"/>
  <c r="A115" i="8" s="1"/>
  <c r="A116" i="8" s="1"/>
  <c r="A117" i="8" s="1"/>
  <c r="B130" i="8"/>
  <c r="B180" i="8" s="1"/>
  <c r="B261" i="8" s="1"/>
  <c r="P153" i="8"/>
  <c r="P154" i="8"/>
  <c r="P167" i="8"/>
  <c r="N181" i="8"/>
  <c r="N185" i="8"/>
  <c r="M202" i="8"/>
  <c r="N239" i="8"/>
  <c r="N202" i="8" s="1"/>
  <c r="M224" i="8"/>
  <c r="N228" i="8"/>
  <c r="M231" i="8"/>
  <c r="M239" i="8" s="1"/>
  <c r="O232" i="8"/>
  <c r="M233" i="8"/>
  <c r="M235" i="8"/>
  <c r="M237" i="8"/>
  <c r="D34" i="7"/>
  <c r="D37" i="7" s="1"/>
  <c r="F34" i="7"/>
  <c r="F37" i="7" s="1"/>
  <c r="H34" i="7"/>
  <c r="H37" i="7" s="1"/>
  <c r="P104" i="7"/>
  <c r="J70" i="7"/>
  <c r="J73" i="7"/>
  <c r="L70" i="7"/>
  <c r="P71" i="7"/>
  <c r="N181" i="7"/>
  <c r="N181" i="6"/>
  <c r="D35" i="7"/>
  <c r="D38" i="7" s="1"/>
  <c r="F35" i="7"/>
  <c r="F38" i="7" s="1"/>
  <c r="H35" i="7"/>
  <c r="H38" i="7" s="1"/>
  <c r="P36" i="7"/>
  <c r="P52" i="7"/>
  <c r="L58" i="7"/>
  <c r="L59" i="7"/>
  <c r="F73" i="7"/>
  <c r="F86" i="7" s="1"/>
  <c r="N73" i="7"/>
  <c r="P83" i="7"/>
  <c r="P84" i="7"/>
  <c r="H86" i="7"/>
  <c r="N97" i="7"/>
  <c r="N100" i="7" s="1"/>
  <c r="N127" i="7" s="1"/>
  <c r="N99" i="7"/>
  <c r="A103" i="7"/>
  <c r="A104" i="7" s="1"/>
  <c r="A112" i="7"/>
  <c r="A113" i="7" s="1"/>
  <c r="A114" i="7" s="1"/>
  <c r="A115" i="7" s="1"/>
  <c r="A116" i="7" s="1"/>
  <c r="A117" i="7" s="1"/>
  <c r="N120" i="7"/>
  <c r="N126" i="7" s="1"/>
  <c r="B130" i="7"/>
  <c r="B180" i="7" s="1"/>
  <c r="B261" i="7" s="1"/>
  <c r="P153" i="7"/>
  <c r="P154" i="7"/>
  <c r="P167" i="7"/>
  <c r="N185" i="7"/>
  <c r="M202" i="7"/>
  <c r="N239" i="7"/>
  <c r="M203" i="7"/>
  <c r="N250" i="7"/>
  <c r="N203" i="7" s="1"/>
  <c r="N228" i="7"/>
  <c r="O224" i="7" s="1"/>
  <c r="M221" i="7"/>
  <c r="M226" i="7"/>
  <c r="M231" i="7"/>
  <c r="M233" i="7"/>
  <c r="M235" i="7"/>
  <c r="M237" i="7"/>
  <c r="P104" i="6"/>
  <c r="N120" i="6"/>
  <c r="N126" i="6" s="1"/>
  <c r="J70" i="6"/>
  <c r="L70" i="6"/>
  <c r="L73" i="6" s="1"/>
  <c r="P71" i="6"/>
  <c r="D34" i="6"/>
  <c r="D37" i="6" s="1"/>
  <c r="F34" i="6"/>
  <c r="F37" i="6" s="1"/>
  <c r="H34" i="6"/>
  <c r="H37" i="6" s="1"/>
  <c r="D35" i="6"/>
  <c r="D38" i="6" s="1"/>
  <c r="F35" i="6"/>
  <c r="F38" i="6" s="1"/>
  <c r="H35" i="6"/>
  <c r="H38" i="6" s="1"/>
  <c r="P36" i="6"/>
  <c r="P52" i="6"/>
  <c r="L58" i="6"/>
  <c r="L59" i="6"/>
  <c r="F73" i="6"/>
  <c r="F86" i="6" s="1"/>
  <c r="N73" i="6"/>
  <c r="P83" i="6"/>
  <c r="P84" i="6"/>
  <c r="N97" i="6"/>
  <c r="N99" i="6"/>
  <c r="A103" i="6"/>
  <c r="A104" i="6" s="1"/>
  <c r="A112" i="6"/>
  <c r="A113" i="6" s="1"/>
  <c r="A114" i="6" s="1"/>
  <c r="A115" i="6" s="1"/>
  <c r="A116" i="6" s="1"/>
  <c r="A117" i="6" s="1"/>
  <c r="B130" i="6"/>
  <c r="B180" i="6" s="1"/>
  <c r="B261" i="6" s="1"/>
  <c r="P153" i="6"/>
  <c r="P154" i="6"/>
  <c r="P167" i="6"/>
  <c r="N185" i="6"/>
  <c r="M202" i="6"/>
  <c r="N239" i="6"/>
  <c r="N202" i="6" s="1"/>
  <c r="M203" i="6"/>
  <c r="N250" i="6"/>
  <c r="N203" i="6" s="1"/>
  <c r="N228" i="6"/>
  <c r="O227" i="6" s="1"/>
  <c r="M231" i="6"/>
  <c r="O232" i="6"/>
  <c r="M233" i="6"/>
  <c r="M234" i="6"/>
  <c r="M235" i="6"/>
  <c r="M236" i="6"/>
  <c r="O236" i="6"/>
  <c r="M238" i="6"/>
  <c r="O238" i="6"/>
  <c r="P102" i="5"/>
  <c r="L70" i="5"/>
  <c r="L73" i="5" s="1"/>
  <c r="J70" i="5"/>
  <c r="P71" i="5"/>
  <c r="D34" i="5"/>
  <c r="D37" i="5" s="1"/>
  <c r="F34" i="5"/>
  <c r="F37" i="5" s="1"/>
  <c r="H34" i="5"/>
  <c r="H37" i="5" s="1"/>
  <c r="D35" i="5"/>
  <c r="D38" i="5" s="1"/>
  <c r="F35" i="5"/>
  <c r="F38" i="5" s="1"/>
  <c r="H35" i="5"/>
  <c r="H38" i="5" s="1"/>
  <c r="P36" i="5"/>
  <c r="P132" i="5" s="1"/>
  <c r="P52" i="5"/>
  <c r="L58" i="5"/>
  <c r="L59" i="5"/>
  <c r="F73" i="5"/>
  <c r="F86" i="5" s="1"/>
  <c r="N73" i="5"/>
  <c r="P83" i="5"/>
  <c r="P84" i="5"/>
  <c r="N95" i="5"/>
  <c r="N97" i="5"/>
  <c r="A101" i="5"/>
  <c r="A102" i="5" s="1"/>
  <c r="A110" i="5"/>
  <c r="A111" i="5" s="1"/>
  <c r="A112" i="5" s="1"/>
  <c r="A113" i="5" s="1"/>
  <c r="A114" i="5" s="1"/>
  <c r="A115" i="5" s="1"/>
  <c r="N118" i="5"/>
  <c r="N124" i="5" s="1"/>
  <c r="B128" i="5"/>
  <c r="B178" i="5" s="1"/>
  <c r="B256" i="5" s="1"/>
  <c r="P151" i="5"/>
  <c r="P153" i="5" s="1"/>
  <c r="P152" i="5"/>
  <c r="P165" i="5"/>
  <c r="N179" i="5"/>
  <c r="N183" i="5"/>
  <c r="N234" i="5"/>
  <c r="N245" i="5"/>
  <c r="N201" i="5" s="1"/>
  <c r="N223" i="5"/>
  <c r="M230" i="5"/>
  <c r="N223" i="4"/>
  <c r="O218" i="4" s="1"/>
  <c r="P102" i="4"/>
  <c r="D35" i="4"/>
  <c r="D38" i="4" s="1"/>
  <c r="F35" i="4"/>
  <c r="F38" i="4" s="1"/>
  <c r="H35" i="4"/>
  <c r="H38" i="4" s="1"/>
  <c r="L70" i="4"/>
  <c r="L73" i="4" s="1"/>
  <c r="J70" i="4"/>
  <c r="D34" i="4"/>
  <c r="D37" i="4" s="1"/>
  <c r="F34" i="4"/>
  <c r="F37" i="4" s="1"/>
  <c r="H34" i="4"/>
  <c r="H37" i="4" s="1"/>
  <c r="P36" i="4"/>
  <c r="P132" i="4" s="1"/>
  <c r="P54" i="4"/>
  <c r="P52" i="4"/>
  <c r="L58" i="4"/>
  <c r="L59" i="4"/>
  <c r="P71" i="4"/>
  <c r="F73" i="4"/>
  <c r="F86" i="4" s="1"/>
  <c r="N73" i="4"/>
  <c r="P83" i="4"/>
  <c r="P84" i="4"/>
  <c r="N95" i="4"/>
  <c r="N97" i="4"/>
  <c r="N118" i="4"/>
  <c r="N124" i="4" s="1"/>
  <c r="A101" i="4"/>
  <c r="A102" i="4" s="1"/>
  <c r="A110" i="4"/>
  <c r="A111" i="4" s="1"/>
  <c r="A112" i="4" s="1"/>
  <c r="A113" i="4" s="1"/>
  <c r="A114" i="4" s="1"/>
  <c r="A115" i="4" s="1"/>
  <c r="B128" i="4"/>
  <c r="B178" i="4" s="1"/>
  <c r="B256" i="4" s="1"/>
  <c r="P151" i="4"/>
  <c r="P152" i="4"/>
  <c r="P165" i="4"/>
  <c r="N179" i="4"/>
  <c r="N183" i="4"/>
  <c r="N234" i="4"/>
  <c r="N245" i="4"/>
  <c r="N201" i="4" s="1"/>
  <c r="N205" i="4"/>
  <c r="N206" i="4" s="1"/>
  <c r="M215" i="4"/>
  <c r="M219" i="4"/>
  <c r="M220" i="4"/>
  <c r="M228" i="4"/>
  <c r="N231" i="3"/>
  <c r="O226" i="3" s="1"/>
  <c r="N94" i="3"/>
  <c r="N96" i="3"/>
  <c r="L69" i="3"/>
  <c r="J69" i="3"/>
  <c r="J72" i="3" s="1"/>
  <c r="N194" i="3" s="1"/>
  <c r="P70" i="3"/>
  <c r="N200" i="3"/>
  <c r="L242" i="3"/>
  <c r="M238" i="3" s="1"/>
  <c r="L231" i="3"/>
  <c r="M229" i="3" s="1"/>
  <c r="O234" i="3"/>
  <c r="O238" i="3"/>
  <c r="O239" i="3"/>
  <c r="P113" i="3"/>
  <c r="P101" i="3"/>
  <c r="B127" i="3"/>
  <c r="B177" i="3" s="1"/>
  <c r="B253" i="3" s="1"/>
  <c r="L220" i="3"/>
  <c r="M214" i="3" s="1"/>
  <c r="O219" i="3"/>
  <c r="O218" i="3"/>
  <c r="O217" i="3"/>
  <c r="O216" i="3"/>
  <c r="D33" i="3"/>
  <c r="D36" i="3" s="1"/>
  <c r="F33" i="3"/>
  <c r="F36" i="3" s="1"/>
  <c r="H33" i="3"/>
  <c r="H36" i="3" s="1"/>
  <c r="D34" i="3"/>
  <c r="D37" i="3" s="1"/>
  <c r="F34" i="3"/>
  <c r="F37" i="3" s="1"/>
  <c r="P52" i="3" s="1"/>
  <c r="H34" i="3"/>
  <c r="H37" i="3" s="1"/>
  <c r="P35" i="3"/>
  <c r="P131" i="3" s="1"/>
  <c r="P51" i="3"/>
  <c r="L57" i="3"/>
  <c r="L58" i="3"/>
  <c r="F72" i="3"/>
  <c r="F85" i="3" s="1"/>
  <c r="N72" i="3"/>
  <c r="P82" i="3"/>
  <c r="P83" i="3"/>
  <c r="A100" i="3"/>
  <c r="A101" i="3" s="1"/>
  <c r="A109" i="3"/>
  <c r="A110" i="3" s="1"/>
  <c r="A111" i="3" s="1"/>
  <c r="A112" i="3" s="1"/>
  <c r="A113" i="3" s="1"/>
  <c r="A114" i="3" s="1"/>
  <c r="N117" i="3"/>
  <c r="N123" i="3" s="1"/>
  <c r="P150" i="3"/>
  <c r="P151" i="3"/>
  <c r="P164" i="3"/>
  <c r="N178" i="3"/>
  <c r="N182" i="3"/>
  <c r="N204" i="3"/>
  <c r="N205" i="3" s="1"/>
  <c r="O212" i="3"/>
  <c r="O213" i="3"/>
  <c r="O214" i="3"/>
  <c r="O215" i="3"/>
  <c r="N216" i="2"/>
  <c r="O213" i="2" s="1"/>
  <c r="D33" i="2"/>
  <c r="D36" i="2" s="1"/>
  <c r="F33" i="2"/>
  <c r="F36" i="2" s="1"/>
  <c r="P36" i="2" s="1"/>
  <c r="P44" i="2" s="1"/>
  <c r="N183" i="2" s="1"/>
  <c r="N184" i="2" s="1"/>
  <c r="H33" i="2"/>
  <c r="H36" i="2" s="1"/>
  <c r="P100" i="2"/>
  <c r="P171" i="2" s="1"/>
  <c r="J69" i="2"/>
  <c r="P69" i="2" s="1"/>
  <c r="L57" i="2"/>
  <c r="D34" i="2"/>
  <c r="D37" i="2" s="1"/>
  <c r="F34" i="2"/>
  <c r="F37" i="2" s="1"/>
  <c r="H34" i="2"/>
  <c r="H37" i="2" s="1"/>
  <c r="P35" i="2"/>
  <c r="P130" i="2" s="1"/>
  <c r="P51" i="2"/>
  <c r="L58" i="2"/>
  <c r="P70" i="2"/>
  <c r="P82" i="2"/>
  <c r="P83" i="2"/>
  <c r="F72" i="2"/>
  <c r="F85" i="2" s="1"/>
  <c r="L72" i="2"/>
  <c r="N72" i="2"/>
  <c r="H85" i="2"/>
  <c r="N94" i="2"/>
  <c r="N95" i="2"/>
  <c r="A99" i="2"/>
  <c r="A100" i="2" s="1"/>
  <c r="A108" i="2"/>
  <c r="A109" i="2" s="1"/>
  <c r="A110" i="2" s="1"/>
  <c r="A111" i="2" s="1"/>
  <c r="A112" i="2" s="1"/>
  <c r="A113" i="2" s="1"/>
  <c r="N115" i="2"/>
  <c r="N116" i="2"/>
  <c r="N122" i="2" s="1"/>
  <c r="B126" i="2"/>
  <c r="B176" i="2" s="1"/>
  <c r="B225" i="2" s="1"/>
  <c r="P149" i="2"/>
  <c r="P150" i="2"/>
  <c r="P163" i="2"/>
  <c r="N177" i="2"/>
  <c r="N181" i="2"/>
  <c r="N203" i="2"/>
  <c r="N204" i="2" s="1"/>
  <c r="L216" i="2"/>
  <c r="M214" i="2" s="1"/>
  <c r="D34" i="1"/>
  <c r="D37" i="1" s="1"/>
  <c r="F34" i="1"/>
  <c r="F37" i="1" s="1"/>
  <c r="P37" i="1" s="1"/>
  <c r="H34" i="1"/>
  <c r="H37" i="1" s="1"/>
  <c r="N116" i="1"/>
  <c r="N115" i="1"/>
  <c r="J70" i="1"/>
  <c r="P70" i="1" s="1"/>
  <c r="P100" i="1"/>
  <c r="L69" i="1"/>
  <c r="L72" i="1" s="1"/>
  <c r="J69" i="1"/>
  <c r="P83" i="1"/>
  <c r="N95" i="1"/>
  <c r="P35" i="1"/>
  <c r="P130" i="1" s="1"/>
  <c r="P138" i="1" s="1"/>
  <c r="N203" i="1"/>
  <c r="N204" i="1" s="1"/>
  <c r="P51" i="1"/>
  <c r="A108" i="1"/>
  <c r="A109" i="1" s="1"/>
  <c r="A110" i="1" s="1"/>
  <c r="A111" i="1" s="1"/>
  <c r="A112" i="1" s="1"/>
  <c r="A113" i="1" s="1"/>
  <c r="P82" i="1"/>
  <c r="P36" i="1"/>
  <c r="N216" i="1"/>
  <c r="O214" i="1" s="1"/>
  <c r="L216" i="1"/>
  <c r="A99" i="1"/>
  <c r="A100" i="1" s="1"/>
  <c r="N177" i="1"/>
  <c r="L58" i="1"/>
  <c r="P162" i="1"/>
  <c r="H72" i="1"/>
  <c r="H85" i="1" s="1"/>
  <c r="N72" i="1"/>
  <c r="N94" i="1"/>
  <c r="B126" i="1"/>
  <c r="B176" i="1" s="1"/>
  <c r="B225" i="1" s="1"/>
  <c r="P149" i="1"/>
  <c r="P150" i="1"/>
  <c r="M165" i="1"/>
  <c r="P163" i="1"/>
  <c r="M227" i="3"/>
  <c r="O232" i="5"/>
  <c r="O231" i="5"/>
  <c r="O230" i="5"/>
  <c r="O227" i="5"/>
  <c r="N201" i="20"/>
  <c r="J73" i="20"/>
  <c r="J87" i="20" s="1"/>
  <c r="N207" i="21"/>
  <c r="O236" i="21"/>
  <c r="O237" i="21"/>
  <c r="O238" i="21"/>
  <c r="O239" i="21"/>
  <c r="O240" i="21"/>
  <c r="O241" i="21"/>
  <c r="O242" i="21"/>
  <c r="O243" i="21"/>
  <c r="P156" i="21"/>
  <c r="P158" i="21" s="1"/>
  <c r="P70" i="10"/>
  <c r="P73" i="10" s="1"/>
  <c r="P161" i="10" s="1"/>
  <c r="O236" i="11"/>
  <c r="O234" i="11"/>
  <c r="O228" i="11"/>
  <c r="O227" i="11"/>
  <c r="O226" i="11"/>
  <c r="O225" i="11"/>
  <c r="O224" i="11"/>
  <c r="O223" i="11"/>
  <c r="O229" i="11" s="1"/>
  <c r="O222" i="11"/>
  <c r="J73" i="11"/>
  <c r="P70" i="11"/>
  <c r="P73" i="11" s="1"/>
  <c r="O239" i="13"/>
  <c r="O238" i="13"/>
  <c r="O237" i="13"/>
  <c r="O236" i="13"/>
  <c r="O235" i="13"/>
  <c r="O234" i="13"/>
  <c r="O233" i="13"/>
  <c r="O232" i="13"/>
  <c r="O225" i="13"/>
  <c r="P135" i="13"/>
  <c r="O243" i="12"/>
  <c r="O245" i="12"/>
  <c r="O247" i="12"/>
  <c r="O249" i="12"/>
  <c r="M245" i="11"/>
  <c r="M247" i="12"/>
  <c r="M243" i="13"/>
  <c r="O248" i="15"/>
  <c r="O236" i="15"/>
  <c r="P53" i="16"/>
  <c r="N254" i="17"/>
  <c r="O252" i="17"/>
  <c r="O251" i="17"/>
  <c r="O250" i="17"/>
  <c r="O249" i="17"/>
  <c r="O248" i="17"/>
  <c r="O247" i="17"/>
  <c r="O246" i="17"/>
  <c r="O245" i="17"/>
  <c r="O244" i="17"/>
  <c r="O240" i="17"/>
  <c r="O239" i="17"/>
  <c r="O238" i="17"/>
  <c r="O237" i="17"/>
  <c r="O236" i="17"/>
  <c r="O235" i="17"/>
  <c r="O234" i="17"/>
  <c r="O233" i="17"/>
  <c r="O229" i="17"/>
  <c r="O228" i="17"/>
  <c r="O227" i="17"/>
  <c r="O226" i="17"/>
  <c r="O225" i="17"/>
  <c r="O224" i="17"/>
  <c r="O223" i="17"/>
  <c r="P136" i="17"/>
  <c r="P70" i="18"/>
  <c r="P73" i="18" s="1"/>
  <c r="P163" i="18" s="1"/>
  <c r="N256" i="19"/>
  <c r="O254" i="19"/>
  <c r="O253" i="19"/>
  <c r="O252" i="19"/>
  <c r="O251" i="19"/>
  <c r="O250" i="19"/>
  <c r="O249" i="19"/>
  <c r="O248" i="19"/>
  <c r="O247" i="19"/>
  <c r="O246" i="19"/>
  <c r="O242" i="19"/>
  <c r="O241" i="19"/>
  <c r="O240" i="19"/>
  <c r="O239" i="19"/>
  <c r="O238" i="19"/>
  <c r="O237" i="19"/>
  <c r="O236" i="19"/>
  <c r="O235" i="19"/>
  <c r="O231" i="19"/>
  <c r="O230" i="19"/>
  <c r="O229" i="19"/>
  <c r="O228" i="19"/>
  <c r="O227" i="19"/>
  <c r="O226" i="19"/>
  <c r="O225" i="19"/>
  <c r="P137" i="19"/>
  <c r="L257" i="21"/>
  <c r="M243" i="21"/>
  <c r="M241" i="21"/>
  <c r="M239" i="21"/>
  <c r="M237" i="21"/>
  <c r="M231" i="21"/>
  <c r="M229" i="21"/>
  <c r="M227" i="21"/>
  <c r="P54" i="21"/>
  <c r="P38" i="21"/>
  <c r="P166" i="21" s="1"/>
  <c r="P172" i="21"/>
  <c r="O225" i="22"/>
  <c r="O233" i="22" s="1"/>
  <c r="O226" i="22"/>
  <c r="O227" i="22"/>
  <c r="O228" i="22"/>
  <c r="O229" i="22"/>
  <c r="O230" i="22"/>
  <c r="O231" i="22"/>
  <c r="O232" i="22"/>
  <c r="N208" i="22"/>
  <c r="N207" i="22"/>
  <c r="O236" i="22"/>
  <c r="O237" i="22"/>
  <c r="O238" i="22"/>
  <c r="O239" i="22"/>
  <c r="O240" i="22"/>
  <c r="O241" i="22"/>
  <c r="O242" i="22"/>
  <c r="O243" i="22"/>
  <c r="P172" i="22"/>
  <c r="N232" i="24"/>
  <c r="O227" i="24" s="1"/>
  <c r="O242" i="25"/>
  <c r="O241" i="25"/>
  <c r="O240" i="25"/>
  <c r="O239" i="25"/>
  <c r="O238" i="25"/>
  <c r="O237" i="25"/>
  <c r="O236" i="25"/>
  <c r="O242" i="26"/>
  <c r="O241" i="26"/>
  <c r="O240" i="26"/>
  <c r="O238" i="26"/>
  <c r="O237" i="26"/>
  <c r="O236" i="26"/>
  <c r="P38" i="27"/>
  <c r="P165" i="27" s="1"/>
  <c r="P37" i="16"/>
  <c r="P45" i="16" s="1"/>
  <c r="N189" i="16" s="1"/>
  <c r="N190" i="16" s="1"/>
  <c r="M207" i="22"/>
  <c r="M236" i="22"/>
  <c r="M239" i="22"/>
  <c r="M241" i="22"/>
  <c r="M243" i="22"/>
  <c r="N202" i="23"/>
  <c r="P70" i="23"/>
  <c r="P73" i="23" s="1"/>
  <c r="J73" i="23"/>
  <c r="J87" i="23" s="1"/>
  <c r="M246" i="24"/>
  <c r="M250" i="24"/>
  <c r="L267" i="24"/>
  <c r="M235" i="26"/>
  <c r="M237" i="26"/>
  <c r="M239" i="26"/>
  <c r="M241" i="26"/>
  <c r="M235" i="11"/>
  <c r="M233" i="11"/>
  <c r="M228" i="11"/>
  <c r="M224" i="11"/>
  <c r="M222" i="11"/>
  <c r="M228" i="12"/>
  <c r="M226" i="12"/>
  <c r="M225" i="12"/>
  <c r="M224" i="12"/>
  <c r="M222" i="12"/>
  <c r="O248" i="14"/>
  <c r="O237" i="14"/>
  <c r="M229" i="14"/>
  <c r="M228" i="14"/>
  <c r="M227" i="14"/>
  <c r="M226" i="14"/>
  <c r="M225" i="14"/>
  <c r="M224" i="14"/>
  <c r="M223" i="14"/>
  <c r="J73" i="14"/>
  <c r="M248" i="15"/>
  <c r="N254" i="16"/>
  <c r="O240" i="16"/>
  <c r="O239" i="16"/>
  <c r="O238" i="16"/>
  <c r="O237" i="16"/>
  <c r="O236" i="16"/>
  <c r="O235" i="16"/>
  <c r="O234" i="16"/>
  <c r="O233" i="16"/>
  <c r="M224" i="16"/>
  <c r="M223" i="16"/>
  <c r="J73" i="16"/>
  <c r="M252" i="17"/>
  <c r="M250" i="17"/>
  <c r="M248" i="17"/>
  <c r="M246" i="17"/>
  <c r="M244" i="17"/>
  <c r="M240" i="17"/>
  <c r="M229" i="17"/>
  <c r="M227" i="17"/>
  <c r="M225" i="17"/>
  <c r="M223" i="17"/>
  <c r="N256" i="18"/>
  <c r="O253" i="18"/>
  <c r="O249" i="18"/>
  <c r="O248" i="18"/>
  <c r="O242" i="18"/>
  <c r="O241" i="18"/>
  <c r="O240" i="18"/>
  <c r="O239" i="18"/>
  <c r="O238" i="18"/>
  <c r="O237" i="18"/>
  <c r="O236" i="18"/>
  <c r="O235" i="18"/>
  <c r="N103" i="18"/>
  <c r="N130" i="18" s="1"/>
  <c r="O252" i="24"/>
  <c r="O250" i="24"/>
  <c r="O248" i="24"/>
  <c r="O246" i="24"/>
  <c r="P157" i="26"/>
  <c r="P54" i="27"/>
  <c r="O226" i="20"/>
  <c r="N206" i="20"/>
  <c r="O237" i="20"/>
  <c r="O238" i="20"/>
  <c r="M225" i="22"/>
  <c r="M226" i="22"/>
  <c r="M228" i="22"/>
  <c r="M230" i="22"/>
  <c r="M232" i="22"/>
  <c r="N208" i="23"/>
  <c r="N257" i="23"/>
  <c r="O242" i="23"/>
  <c r="P155" i="25"/>
  <c r="P157" i="25" s="1"/>
  <c r="N267" i="26"/>
  <c r="P69" i="26"/>
  <c r="P72" i="26" s="1"/>
  <c r="P163" i="26" s="1"/>
  <c r="J72" i="26"/>
  <c r="J86" i="26" s="1"/>
  <c r="O235" i="27"/>
  <c r="O236" i="27"/>
  <c r="O237" i="27"/>
  <c r="O238" i="27"/>
  <c r="O239" i="27"/>
  <c r="O240" i="27"/>
  <c r="O241" i="27"/>
  <c r="O242" i="27"/>
  <c r="N267" i="27"/>
  <c r="O226" i="9"/>
  <c r="O224" i="9"/>
  <c r="O222" i="9"/>
  <c r="O227" i="10"/>
  <c r="O225" i="10"/>
  <c r="O223" i="10"/>
  <c r="P172" i="23"/>
  <c r="P155" i="28"/>
  <c r="P157" i="28" s="1"/>
  <c r="P38" i="28"/>
  <c r="P165" i="28" s="1"/>
  <c r="M201" i="5"/>
  <c r="O241" i="23"/>
  <c r="O233" i="4"/>
  <c r="O250" i="11"/>
  <c r="P98" i="14"/>
  <c r="P102" i="14" s="1"/>
  <c r="P119" i="14" s="1"/>
  <c r="P128" i="14" s="1"/>
  <c r="P129" i="14" s="1"/>
  <c r="M225" i="20"/>
  <c r="M229" i="20"/>
  <c r="M226" i="20"/>
  <c r="M230" i="20"/>
  <c r="L256" i="20"/>
  <c r="M227" i="20"/>
  <c r="P54" i="25"/>
  <c r="O240" i="23"/>
  <c r="O236" i="23"/>
  <c r="M225" i="16"/>
  <c r="M214" i="1"/>
  <c r="O211" i="1"/>
  <c r="O232" i="4"/>
  <c r="O225" i="6"/>
  <c r="M237" i="11"/>
  <c r="M232" i="11"/>
  <c r="M238" i="11"/>
  <c r="M203" i="11"/>
  <c r="M234" i="11"/>
  <c r="M244" i="12"/>
  <c r="P53" i="17"/>
  <c r="M228" i="20"/>
  <c r="M225" i="21"/>
  <c r="M230" i="21"/>
  <c r="M232" i="21"/>
  <c r="M226" i="21"/>
  <c r="M228" i="21"/>
  <c r="L232" i="27"/>
  <c r="M249" i="9"/>
  <c r="M250" i="9" s="1"/>
  <c r="M203" i="9"/>
  <c r="M237" i="13"/>
  <c r="M234" i="13"/>
  <c r="M206" i="25"/>
  <c r="M246" i="25"/>
  <c r="M248" i="25"/>
  <c r="M250" i="25"/>
  <c r="M252" i="25"/>
  <c r="M253" i="25"/>
  <c r="M251" i="25"/>
  <c r="M247" i="25"/>
  <c r="L267" i="25"/>
  <c r="M249" i="25"/>
  <c r="O237" i="23"/>
  <c r="N203" i="10"/>
  <c r="O232" i="10"/>
  <c r="O236" i="10"/>
  <c r="O238" i="10"/>
  <c r="O237" i="10"/>
  <c r="O243" i="23"/>
  <c r="O239" i="23"/>
  <c r="O247" i="11"/>
  <c r="M212" i="1"/>
  <c r="M199" i="3"/>
  <c r="J73" i="4"/>
  <c r="N195" i="4" s="1"/>
  <c r="P155" i="6"/>
  <c r="O227" i="8"/>
  <c r="O239" i="10"/>
  <c r="M236" i="11"/>
  <c r="M227" i="11"/>
  <c r="M221" i="11"/>
  <c r="M225" i="11"/>
  <c r="M203" i="12"/>
  <c r="M233" i="12"/>
  <c r="M235" i="12"/>
  <c r="M237" i="12"/>
  <c r="M239" i="12"/>
  <c r="M236" i="12"/>
  <c r="M234" i="12"/>
  <c r="O250" i="13"/>
  <c r="O248" i="13"/>
  <c r="O246" i="13"/>
  <c r="M235" i="16"/>
  <c r="M239" i="16"/>
  <c r="M236" i="16"/>
  <c r="M240" i="16"/>
  <c r="M204" i="16"/>
  <c r="M234" i="16"/>
  <c r="M237" i="16"/>
  <c r="M239" i="17"/>
  <c r="O224" i="18"/>
  <c r="O228" i="18"/>
  <c r="O225" i="18"/>
  <c r="O229" i="18"/>
  <c r="O227" i="18"/>
  <c r="O230" i="18"/>
  <c r="P158" i="19"/>
  <c r="N201" i="19"/>
  <c r="P70" i="19"/>
  <c r="P73" i="19" s="1"/>
  <c r="L257" i="22"/>
  <c r="M208" i="22"/>
  <c r="O237" i="6"/>
  <c r="O235" i="6"/>
  <c r="O233" i="6"/>
  <c r="O231" i="6"/>
  <c r="M221" i="12"/>
  <c r="L253" i="12"/>
  <c r="N101" i="12"/>
  <c r="N128" i="12" s="1"/>
  <c r="M222" i="13"/>
  <c r="L73" i="13"/>
  <c r="M237" i="14"/>
  <c r="O244" i="16"/>
  <c r="O248" i="16"/>
  <c r="O250" i="16"/>
  <c r="O252" i="16"/>
  <c r="M251" i="17"/>
  <c r="M245" i="17"/>
  <c r="N206" i="26"/>
  <c r="O247" i="26"/>
  <c r="O249" i="26"/>
  <c r="O251" i="26"/>
  <c r="O253" i="26"/>
  <c r="O246" i="26"/>
  <c r="O252" i="26"/>
  <c r="M244" i="14"/>
  <c r="M235" i="14"/>
  <c r="M239" i="14"/>
  <c r="M236" i="14"/>
  <c r="M240" i="14"/>
  <c r="M228" i="17"/>
  <c r="N103" i="23"/>
  <c r="N130" i="23" s="1"/>
  <c r="P86" i="23" s="1"/>
  <c r="P165" i="23" s="1"/>
  <c r="N206" i="25"/>
  <c r="O247" i="25"/>
  <c r="O250" i="25"/>
  <c r="O248" i="25"/>
  <c r="O253" i="25"/>
  <c r="O246" i="25"/>
  <c r="O251" i="25"/>
  <c r="O252" i="25"/>
  <c r="O244" i="12"/>
  <c r="O226" i="16"/>
  <c r="O226" i="23"/>
  <c r="O233" i="23" s="1"/>
  <c r="O230" i="23"/>
  <c r="O227" i="23"/>
  <c r="O231" i="23"/>
  <c r="M227" i="23"/>
  <c r="M231" i="23"/>
  <c r="M226" i="23"/>
  <c r="M232" i="23"/>
  <c r="M228" i="23"/>
  <c r="L257" i="23"/>
  <c r="P53" i="23"/>
  <c r="N232" i="25"/>
  <c r="O227" i="25" s="1"/>
  <c r="N267" i="25"/>
  <c r="P136" i="26"/>
  <c r="N102" i="26"/>
  <c r="N129" i="26" s="1"/>
  <c r="P85" i="26" s="1"/>
  <c r="P164" i="26" s="1"/>
  <c r="O227" i="12"/>
  <c r="O229" i="23"/>
  <c r="M230" i="23"/>
  <c r="P54" i="24"/>
  <c r="L232" i="26"/>
  <c r="M227" i="26" s="1"/>
  <c r="M236" i="27"/>
  <c r="M240" i="27"/>
  <c r="M241" i="27"/>
  <c r="L267" i="27"/>
  <c r="M242" i="27"/>
  <c r="M237" i="27"/>
  <c r="M237" i="28"/>
  <c r="M239" i="28"/>
  <c r="M241" i="28"/>
  <c r="M235" i="28"/>
  <c r="M238" i="28"/>
  <c r="M242" i="28"/>
  <c r="L267" i="28"/>
  <c r="M240" i="28"/>
  <c r="M236" i="28"/>
  <c r="M249" i="28"/>
  <c r="M251" i="28"/>
  <c r="M248" i="28"/>
  <c r="M252" i="28"/>
  <c r="J73" i="22"/>
  <c r="J87" i="22" s="1"/>
  <c r="O236" i="24"/>
  <c r="O240" i="24"/>
  <c r="N232" i="26"/>
  <c r="O227" i="26" s="1"/>
  <c r="M207" i="26"/>
  <c r="L267" i="26"/>
  <c r="O253" i="27"/>
  <c r="L232" i="24"/>
  <c r="M229" i="24" s="1"/>
  <c r="P37" i="26"/>
  <c r="P45" i="26" s="1"/>
  <c r="N191" i="26" s="1"/>
  <c r="N192" i="26" s="1"/>
  <c r="O246" i="27"/>
  <c r="O248" i="27"/>
  <c r="O250" i="27"/>
  <c r="O252" i="27"/>
  <c r="N267" i="28"/>
  <c r="O253" i="28"/>
  <c r="O251" i="28"/>
  <c r="O249" i="28"/>
  <c r="O247" i="28"/>
  <c r="O241" i="28"/>
  <c r="O239" i="28"/>
  <c r="O237" i="28"/>
  <c r="O231" i="26"/>
  <c r="M228" i="26"/>
  <c r="M230" i="26"/>
  <c r="M230" i="24"/>
  <c r="O225" i="25"/>
  <c r="N211" i="29"/>
  <c r="P53" i="29"/>
  <c r="P38" i="29"/>
  <c r="P165" i="29" s="1"/>
  <c r="P37" i="29"/>
  <c r="P45" i="29" s="1"/>
  <c r="N191" i="29" s="1"/>
  <c r="N192" i="29" s="1"/>
  <c r="M221" i="6"/>
  <c r="M222" i="6"/>
  <c r="M226" i="6"/>
  <c r="M227" i="6"/>
  <c r="M223" i="6"/>
  <c r="L252" i="6"/>
  <c r="M224" i="6"/>
  <c r="O224" i="20"/>
  <c r="O227" i="20"/>
  <c r="O231" i="20"/>
  <c r="O228" i="20"/>
  <c r="O229" i="20"/>
  <c r="O229" i="21"/>
  <c r="L73" i="21"/>
  <c r="L87" i="21" s="1"/>
  <c r="P70" i="21"/>
  <c r="P73" i="21" s="1"/>
  <c r="P164" i="21" s="1"/>
  <c r="O228" i="26"/>
  <c r="J72" i="2"/>
  <c r="O225" i="20"/>
  <c r="O232" i="20" s="1"/>
  <c r="O232" i="21"/>
  <c r="L72" i="3"/>
  <c r="N202" i="7"/>
  <c r="O235" i="7"/>
  <c r="O238" i="7"/>
  <c r="O233" i="7"/>
  <c r="O236" i="7"/>
  <c r="O231" i="7"/>
  <c r="O234" i="7"/>
  <c r="H86" i="6"/>
  <c r="M231" i="4"/>
  <c r="M229" i="4"/>
  <c r="M233" i="4"/>
  <c r="M226" i="4"/>
  <c r="M234" i="4" s="1"/>
  <c r="M230" i="4"/>
  <c r="M200" i="4"/>
  <c r="M227" i="4"/>
  <c r="M215" i="5"/>
  <c r="M220" i="5"/>
  <c r="M217" i="5"/>
  <c r="M222" i="5"/>
  <c r="M218" i="5"/>
  <c r="M219" i="5"/>
  <c r="M249" i="14"/>
  <c r="M248" i="14"/>
  <c r="M246" i="14"/>
  <c r="M245" i="14"/>
  <c r="M250" i="14"/>
  <c r="M252" i="14"/>
  <c r="M251" i="15"/>
  <c r="M245" i="15"/>
  <c r="M246" i="15"/>
  <c r="M244" i="15"/>
  <c r="M252" i="15"/>
  <c r="M250" i="15"/>
  <c r="M247" i="15"/>
  <c r="L73" i="20"/>
  <c r="L87" i="20" s="1"/>
  <c r="P70" i="20"/>
  <c r="P73" i="20" s="1"/>
  <c r="O228" i="25"/>
  <c r="O230" i="25"/>
  <c r="O224" i="25"/>
  <c r="O226" i="25"/>
  <c r="M251" i="14"/>
  <c r="P175" i="14"/>
  <c r="O226" i="21"/>
  <c r="M221" i="5"/>
  <c r="M220" i="6"/>
  <c r="N252" i="8"/>
  <c r="P169" i="2"/>
  <c r="M221" i="8"/>
  <c r="M225" i="8"/>
  <c r="M220" i="8"/>
  <c r="M226" i="8"/>
  <c r="M222" i="8"/>
  <c r="M227" i="8"/>
  <c r="L252" i="8"/>
  <c r="M223" i="8"/>
  <c r="O235" i="12"/>
  <c r="O238" i="12"/>
  <c r="N203" i="12"/>
  <c r="O233" i="12"/>
  <c r="O236" i="12"/>
  <c r="N253" i="12"/>
  <c r="O237" i="12"/>
  <c r="O232" i="12"/>
  <c r="M229" i="18"/>
  <c r="M226" i="18"/>
  <c r="O242" i="20"/>
  <c r="O236" i="20"/>
  <c r="O240" i="20"/>
  <c r="O235" i="20"/>
  <c r="O239" i="20"/>
  <c r="N191" i="14"/>
  <c r="P53" i="19"/>
  <c r="M247" i="14"/>
  <c r="P53" i="6"/>
  <c r="L247" i="5"/>
  <c r="O230" i="20"/>
  <c r="O241" i="20"/>
  <c r="M231" i="18"/>
  <c r="O225" i="24"/>
  <c r="O231" i="24"/>
  <c r="O224" i="24"/>
  <c r="O230" i="24"/>
  <c r="O229" i="24"/>
  <c r="O244" i="21"/>
  <c r="M212" i="2"/>
  <c r="M217" i="3"/>
  <c r="M213" i="3"/>
  <c r="M219" i="3"/>
  <c r="M215" i="3"/>
  <c r="M218" i="3"/>
  <c r="M212" i="3"/>
  <c r="M216" i="3"/>
  <c r="M232" i="4"/>
  <c r="N200" i="4"/>
  <c r="O228" i="4"/>
  <c r="O227" i="4"/>
  <c r="O229" i="4"/>
  <c r="O231" i="4"/>
  <c r="O226" i="4"/>
  <c r="O230" i="4"/>
  <c r="M216" i="5"/>
  <c r="P37" i="8"/>
  <c r="P45" i="8" s="1"/>
  <c r="N187" i="8" s="1"/>
  <c r="N188" i="8" s="1"/>
  <c r="M223" i="7"/>
  <c r="M227" i="7"/>
  <c r="M220" i="7"/>
  <c r="M222" i="7"/>
  <c r="M224" i="7"/>
  <c r="L252" i="7"/>
  <c r="M225" i="7"/>
  <c r="P135" i="11"/>
  <c r="P54" i="11"/>
  <c r="P53" i="11"/>
  <c r="P38" i="11"/>
  <c r="O234" i="12"/>
  <c r="L254" i="14"/>
  <c r="M249" i="15"/>
  <c r="N207" i="20"/>
  <c r="N256" i="20"/>
  <c r="P152" i="3"/>
  <c r="M225" i="3"/>
  <c r="O237" i="3"/>
  <c r="O241" i="3"/>
  <c r="M218" i="4"/>
  <c r="M222" i="4"/>
  <c r="M203" i="10"/>
  <c r="M232" i="10"/>
  <c r="M236" i="10"/>
  <c r="M234" i="10"/>
  <c r="M239" i="10"/>
  <c r="O239" i="11"/>
  <c r="O235" i="11"/>
  <c r="M224" i="13"/>
  <c r="M228" i="13"/>
  <c r="M233" i="13"/>
  <c r="M232" i="13"/>
  <c r="M251" i="11"/>
  <c r="M244" i="11"/>
  <c r="M248" i="11"/>
  <c r="M243" i="11"/>
  <c r="O222" i="15"/>
  <c r="O227" i="15"/>
  <c r="O224" i="15"/>
  <c r="O237" i="15"/>
  <c r="O234" i="15"/>
  <c r="L254" i="16"/>
  <c r="M227" i="16"/>
  <c r="M226" i="16"/>
  <c r="N207" i="18"/>
  <c r="O254" i="18"/>
  <c r="O250" i="18"/>
  <c r="O246" i="18"/>
  <c r="M206" i="18"/>
  <c r="M235" i="18"/>
  <c r="M239" i="18"/>
  <c r="M240" i="18"/>
  <c r="M237" i="19"/>
  <c r="M243" i="19" s="1"/>
  <c r="M241" i="19"/>
  <c r="M206" i="19"/>
  <c r="M239" i="19"/>
  <c r="M250" i="28"/>
  <c r="M246" i="28"/>
  <c r="N123" i="20"/>
  <c r="N129" i="20" s="1"/>
  <c r="P171" i="20"/>
  <c r="P69" i="25"/>
  <c r="P72" i="25" s="1"/>
  <c r="N267" i="24"/>
  <c r="M206" i="28"/>
  <c r="M225" i="13"/>
  <c r="L253" i="10"/>
  <c r="M235" i="13"/>
  <c r="M203" i="13"/>
  <c r="O224" i="8"/>
  <c r="O251" i="18"/>
  <c r="M228" i="16"/>
  <c r="O222" i="8"/>
  <c r="O226" i="15"/>
  <c r="O235" i="15"/>
  <c r="O239" i="15"/>
  <c r="M249" i="11"/>
  <c r="O232" i="11"/>
  <c r="O237" i="11"/>
  <c r="P151" i="2"/>
  <c r="P53" i="2"/>
  <c r="O211" i="2"/>
  <c r="O236" i="3"/>
  <c r="M217" i="4"/>
  <c r="P70" i="4"/>
  <c r="P73" i="4" s="1"/>
  <c r="N200" i="5"/>
  <c r="O233" i="5"/>
  <c r="O229" i="5"/>
  <c r="O226" i="5"/>
  <c r="M238" i="10"/>
  <c r="P156" i="12"/>
  <c r="O221" i="13"/>
  <c r="O228" i="13"/>
  <c r="O224" i="13"/>
  <c r="N204" i="14"/>
  <c r="O239" i="14"/>
  <c r="O235" i="14"/>
  <c r="O244" i="15"/>
  <c r="N254" i="15"/>
  <c r="O249" i="15"/>
  <c r="O245" i="15"/>
  <c r="M204" i="15"/>
  <c r="M236" i="15"/>
  <c r="M240" i="15"/>
  <c r="M234" i="15"/>
  <c r="M239" i="15"/>
  <c r="P38" i="15"/>
  <c r="O249" i="16"/>
  <c r="N205" i="16"/>
  <c r="M241" i="18"/>
  <c r="M207" i="18"/>
  <c r="M246" i="18"/>
  <c r="M250" i="18"/>
  <c r="M254" i="18"/>
  <c r="M248" i="18"/>
  <c r="M253" i="18"/>
  <c r="P37" i="18"/>
  <c r="P45" i="18" s="1"/>
  <c r="N191" i="18" s="1"/>
  <c r="N192" i="18" s="1"/>
  <c r="N201" i="18"/>
  <c r="M236" i="19"/>
  <c r="M248" i="19"/>
  <c r="M252" i="19"/>
  <c r="M207" i="19"/>
  <c r="M247" i="19"/>
  <c r="M253" i="19"/>
  <c r="J72" i="27"/>
  <c r="J86" i="27" s="1"/>
  <c r="N201" i="27"/>
  <c r="P69" i="27"/>
  <c r="P72" i="27" s="1"/>
  <c r="P163" i="27" s="1"/>
  <c r="M226" i="24"/>
  <c r="N201" i="25"/>
  <c r="M253" i="28"/>
  <c r="M247" i="28"/>
  <c r="O246" i="16"/>
  <c r="M226" i="13"/>
  <c r="M221" i="13"/>
  <c r="P136" i="16"/>
  <c r="O251" i="13"/>
  <c r="M238" i="13"/>
  <c r="M229" i="16"/>
  <c r="M239" i="13"/>
  <c r="P137" i="18"/>
  <c r="O247" i="18"/>
  <c r="O252" i="18"/>
  <c r="O240" i="14"/>
  <c r="O223" i="8"/>
  <c r="O223" i="15"/>
  <c r="O228" i="15"/>
  <c r="O240" i="15"/>
  <c r="O250" i="15"/>
  <c r="M247" i="11"/>
  <c r="O245" i="13"/>
  <c r="O222" i="13"/>
  <c r="O226" i="13"/>
  <c r="O233" i="11"/>
  <c r="O238" i="11"/>
  <c r="O228" i="5"/>
  <c r="M228" i="3"/>
  <c r="O240" i="3"/>
  <c r="O235" i="3"/>
  <c r="M200" i="3"/>
  <c r="M236" i="3"/>
  <c r="M241" i="3"/>
  <c r="M221" i="4"/>
  <c r="M216" i="4"/>
  <c r="O236" i="8"/>
  <c r="O233" i="8"/>
  <c r="N203" i="9"/>
  <c r="M237" i="10"/>
  <c r="O234" i="10"/>
  <c r="O235" i="10"/>
  <c r="N198" i="10"/>
  <c r="J73" i="10"/>
  <c r="M227" i="5"/>
  <c r="M231" i="5"/>
  <c r="M232" i="6"/>
  <c r="M237" i="6"/>
  <c r="M232" i="7"/>
  <c r="M234" i="7"/>
  <c r="M236" i="7"/>
  <c r="M238" i="7"/>
  <c r="M232" i="8"/>
  <c r="M234" i="8"/>
  <c r="M236" i="8"/>
  <c r="M238" i="8"/>
  <c r="M220" i="9"/>
  <c r="M224" i="9"/>
  <c r="M225" i="9"/>
  <c r="L253" i="11"/>
  <c r="M226" i="11"/>
  <c r="P98" i="11"/>
  <c r="P101" i="11" s="1"/>
  <c r="M227" i="12"/>
  <c r="M223" i="12"/>
  <c r="M227" i="13"/>
  <c r="M246" i="11"/>
  <c r="O244" i="14"/>
  <c r="O251" i="14"/>
  <c r="O247" i="14"/>
  <c r="M235" i="15"/>
  <c r="P54" i="15"/>
  <c r="P136" i="15"/>
  <c r="N199" i="16"/>
  <c r="P70" i="16"/>
  <c r="P73" i="16" s="1"/>
  <c r="P86" i="16" s="1"/>
  <c r="P163" i="16" s="1"/>
  <c r="M249" i="18"/>
  <c r="M238" i="18"/>
  <c r="M251" i="19"/>
  <c r="M242" i="19"/>
  <c r="M235" i="19"/>
  <c r="M225" i="19"/>
  <c r="M229" i="19"/>
  <c r="M224" i="19"/>
  <c r="M230" i="19"/>
  <c r="N207" i="23"/>
  <c r="O238" i="23"/>
  <c r="N201" i="24"/>
  <c r="P69" i="24"/>
  <c r="P72" i="24" s="1"/>
  <c r="P163" i="24" s="1"/>
  <c r="L232" i="25"/>
  <c r="M225" i="25" s="1"/>
  <c r="O239" i="26"/>
  <c r="O235" i="26"/>
  <c r="N232" i="27"/>
  <c r="N212" i="23"/>
  <c r="P156" i="23"/>
  <c r="P158" i="23" s="1"/>
  <c r="P54" i="12"/>
  <c r="P135" i="12"/>
  <c r="P37" i="12"/>
  <c r="P45" i="12" s="1"/>
  <c r="N188" i="12" s="1"/>
  <c r="N189" i="12" s="1"/>
  <c r="N101" i="13"/>
  <c r="N128" i="13" s="1"/>
  <c r="M244" i="13"/>
  <c r="O222" i="14"/>
  <c r="P157" i="14"/>
  <c r="O223" i="16"/>
  <c r="O228" i="16"/>
  <c r="M227" i="22"/>
  <c r="M229" i="22"/>
  <c r="M207" i="23"/>
  <c r="M239" i="23"/>
  <c r="M243" i="23"/>
  <c r="M237" i="23"/>
  <c r="M241" i="23"/>
  <c r="M240" i="23"/>
  <c r="M237" i="24"/>
  <c r="M241" i="24"/>
  <c r="M235" i="24"/>
  <c r="M239" i="24"/>
  <c r="M238" i="24"/>
  <c r="N202" i="22"/>
  <c r="P70" i="22"/>
  <c r="P73" i="22" s="1"/>
  <c r="P164" i="22" s="1"/>
  <c r="O232" i="23"/>
  <c r="O225" i="23"/>
  <c r="P37" i="24"/>
  <c r="P45" i="24" s="1"/>
  <c r="N191" i="24" s="1"/>
  <c r="N192" i="24" s="1"/>
  <c r="M238" i="25"/>
  <c r="M239" i="25"/>
  <c r="M236" i="25"/>
  <c r="M241" i="25"/>
  <c r="N211" i="27"/>
  <c r="P155" i="27"/>
  <c r="P157" i="27" s="1"/>
  <c r="O246" i="29"/>
  <c r="O248" i="29"/>
  <c r="O250" i="29"/>
  <c r="O252" i="29"/>
  <c r="N206" i="29"/>
  <c r="O251" i="29"/>
  <c r="O247" i="29"/>
  <c r="N102" i="29"/>
  <c r="M240" i="26"/>
  <c r="M238" i="26"/>
  <c r="O247" i="27"/>
  <c r="N206" i="27"/>
  <c r="O249" i="27"/>
  <c r="M264" i="28"/>
  <c r="M265" i="28" s="1"/>
  <c r="O264" i="29"/>
  <c r="O242" i="29"/>
  <c r="P98" i="29"/>
  <c r="P102" i="29" s="1"/>
  <c r="J72" i="28"/>
  <c r="J86" i="28" s="1"/>
  <c r="N201" i="28"/>
  <c r="O261" i="29"/>
  <c r="N267" i="29"/>
  <c r="O235" i="29"/>
  <c r="O237" i="29"/>
  <c r="O239" i="29"/>
  <c r="O241" i="29"/>
  <c r="O240" i="29"/>
  <c r="O236" i="29"/>
  <c r="P69" i="29"/>
  <c r="P72" i="29" s="1"/>
  <c r="P163" i="29" s="1"/>
  <c r="J72" i="29"/>
  <c r="J86" i="29" s="1"/>
  <c r="O264" i="28"/>
  <c r="M261" i="29"/>
  <c r="M252" i="29"/>
  <c r="M250" i="29"/>
  <c r="M248" i="29"/>
  <c r="M241" i="29"/>
  <c r="M239" i="29"/>
  <c r="M237" i="29"/>
  <c r="O248" i="28"/>
  <c r="N207" i="28"/>
  <c r="O224" i="27"/>
  <c r="O225" i="27"/>
  <c r="O228" i="27"/>
  <c r="O230" i="27"/>
  <c r="O229" i="27"/>
  <c r="O226" i="27"/>
  <c r="O227" i="27"/>
  <c r="O231" i="27"/>
  <c r="M228" i="7"/>
  <c r="M223" i="5"/>
  <c r="O265" i="29"/>
  <c r="P163" i="20"/>
  <c r="M231" i="25"/>
  <c r="M223" i="4"/>
  <c r="M254" i="28"/>
  <c r="M228" i="8"/>
  <c r="P163" i="25"/>
  <c r="P37" i="3"/>
  <c r="P164" i="23"/>
  <c r="P86" i="11"/>
  <c r="P162" i="11" s="1"/>
  <c r="P161" i="11"/>
  <c r="P52" i="1"/>
  <c r="M227" i="24"/>
  <c r="O224" i="3"/>
  <c r="O228" i="3"/>
  <c r="O221" i="4"/>
  <c r="O220" i="4"/>
  <c r="O215" i="4"/>
  <c r="O217" i="4"/>
  <c r="O219" i="4"/>
  <c r="P53" i="12"/>
  <c r="P38" i="12"/>
  <c r="O238" i="8"/>
  <c r="O231" i="8"/>
  <c r="O235" i="9"/>
  <c r="M246" i="13"/>
  <c r="O228" i="14"/>
  <c r="O225" i="14"/>
  <c r="P38" i="16"/>
  <c r="P53" i="20"/>
  <c r="P53" i="21"/>
  <c r="P38" i="17"/>
  <c r="P37" i="21"/>
  <c r="P45" i="21" s="1"/>
  <c r="N192" i="21" s="1"/>
  <c r="N193" i="21" s="1"/>
  <c r="O229" i="16"/>
  <c r="O225" i="16"/>
  <c r="P70" i="17"/>
  <c r="P73" i="17" s="1"/>
  <c r="P37" i="28"/>
  <c r="P45" i="28" s="1"/>
  <c r="N191" i="28" s="1"/>
  <c r="N192" i="28" s="1"/>
  <c r="M252" i="18"/>
  <c r="M254" i="19"/>
  <c r="M238" i="22"/>
  <c r="O241" i="24"/>
  <c r="O238" i="24"/>
  <c r="M242" i="24"/>
  <c r="M242" i="25"/>
  <c r="M237" i="25"/>
  <c r="N207" i="29"/>
  <c r="P54" i="30"/>
  <c r="P69" i="30"/>
  <c r="P72" i="30" s="1"/>
  <c r="P53" i="30"/>
  <c r="P38" i="30"/>
  <c r="P165" i="30" s="1"/>
  <c r="M206" i="30"/>
  <c r="N267" i="30"/>
  <c r="L267" i="30"/>
  <c r="O238" i="30"/>
  <c r="O236" i="30"/>
  <c r="O240" i="30"/>
  <c r="O235" i="30"/>
  <c r="O237" i="30"/>
  <c r="O239" i="30"/>
  <c r="O241" i="30"/>
  <c r="L232" i="30"/>
  <c r="M236" i="30"/>
  <c r="M237" i="30"/>
  <c r="M238" i="30"/>
  <c r="M239" i="30"/>
  <c r="M240" i="30"/>
  <c r="M241" i="30"/>
  <c r="M242" i="30"/>
  <c r="M229" i="30"/>
  <c r="P69" i="31"/>
  <c r="P72" i="31" s="1"/>
  <c r="J72" i="31"/>
  <c r="J86" i="31" s="1"/>
  <c r="P155" i="31"/>
  <c r="P157" i="31" s="1"/>
  <c r="P171" i="31"/>
  <c r="O239" i="31"/>
  <c r="O240" i="31"/>
  <c r="O241" i="31"/>
  <c r="P54" i="31"/>
  <c r="N129" i="31"/>
  <c r="P85" i="31" s="1"/>
  <c r="P164" i="31"/>
  <c r="P38" i="31"/>
  <c r="P165" i="31" s="1"/>
  <c r="L267" i="31"/>
  <c r="N232" i="31"/>
  <c r="O228" i="31" s="1"/>
  <c r="O235" i="31"/>
  <c r="N267" i="31"/>
  <c r="O236" i="31"/>
  <c r="O238" i="31"/>
  <c r="M240" i="31"/>
  <c r="M242" i="31"/>
  <c r="M235" i="31"/>
  <c r="M236" i="31"/>
  <c r="M237" i="31"/>
  <c r="M238" i="31"/>
  <c r="M239" i="31"/>
  <c r="M241" i="31"/>
  <c r="O231" i="31"/>
  <c r="N201" i="32"/>
  <c r="P54" i="32"/>
  <c r="P69" i="32"/>
  <c r="P72" i="32" s="1"/>
  <c r="P163" i="32" s="1"/>
  <c r="M206" i="32"/>
  <c r="O236" i="32"/>
  <c r="O238" i="32"/>
  <c r="O235" i="32"/>
  <c r="O237" i="32"/>
  <c r="O239" i="32"/>
  <c r="O241" i="32"/>
  <c r="N267" i="32"/>
  <c r="M235" i="32"/>
  <c r="M236" i="32"/>
  <c r="M237" i="32"/>
  <c r="M238" i="32"/>
  <c r="M239" i="32"/>
  <c r="M240" i="32"/>
  <c r="M241" i="32"/>
  <c r="M242" i="32"/>
  <c r="P155" i="32"/>
  <c r="P157" i="32" s="1"/>
  <c r="P54" i="33"/>
  <c r="P69" i="33"/>
  <c r="P72" i="33" s="1"/>
  <c r="J72" i="33"/>
  <c r="J86" i="33" s="1"/>
  <c r="P171" i="33"/>
  <c r="N267" i="33"/>
  <c r="O238" i="33"/>
  <c r="O236" i="33"/>
  <c r="O240" i="33"/>
  <c r="O235" i="33"/>
  <c r="O237" i="33"/>
  <c r="O239" i="33"/>
  <c r="O241" i="33"/>
  <c r="L232" i="33"/>
  <c r="M230" i="33" s="1"/>
  <c r="M236" i="33"/>
  <c r="M237" i="33"/>
  <c r="M238" i="33"/>
  <c r="M239" i="33"/>
  <c r="M240" i="33"/>
  <c r="M241" i="33"/>
  <c r="M242" i="33"/>
  <c r="M229" i="33"/>
  <c r="P38" i="33"/>
  <c r="P165" i="33" s="1"/>
  <c r="P53" i="34"/>
  <c r="P38" i="34"/>
  <c r="P166" i="34" s="1"/>
  <c r="P37" i="34"/>
  <c r="P45" i="34" s="1"/>
  <c r="N192" i="34" s="1"/>
  <c r="N193" i="34" s="1"/>
  <c r="N202" i="34"/>
  <c r="P54" i="34"/>
  <c r="P69" i="34"/>
  <c r="P72" i="34" s="1"/>
  <c r="P172" i="35"/>
  <c r="N207" i="35"/>
  <c r="O236" i="35"/>
  <c r="O237" i="35"/>
  <c r="O238" i="35"/>
  <c r="O239" i="35"/>
  <c r="O240" i="35"/>
  <c r="O241" i="35"/>
  <c r="O242" i="35"/>
  <c r="O247" i="35"/>
  <c r="O248" i="35"/>
  <c r="O249" i="35"/>
  <c r="O250" i="35"/>
  <c r="O251" i="35"/>
  <c r="O252" i="35"/>
  <c r="O253" i="35"/>
  <c r="P54" i="35"/>
  <c r="P38" i="35"/>
  <c r="P166" i="35" s="1"/>
  <c r="P53" i="35"/>
  <c r="N233" i="35"/>
  <c r="O230" i="35" s="1"/>
  <c r="N268" i="35"/>
  <c r="L268" i="35"/>
  <c r="M247" i="35"/>
  <c r="M207" i="35"/>
  <c r="M251" i="35"/>
  <c r="M249" i="35"/>
  <c r="M253" i="35"/>
  <c r="M248" i="35"/>
  <c r="M250" i="35"/>
  <c r="M252" i="35"/>
  <c r="O243" i="35"/>
  <c r="M237" i="35"/>
  <c r="M241" i="35"/>
  <c r="M239" i="35"/>
  <c r="M243" i="35"/>
  <c r="M236" i="35"/>
  <c r="M238" i="35"/>
  <c r="M240" i="35"/>
  <c r="M242" i="35"/>
  <c r="N202" i="36"/>
  <c r="P54" i="36"/>
  <c r="P69" i="36"/>
  <c r="P72" i="36" s="1"/>
  <c r="P172" i="36"/>
  <c r="N123" i="36"/>
  <c r="N129" i="36" s="1"/>
  <c r="P53" i="36"/>
  <c r="P38" i="36"/>
  <c r="P166" i="36" s="1"/>
  <c r="M249" i="36"/>
  <c r="M251" i="36"/>
  <c r="O247" i="36"/>
  <c r="O248" i="36"/>
  <c r="O249" i="36"/>
  <c r="O250" i="36"/>
  <c r="O251" i="36"/>
  <c r="N268" i="36"/>
  <c r="O253" i="36"/>
  <c r="N207" i="36"/>
  <c r="O252" i="36"/>
  <c r="M252" i="36"/>
  <c r="M253" i="36"/>
  <c r="M254" i="36"/>
  <c r="O237" i="36"/>
  <c r="O239" i="36"/>
  <c r="O236" i="36"/>
  <c r="O238" i="36"/>
  <c r="O240" i="36"/>
  <c r="O242" i="36"/>
  <c r="O243" i="36"/>
  <c r="M236" i="36"/>
  <c r="M237" i="36"/>
  <c r="M238" i="36"/>
  <c r="M239" i="36"/>
  <c r="M240" i="36"/>
  <c r="M241" i="36"/>
  <c r="M242" i="36"/>
  <c r="M243" i="36"/>
  <c r="M226" i="36"/>
  <c r="M228" i="36"/>
  <c r="M230" i="36"/>
  <c r="M232" i="36"/>
  <c r="M227" i="36"/>
  <c r="M229" i="36"/>
  <c r="M231" i="36"/>
  <c r="M225" i="36"/>
  <c r="P54" i="37"/>
  <c r="P69" i="37"/>
  <c r="P72" i="37" s="1"/>
  <c r="N268" i="37"/>
  <c r="L268" i="37"/>
  <c r="O239" i="37"/>
  <c r="O237" i="37"/>
  <c r="O241" i="37"/>
  <c r="O236" i="37"/>
  <c r="O238" i="37"/>
  <c r="O240" i="37"/>
  <c r="O242" i="37"/>
  <c r="L233" i="37"/>
  <c r="M227" i="37" s="1"/>
  <c r="M237" i="37"/>
  <c r="M238" i="37"/>
  <c r="M239" i="37"/>
  <c r="M240" i="37"/>
  <c r="M241" i="37"/>
  <c r="M242" i="37"/>
  <c r="M243" i="37"/>
  <c r="M228" i="37"/>
  <c r="P156" i="37"/>
  <c r="P158" i="37" s="1"/>
  <c r="P38" i="37"/>
  <c r="P166" i="37"/>
  <c r="P53" i="37"/>
  <c r="P37" i="37"/>
  <c r="P45" i="37" s="1"/>
  <c r="N192" i="37" s="1"/>
  <c r="N193" i="37" s="1"/>
  <c r="P45" i="10" l="1"/>
  <c r="N188" i="10" s="1"/>
  <c r="N189" i="10" s="1"/>
  <c r="N128" i="10"/>
  <c r="P37" i="6"/>
  <c r="P45" i="6" s="1"/>
  <c r="N187" i="6" s="1"/>
  <c r="N188" i="6" s="1"/>
  <c r="O244" i="35"/>
  <c r="P54" i="8"/>
  <c r="O230" i="3"/>
  <c r="M231" i="24"/>
  <c r="M225" i="24"/>
  <c r="M230" i="25"/>
  <c r="P162" i="16"/>
  <c r="M233" i="22"/>
  <c r="M229" i="11"/>
  <c r="M239" i="6"/>
  <c r="M224" i="3"/>
  <c r="O214" i="2"/>
  <c r="M223" i="3"/>
  <c r="M230" i="3"/>
  <c r="N252" i="7"/>
  <c r="N247" i="4"/>
  <c r="M213" i="2"/>
  <c r="M211" i="2"/>
  <c r="P54" i="5"/>
  <c r="O248" i="8"/>
  <c r="O250" i="8" s="1"/>
  <c r="P177" i="14"/>
  <c r="N193" i="2"/>
  <c r="M228" i="24"/>
  <c r="O222" i="6"/>
  <c r="M226" i="3"/>
  <c r="O213" i="1"/>
  <c r="N253" i="10"/>
  <c r="O232" i="9"/>
  <c r="P53" i="3"/>
  <c r="O222" i="10"/>
  <c r="O224" i="10"/>
  <c r="O226" i="10"/>
  <c r="O221" i="9"/>
  <c r="O223" i="9"/>
  <c r="O225" i="9"/>
  <c r="O227" i="9"/>
  <c r="J72" i="1"/>
  <c r="N193" i="1" s="1"/>
  <c r="N122" i="1"/>
  <c r="P69" i="3"/>
  <c r="P72" i="3" s="1"/>
  <c r="P157" i="3" s="1"/>
  <c r="P37" i="7"/>
  <c r="P45" i="7" s="1"/>
  <c r="N187" i="7" s="1"/>
  <c r="N188" i="7" s="1"/>
  <c r="P53" i="8"/>
  <c r="O228" i="10"/>
  <c r="P37" i="22"/>
  <c r="P45" i="22" s="1"/>
  <c r="N192" i="22" s="1"/>
  <c r="N193" i="22" s="1"/>
  <c r="M207" i="28"/>
  <c r="P37" i="33"/>
  <c r="P45" i="33" s="1"/>
  <c r="N191" i="33" s="1"/>
  <c r="N192" i="33" s="1"/>
  <c r="M252" i="34"/>
  <c r="P52" i="2"/>
  <c r="P37" i="2"/>
  <c r="P38" i="24"/>
  <c r="P165" i="24" s="1"/>
  <c r="P53" i="24"/>
  <c r="O244" i="37"/>
  <c r="O225" i="35"/>
  <c r="M243" i="28"/>
  <c r="N96" i="2"/>
  <c r="P38" i="10"/>
  <c r="P53" i="15"/>
  <c r="N129" i="15"/>
  <c r="M235" i="20"/>
  <c r="P53" i="9"/>
  <c r="P37" i="9"/>
  <c r="P45" i="9" s="1"/>
  <c r="N187" i="9" s="1"/>
  <c r="N188" i="9" s="1"/>
  <c r="P97" i="8"/>
  <c r="P100" i="8" s="1"/>
  <c r="P173" i="8" s="1"/>
  <c r="P97" i="6"/>
  <c r="P100" i="6" s="1"/>
  <c r="P175" i="6" s="1"/>
  <c r="P97" i="3"/>
  <c r="P37" i="13"/>
  <c r="P157" i="15"/>
  <c r="O247" i="30"/>
  <c r="O249" i="30"/>
  <c r="L232" i="31"/>
  <c r="O248" i="31"/>
  <c r="O252" i="31"/>
  <c r="O265" i="31"/>
  <c r="N206" i="32"/>
  <c r="O246" i="32"/>
  <c r="M250" i="32"/>
  <c r="O253" i="32"/>
  <c r="M242" i="34"/>
  <c r="M225" i="37"/>
  <c r="M228" i="9"/>
  <c r="O240" i="11"/>
  <c r="M216" i="2"/>
  <c r="O229" i="10"/>
  <c r="O240" i="13"/>
  <c r="P37" i="5"/>
  <c r="P45" i="5" s="1"/>
  <c r="N185" i="5" s="1"/>
  <c r="N186" i="5" s="1"/>
  <c r="N100" i="6"/>
  <c r="N127" i="6" s="1"/>
  <c r="O235" i="8"/>
  <c r="P156" i="13"/>
  <c r="P157" i="17"/>
  <c r="P37" i="20"/>
  <c r="P45" i="20" s="1"/>
  <c r="N191" i="20" s="1"/>
  <c r="N192" i="20" s="1"/>
  <c r="M240" i="25"/>
  <c r="N102" i="28"/>
  <c r="O249" i="31"/>
  <c r="O253" i="31"/>
  <c r="N232" i="32"/>
  <c r="M251" i="32"/>
  <c r="P98" i="32"/>
  <c r="P102" i="32" s="1"/>
  <c r="N232" i="33"/>
  <c r="O253" i="33"/>
  <c r="M237" i="34"/>
  <c r="L233" i="35"/>
  <c r="O254" i="37"/>
  <c r="O236" i="38"/>
  <c r="N98" i="5"/>
  <c r="P53" i="7"/>
  <c r="P155" i="8"/>
  <c r="P54" i="9"/>
  <c r="P97" i="9"/>
  <c r="O227" i="16"/>
  <c r="P98" i="16"/>
  <c r="P102" i="16" s="1"/>
  <c r="M243" i="18"/>
  <c r="P99" i="19"/>
  <c r="M236" i="20"/>
  <c r="N208" i="7"/>
  <c r="N208" i="8" s="1"/>
  <c r="N208" i="9" s="1"/>
  <c r="N209" i="10" s="1"/>
  <c r="N209" i="11" s="1"/>
  <c r="N209" i="12" s="1"/>
  <c r="N209" i="13" s="1"/>
  <c r="N210" i="14" s="1"/>
  <c r="N210" i="15" s="1"/>
  <c r="N210" i="16" s="1"/>
  <c r="N210" i="17" s="1"/>
  <c r="N212" i="18" s="1"/>
  <c r="N212" i="19" s="1"/>
  <c r="O246" i="31"/>
  <c r="O250" i="31"/>
  <c r="P98" i="35"/>
  <c r="P102" i="35" s="1"/>
  <c r="N233" i="36"/>
  <c r="O249" i="37"/>
  <c r="N233" i="38"/>
  <c r="O238" i="38"/>
  <c r="M232" i="37"/>
  <c r="P53" i="22"/>
  <c r="P38" i="22"/>
  <c r="P166" i="22" s="1"/>
  <c r="P53" i="25"/>
  <c r="P38" i="25"/>
  <c r="P165" i="25" s="1"/>
  <c r="P53" i="26"/>
  <c r="P38" i="26"/>
  <c r="P165" i="26" s="1"/>
  <c r="M233" i="36"/>
  <c r="M255" i="36"/>
  <c r="M255" i="35"/>
  <c r="M228" i="33"/>
  <c r="M231" i="33"/>
  <c r="M225" i="33"/>
  <c r="M224" i="33"/>
  <c r="M226" i="33"/>
  <c r="P53" i="4"/>
  <c r="P38" i="4"/>
  <c r="P172" i="3"/>
  <c r="P114" i="3"/>
  <c r="P123" i="3" s="1"/>
  <c r="P124" i="3" s="1"/>
  <c r="N186" i="3"/>
  <c r="P53" i="18"/>
  <c r="P38" i="18"/>
  <c r="P165" i="18" s="1"/>
  <c r="P37" i="25"/>
  <c r="P45" i="25" s="1"/>
  <c r="N191" i="25" s="1"/>
  <c r="N192" i="25" s="1"/>
  <c r="P53" i="14"/>
  <c r="P38" i="14"/>
  <c r="P53" i="32"/>
  <c r="P38" i="32"/>
  <c r="P165" i="32" s="1"/>
  <c r="M230" i="37"/>
  <c r="M227" i="33"/>
  <c r="O230" i="16"/>
  <c r="M239" i="7"/>
  <c r="M220" i="3"/>
  <c r="O243" i="25"/>
  <c r="O224" i="12"/>
  <c r="N100" i="9"/>
  <c r="N127" i="9" s="1"/>
  <c r="P98" i="13"/>
  <c r="P101" i="13" s="1"/>
  <c r="O251" i="12"/>
  <c r="L254" i="15"/>
  <c r="P158" i="18"/>
  <c r="M241" i="20"/>
  <c r="M237" i="20"/>
  <c r="M224" i="20"/>
  <c r="P103" i="20"/>
  <c r="M242" i="23"/>
  <c r="O247" i="24"/>
  <c r="N102" i="27"/>
  <c r="N129" i="27" s="1"/>
  <c r="P85" i="27" s="1"/>
  <c r="P169" i="17"/>
  <c r="O253" i="30"/>
  <c r="M250" i="34"/>
  <c r="P98" i="34"/>
  <c r="N102" i="36"/>
  <c r="N102" i="37"/>
  <c r="N130" i="37" s="1"/>
  <c r="P85" i="37" s="1"/>
  <c r="P165" i="37" s="1"/>
  <c r="M243" i="25"/>
  <c r="M228" i="6"/>
  <c r="M233" i="21"/>
  <c r="M240" i="11"/>
  <c r="P53" i="1"/>
  <c r="P170" i="3"/>
  <c r="P45" i="13"/>
  <c r="N188" i="13" s="1"/>
  <c r="N189" i="13" s="1"/>
  <c r="J73" i="13"/>
  <c r="P37" i="14"/>
  <c r="P45" i="14" s="1"/>
  <c r="N189" i="14" s="1"/>
  <c r="N190" i="14" s="1"/>
  <c r="M224" i="17"/>
  <c r="P98" i="24"/>
  <c r="P102" i="24" s="1"/>
  <c r="O251" i="30"/>
  <c r="P102" i="34"/>
  <c r="M249" i="34"/>
  <c r="N268" i="34"/>
  <c r="O250" i="37"/>
  <c r="N129" i="29"/>
  <c r="P85" i="29" s="1"/>
  <c r="P164" i="29" s="1"/>
  <c r="N212" i="20"/>
  <c r="N213" i="21" s="1"/>
  <c r="N213" i="22" s="1"/>
  <c r="M241" i="15"/>
  <c r="O234" i="5"/>
  <c r="O225" i="26"/>
  <c r="O229" i="25"/>
  <c r="O231" i="25"/>
  <c r="M231" i="26"/>
  <c r="M224" i="24"/>
  <c r="O254" i="26"/>
  <c r="M254" i="25"/>
  <c r="M240" i="13"/>
  <c r="O228" i="9"/>
  <c r="M230" i="14"/>
  <c r="M239" i="3"/>
  <c r="N97" i="3"/>
  <c r="N124" i="3" s="1"/>
  <c r="N98" i="4"/>
  <c r="O216" i="4"/>
  <c r="O234" i="6"/>
  <c r="O239" i="6" s="1"/>
  <c r="P100" i="9"/>
  <c r="P156" i="11"/>
  <c r="P37" i="11"/>
  <c r="P45" i="11" s="1"/>
  <c r="N188" i="11" s="1"/>
  <c r="N189" i="11" s="1"/>
  <c r="M238" i="12"/>
  <c r="P37" i="19"/>
  <c r="P45" i="19" s="1"/>
  <c r="N191" i="19" s="1"/>
  <c r="N192" i="19" s="1"/>
  <c r="O251" i="24"/>
  <c r="P157" i="24"/>
  <c r="P72" i="28"/>
  <c r="P163" i="28" s="1"/>
  <c r="L232" i="29"/>
  <c r="N102" i="30"/>
  <c r="N129" i="30" s="1"/>
  <c r="P85" i="30" s="1"/>
  <c r="P164" i="30" s="1"/>
  <c r="P53" i="33"/>
  <c r="L233" i="34"/>
  <c r="M241" i="34"/>
  <c r="M253" i="34"/>
  <c r="M248" i="34"/>
  <c r="O240" i="38"/>
  <c r="N130" i="36"/>
  <c r="P85" i="36" s="1"/>
  <c r="P165" i="36" s="1"/>
  <c r="M243" i="30"/>
  <c r="P86" i="29"/>
  <c r="O265" i="28"/>
  <c r="O254" i="27"/>
  <c r="M224" i="26"/>
  <c r="M225" i="26"/>
  <c r="O240" i="10"/>
  <c r="O230" i="17"/>
  <c r="O241" i="17"/>
  <c r="N96" i="1"/>
  <c r="N123" i="1" s="1"/>
  <c r="O212" i="1"/>
  <c r="O216" i="1" s="1"/>
  <c r="P44" i="1"/>
  <c r="P69" i="1"/>
  <c r="P72" i="1" s="1"/>
  <c r="N125" i="5"/>
  <c r="P155" i="7"/>
  <c r="O237" i="8"/>
  <c r="O234" i="8"/>
  <c r="P98" i="4"/>
  <c r="O226" i="12"/>
  <c r="P70" i="13"/>
  <c r="P73" i="13" s="1"/>
  <c r="P98" i="17"/>
  <c r="M242" i="20"/>
  <c r="M238" i="20"/>
  <c r="M243" i="20" s="1"/>
  <c r="P103" i="23"/>
  <c r="O249" i="24"/>
  <c r="N102" i="25"/>
  <c r="P98" i="25"/>
  <c r="P102" i="25" s="1"/>
  <c r="O261" i="30"/>
  <c r="M263" i="31"/>
  <c r="O248" i="32"/>
  <c r="M252" i="33"/>
  <c r="M254" i="33" s="1"/>
  <c r="O242" i="38"/>
  <c r="P177" i="29"/>
  <c r="N193" i="29"/>
  <c r="P119" i="29"/>
  <c r="P128" i="29" s="1"/>
  <c r="P129" i="29" s="1"/>
  <c r="P179" i="29"/>
  <c r="M225" i="30"/>
  <c r="M230" i="30"/>
  <c r="O254" i="25"/>
  <c r="N189" i="8"/>
  <c r="P175" i="8"/>
  <c r="P117" i="8"/>
  <c r="P126" i="8" s="1"/>
  <c r="P127" i="8" s="1"/>
  <c r="M243" i="38"/>
  <c r="M241" i="38"/>
  <c r="M239" i="38"/>
  <c r="M237" i="38"/>
  <c r="M242" i="38"/>
  <c r="M238" i="38"/>
  <c r="M236" i="38"/>
  <c r="M240" i="38"/>
  <c r="M244" i="35"/>
  <c r="O232" i="35"/>
  <c r="O231" i="35"/>
  <c r="P180" i="35"/>
  <c r="N194" i="35"/>
  <c r="M232" i="33"/>
  <c r="O243" i="33"/>
  <c r="O230" i="31"/>
  <c r="O227" i="31"/>
  <c r="M228" i="30"/>
  <c r="P85" i="3"/>
  <c r="P158" i="3" s="1"/>
  <c r="O232" i="27"/>
  <c r="N213" i="23"/>
  <c r="N212" i="24" s="1"/>
  <c r="N212" i="25" s="1"/>
  <c r="N212" i="26" s="1"/>
  <c r="N212" i="27" s="1"/>
  <c r="N212" i="28" s="1"/>
  <c r="N212" i="29" s="1"/>
  <c r="M244" i="23"/>
  <c r="M227" i="15"/>
  <c r="O243" i="20"/>
  <c r="P38" i="8"/>
  <c r="O244" i="22"/>
  <c r="O243" i="19"/>
  <c r="P86" i="10"/>
  <c r="P162" i="10" s="1"/>
  <c r="O217" i="5"/>
  <c r="O215" i="5"/>
  <c r="O220" i="5"/>
  <c r="O222" i="5"/>
  <c r="N247" i="5"/>
  <c r="O218" i="5"/>
  <c r="O219" i="5"/>
  <c r="O221" i="5"/>
  <c r="O216" i="5"/>
  <c r="M250" i="13"/>
  <c r="M248" i="13"/>
  <c r="M249" i="13"/>
  <c r="M245" i="13"/>
  <c r="M247" i="13"/>
  <c r="L253" i="13"/>
  <c r="M251" i="13"/>
  <c r="O224" i="14"/>
  <c r="O223" i="14"/>
  <c r="O229" i="14"/>
  <c r="O226" i="14"/>
  <c r="N254" i="14"/>
  <c r="M229" i="25"/>
  <c r="M227" i="25"/>
  <c r="M228" i="25"/>
  <c r="M226" i="25"/>
  <c r="O243" i="27"/>
  <c r="J73" i="9"/>
  <c r="P70" i="9"/>
  <c r="P73" i="9" s="1"/>
  <c r="P117" i="6"/>
  <c r="P126" i="6" s="1"/>
  <c r="P127" i="6" s="1"/>
  <c r="P173" i="6"/>
  <c r="N189" i="6"/>
  <c r="M225" i="15"/>
  <c r="M223" i="15"/>
  <c r="M224" i="15"/>
  <c r="M228" i="15"/>
  <c r="M229" i="15"/>
  <c r="M226" i="15"/>
  <c r="M243" i="32"/>
  <c r="O229" i="31"/>
  <c r="M227" i="30"/>
  <c r="M224" i="30"/>
  <c r="M232" i="24"/>
  <c r="P87" i="23"/>
  <c r="M222" i="15"/>
  <c r="M229" i="13"/>
  <c r="M231" i="3"/>
  <c r="O254" i="24"/>
  <c r="O232" i="19"/>
  <c r="O227" i="21"/>
  <c r="N257" i="21"/>
  <c r="O231" i="21"/>
  <c r="O225" i="21"/>
  <c r="O228" i="21"/>
  <c r="O230" i="21"/>
  <c r="M247" i="24"/>
  <c r="M251" i="24"/>
  <c r="M248" i="24"/>
  <c r="M252" i="24"/>
  <c r="M206" i="24"/>
  <c r="M249" i="24"/>
  <c r="M253" i="24"/>
  <c r="O224" i="31"/>
  <c r="O226" i="31"/>
  <c r="M231" i="34"/>
  <c r="M227" i="34"/>
  <c r="O227" i="35"/>
  <c r="O228" i="35"/>
  <c r="O229" i="35"/>
  <c r="M229" i="37"/>
  <c r="M231" i="37"/>
  <c r="M226" i="37"/>
  <c r="M244" i="36"/>
  <c r="O244" i="36"/>
  <c r="O255" i="36"/>
  <c r="O226" i="35"/>
  <c r="O255" i="35"/>
  <c r="P119" i="32"/>
  <c r="P128" i="32" s="1"/>
  <c r="P129" i="32" s="1"/>
  <c r="N193" i="32"/>
  <c r="O225" i="31"/>
  <c r="M243" i="31"/>
  <c r="M226" i="30"/>
  <c r="M231" i="30"/>
  <c r="O243" i="30"/>
  <c r="M164" i="4"/>
  <c r="P86" i="26"/>
  <c r="M224" i="25"/>
  <c r="O234" i="4"/>
  <c r="O240" i="12"/>
  <c r="M227" i="27"/>
  <c r="M225" i="27"/>
  <c r="M231" i="27"/>
  <c r="M226" i="27"/>
  <c r="M229" i="27"/>
  <c r="M224" i="27"/>
  <c r="M230" i="27"/>
  <c r="M228" i="27"/>
  <c r="P86" i="18"/>
  <c r="N91" i="19"/>
  <c r="N99" i="19" s="1"/>
  <c r="N103" i="19" s="1"/>
  <c r="N130" i="19" s="1"/>
  <c r="P86" i="19" s="1"/>
  <c r="P164" i="19" s="1"/>
  <c r="N185" i="1"/>
  <c r="P169" i="1"/>
  <c r="P171" i="1"/>
  <c r="P113" i="1"/>
  <c r="P122" i="1" s="1"/>
  <c r="P123" i="1" s="1"/>
  <c r="M204" i="17"/>
  <c r="M237" i="17"/>
  <c r="M238" i="17"/>
  <c r="M233" i="17"/>
  <c r="L254" i="17"/>
  <c r="M236" i="17"/>
  <c r="M235" i="17"/>
  <c r="M234" i="17"/>
  <c r="M228" i="18"/>
  <c r="M224" i="18"/>
  <c r="M227" i="18"/>
  <c r="M244" i="37"/>
  <c r="O226" i="24"/>
  <c r="O244" i="23"/>
  <c r="M229" i="12"/>
  <c r="M230" i="16"/>
  <c r="O228" i="24"/>
  <c r="O230" i="26"/>
  <c r="O232" i="25"/>
  <c r="M234" i="3"/>
  <c r="M240" i="12"/>
  <c r="O225" i="7"/>
  <c r="O226" i="7"/>
  <c r="O243" i="18"/>
  <c r="M235" i="3"/>
  <c r="N125" i="4"/>
  <c r="O223" i="13"/>
  <c r="O227" i="13"/>
  <c r="P70" i="14"/>
  <c r="P73" i="14" s="1"/>
  <c r="L73" i="14"/>
  <c r="P98" i="15"/>
  <c r="P102" i="15" s="1"/>
  <c r="N102" i="17"/>
  <c r="N129" i="17" s="1"/>
  <c r="M236" i="29"/>
  <c r="M235" i="29"/>
  <c r="M238" i="29"/>
  <c r="L267" i="29"/>
  <c r="M240" i="29"/>
  <c r="M242" i="29"/>
  <c r="O243" i="29"/>
  <c r="O243" i="26"/>
  <c r="O242" i="3"/>
  <c r="N123" i="2"/>
  <c r="O224" i="26"/>
  <c r="O226" i="26"/>
  <c r="O229" i="26"/>
  <c r="M211" i="1"/>
  <c r="M213" i="1"/>
  <c r="M223" i="10"/>
  <c r="M227" i="10"/>
  <c r="M224" i="10"/>
  <c r="M228" i="10"/>
  <c r="M221" i="10"/>
  <c r="M225" i="10"/>
  <c r="M205" i="17"/>
  <c r="M249" i="17"/>
  <c r="N162" i="2"/>
  <c r="P164" i="1"/>
  <c r="O249" i="29"/>
  <c r="O253" i="29"/>
  <c r="M241" i="16"/>
  <c r="O241" i="16"/>
  <c r="M237" i="3"/>
  <c r="M240" i="3"/>
  <c r="M204" i="14"/>
  <c r="M238" i="14"/>
  <c r="M233" i="14"/>
  <c r="N129" i="14"/>
  <c r="P103" i="19"/>
  <c r="P72" i="2"/>
  <c r="P153" i="4"/>
  <c r="P38" i="7"/>
  <c r="N100" i="8"/>
  <c r="N127" i="8" s="1"/>
  <c r="P98" i="10"/>
  <c r="P101" i="10" s="1"/>
  <c r="O228" i="12"/>
  <c r="O223" i="12"/>
  <c r="P98" i="12"/>
  <c r="P101" i="12" s="1"/>
  <c r="O246" i="12"/>
  <c r="P157" i="16"/>
  <c r="J73" i="17"/>
  <c r="P99" i="18"/>
  <c r="P103" i="18" s="1"/>
  <c r="P158" i="20"/>
  <c r="M242" i="21"/>
  <c r="N257" i="22"/>
  <c r="M263" i="29"/>
  <c r="M264" i="29"/>
  <c r="M207" i="29"/>
  <c r="O254" i="31"/>
  <c r="M246" i="31"/>
  <c r="M252" i="31"/>
  <c r="M250" i="31"/>
  <c r="M248" i="31"/>
  <c r="M253" i="31"/>
  <c r="M251" i="31"/>
  <c r="M249" i="31"/>
  <c r="M247" i="31"/>
  <c r="P37" i="17"/>
  <c r="P45" i="17" s="1"/>
  <c r="N189" i="17" s="1"/>
  <c r="N190" i="17" s="1"/>
  <c r="P38" i="20"/>
  <c r="P165" i="20" s="1"/>
  <c r="M238" i="21"/>
  <c r="M244" i="21" s="1"/>
  <c r="M207" i="21"/>
  <c r="P38" i="23"/>
  <c r="P166" i="23" s="1"/>
  <c r="O237" i="24"/>
  <c r="O242" i="24"/>
  <c r="O235" i="24"/>
  <c r="M238" i="27"/>
  <c r="M235" i="27"/>
  <c r="M239" i="27"/>
  <c r="P53" i="27"/>
  <c r="P171" i="25"/>
  <c r="O241" i="34"/>
  <c r="O237" i="34"/>
  <c r="O240" i="34"/>
  <c r="O236" i="34"/>
  <c r="O243" i="34"/>
  <c r="O239" i="34"/>
  <c r="P38" i="6"/>
  <c r="P97" i="7"/>
  <c r="P100" i="7" s="1"/>
  <c r="P98" i="5"/>
  <c r="O225" i="12"/>
  <c r="N101" i="11"/>
  <c r="N128" i="11" s="1"/>
  <c r="M236" i="24"/>
  <c r="M243" i="24" s="1"/>
  <c r="M240" i="24"/>
  <c r="P53" i="28"/>
  <c r="P136" i="28"/>
  <c r="P54" i="28"/>
  <c r="N232" i="29"/>
  <c r="P37" i="31"/>
  <c r="P45" i="31" s="1"/>
  <c r="N191" i="31" s="1"/>
  <c r="N192" i="31" s="1"/>
  <c r="N102" i="32"/>
  <c r="N129" i="32" s="1"/>
  <c r="P85" i="32" s="1"/>
  <c r="P86" i="32" s="1"/>
  <c r="O242" i="34"/>
  <c r="P37" i="36"/>
  <c r="P45" i="36" s="1"/>
  <c r="N192" i="36" s="1"/>
  <c r="N193" i="36" s="1"/>
  <c r="N122" i="25"/>
  <c r="N128" i="25" s="1"/>
  <c r="N129" i="25" s="1"/>
  <c r="P85" i="25" s="1"/>
  <c r="P164" i="25" s="1"/>
  <c r="M251" i="26"/>
  <c r="M248" i="26"/>
  <c r="M253" i="27"/>
  <c r="M249" i="27"/>
  <c r="M206" i="27"/>
  <c r="P98" i="27"/>
  <c r="P102" i="27" s="1"/>
  <c r="O263" i="30"/>
  <c r="O242" i="31"/>
  <c r="O243" i="31" s="1"/>
  <c r="P37" i="32"/>
  <c r="P45" i="32" s="1"/>
  <c r="N191" i="32" s="1"/>
  <c r="N192" i="32" s="1"/>
  <c r="O240" i="32"/>
  <c r="O243" i="32" s="1"/>
  <c r="O251" i="32"/>
  <c r="N102" i="34"/>
  <c r="N130" i="34" s="1"/>
  <c r="P85" i="34" s="1"/>
  <c r="P165" i="34" s="1"/>
  <c r="O247" i="37"/>
  <c r="O251" i="37"/>
  <c r="P98" i="26"/>
  <c r="P102" i="26" s="1"/>
  <c r="P37" i="27"/>
  <c r="P45" i="27" s="1"/>
  <c r="N191" i="27" s="1"/>
  <c r="N192" i="27" s="1"/>
  <c r="P157" i="29"/>
  <c r="O247" i="32"/>
  <c r="O249" i="32"/>
  <c r="N102" i="33"/>
  <c r="N129" i="33" s="1"/>
  <c r="P85" i="33" s="1"/>
  <c r="P164" i="33" s="1"/>
  <c r="N206" i="33"/>
  <c r="P158" i="34"/>
  <c r="L268" i="34"/>
  <c r="M240" i="34"/>
  <c r="O255" i="34"/>
  <c r="M251" i="34"/>
  <c r="M255" i="34" s="1"/>
  <c r="P72" i="35"/>
  <c r="P164" i="35" s="1"/>
  <c r="P102" i="36"/>
  <c r="N233" i="37"/>
  <c r="P102" i="37"/>
  <c r="P158" i="22"/>
  <c r="N103" i="22"/>
  <c r="N130" i="22" s="1"/>
  <c r="P86" i="22" s="1"/>
  <c r="M253" i="26"/>
  <c r="M249" i="26"/>
  <c r="M246" i="26"/>
  <c r="M251" i="27"/>
  <c r="P98" i="28"/>
  <c r="P102" i="28" s="1"/>
  <c r="O265" i="30"/>
  <c r="M264" i="31"/>
  <c r="P98" i="33"/>
  <c r="P102" i="33" s="1"/>
  <c r="N233" i="34"/>
  <c r="M243" i="34"/>
  <c r="M239" i="34"/>
  <c r="N102" i="35"/>
  <c r="N130" i="35" s="1"/>
  <c r="P85" i="35" s="1"/>
  <c r="P165" i="35" s="1"/>
  <c r="O237" i="38"/>
  <c r="O239" i="38"/>
  <c r="O244" i="38" s="1"/>
  <c r="O241" i="38"/>
  <c r="P163" i="33"/>
  <c r="P86" i="30"/>
  <c r="P163" i="30"/>
  <c r="P162" i="17"/>
  <c r="P86" i="17"/>
  <c r="P163" i="17" s="1"/>
  <c r="P164" i="34"/>
  <c r="P86" i="34"/>
  <c r="P164" i="36"/>
  <c r="P86" i="36"/>
  <c r="P163" i="31"/>
  <c r="P86" i="31"/>
  <c r="P86" i="37"/>
  <c r="P164" i="37"/>
  <c r="P86" i="25"/>
  <c r="P160" i="9"/>
  <c r="P86" i="9"/>
  <c r="P161" i="9" s="1"/>
  <c r="P164" i="32"/>
  <c r="N190" i="11"/>
  <c r="P176" i="11"/>
  <c r="P118" i="11"/>
  <c r="P127" i="11" s="1"/>
  <c r="P128" i="11" s="1"/>
  <c r="P174" i="11"/>
  <c r="P86" i="4"/>
  <c r="P159" i="4" s="1"/>
  <c r="P158" i="4"/>
  <c r="P53" i="5"/>
  <c r="P38" i="5"/>
  <c r="P87" i="19"/>
  <c r="P163" i="19"/>
  <c r="O212" i="2"/>
  <c r="O216" i="2" s="1"/>
  <c r="O220" i="3"/>
  <c r="P36" i="3"/>
  <c r="P44" i="3" s="1"/>
  <c r="N184" i="3" s="1"/>
  <c r="N185" i="3" s="1"/>
  <c r="P134" i="6"/>
  <c r="P54" i="6"/>
  <c r="O237" i="9"/>
  <c r="O234" i="9"/>
  <c r="O231" i="9"/>
  <c r="O236" i="9"/>
  <c r="N202" i="9"/>
  <c r="O238" i="9"/>
  <c r="P171" i="5"/>
  <c r="N252" i="9"/>
  <c r="M251" i="12"/>
  <c r="M249" i="12"/>
  <c r="M250" i="12"/>
  <c r="M243" i="12"/>
  <c r="M248" i="12"/>
  <c r="M245" i="12"/>
  <c r="M246" i="12"/>
  <c r="O236" i="14"/>
  <c r="O234" i="14"/>
  <c r="O238" i="14"/>
  <c r="O233" i="14"/>
  <c r="M232" i="27"/>
  <c r="N244" i="3"/>
  <c r="O229" i="3"/>
  <c r="N199" i="3"/>
  <c r="O227" i="3"/>
  <c r="O225" i="3"/>
  <c r="O220" i="6"/>
  <c r="N252" i="6"/>
  <c r="O223" i="6"/>
  <c r="O224" i="6"/>
  <c r="O226" i="6"/>
  <c r="O221" i="6"/>
  <c r="J73" i="6"/>
  <c r="P70" i="6"/>
  <c r="P73" i="6" s="1"/>
  <c r="O232" i="7"/>
  <c r="O237" i="7"/>
  <c r="P113" i="2"/>
  <c r="P122" i="2" s="1"/>
  <c r="P123" i="2" s="1"/>
  <c r="N185" i="2"/>
  <c r="N198" i="12"/>
  <c r="J73" i="12"/>
  <c r="P53" i="13"/>
  <c r="O229" i="15"/>
  <c r="O225" i="15"/>
  <c r="P120" i="19"/>
  <c r="P129" i="19" s="1"/>
  <c r="P130" i="19" s="1"/>
  <c r="N193" i="19"/>
  <c r="P178" i="22"/>
  <c r="N194" i="22"/>
  <c r="P180" i="22"/>
  <c r="P120" i="22"/>
  <c r="P129" i="22" s="1"/>
  <c r="P130" i="22" s="1"/>
  <c r="P151" i="1"/>
  <c r="O221" i="7"/>
  <c r="O227" i="7"/>
  <c r="O222" i="7"/>
  <c r="O220" i="7"/>
  <c r="O223" i="7"/>
  <c r="P54" i="7"/>
  <c r="P134" i="7"/>
  <c r="P70" i="7"/>
  <c r="P73" i="7" s="1"/>
  <c r="L73" i="7"/>
  <c r="P38" i="9"/>
  <c r="P53" i="10"/>
  <c r="M201" i="4"/>
  <c r="L247" i="4"/>
  <c r="M226" i="5"/>
  <c r="M232" i="5"/>
  <c r="M200" i="5"/>
  <c r="M228" i="5"/>
  <c r="M233" i="5"/>
  <c r="M229" i="5"/>
  <c r="M203" i="8"/>
  <c r="M248" i="8"/>
  <c r="M250" i="8" s="1"/>
  <c r="M231" i="9"/>
  <c r="M234" i="9"/>
  <c r="M238" i="9"/>
  <c r="M232" i="9"/>
  <c r="M235" i="9"/>
  <c r="M202" i="9"/>
  <c r="M233" i="9"/>
  <c r="M236" i="9"/>
  <c r="P70" i="12"/>
  <c r="P73" i="12" s="1"/>
  <c r="P118" i="12"/>
  <c r="P127" i="12" s="1"/>
  <c r="P128" i="12" s="1"/>
  <c r="N190" i="12"/>
  <c r="O244" i="11"/>
  <c r="O243" i="11"/>
  <c r="O248" i="11"/>
  <c r="N253" i="11"/>
  <c r="O245" i="11"/>
  <c r="O251" i="11"/>
  <c r="O246" i="11"/>
  <c r="O249" i="11"/>
  <c r="O243" i="13"/>
  <c r="O244" i="13"/>
  <c r="N253" i="13"/>
  <c r="O247" i="13"/>
  <c r="P54" i="14"/>
  <c r="P136" i="14"/>
  <c r="O247" i="15"/>
  <c r="O252" i="15"/>
  <c r="O246" i="15"/>
  <c r="O251" i="15"/>
  <c r="L256" i="18"/>
  <c r="M230" i="18"/>
  <c r="M225" i="18"/>
  <c r="M226" i="26"/>
  <c r="M229" i="26"/>
  <c r="M232" i="20"/>
  <c r="O223" i="3"/>
  <c r="P37" i="4"/>
  <c r="P45" i="4" s="1"/>
  <c r="N185" i="4" s="1"/>
  <c r="N186" i="4" s="1"/>
  <c r="J73" i="5"/>
  <c r="N195" i="5" s="1"/>
  <c r="P70" i="5"/>
  <c r="P73" i="5" s="1"/>
  <c r="O220" i="8"/>
  <c r="O221" i="8"/>
  <c r="O225" i="8"/>
  <c r="O226" i="8"/>
  <c r="P70" i="8"/>
  <c r="P73" i="8" s="1"/>
  <c r="M229" i="10"/>
  <c r="P135" i="10"/>
  <c r="P54" i="10"/>
  <c r="L252" i="9"/>
  <c r="O252" i="14"/>
  <c r="O246" i="14"/>
  <c r="O250" i="14"/>
  <c r="O245" i="14"/>
  <c r="O249" i="14"/>
  <c r="N204" i="15"/>
  <c r="O233" i="15"/>
  <c r="O238" i="15"/>
  <c r="M225" i="23"/>
  <c r="M229" i="23"/>
  <c r="P37" i="15"/>
  <c r="P45" i="15" s="1"/>
  <c r="N189" i="15" s="1"/>
  <c r="N190" i="15" s="1"/>
  <c r="M226" i="19"/>
  <c r="M227" i="19"/>
  <c r="M228" i="19"/>
  <c r="L256" i="19"/>
  <c r="N103" i="20"/>
  <c r="N130" i="20" s="1"/>
  <c r="P86" i="20" s="1"/>
  <c r="P103" i="21"/>
  <c r="P137" i="23"/>
  <c r="P54" i="23"/>
  <c r="M236" i="26"/>
  <c r="M242" i="26"/>
  <c r="O222" i="4"/>
  <c r="O223" i="4" s="1"/>
  <c r="O222" i="12"/>
  <c r="O229" i="12" s="1"/>
  <c r="O248" i="12"/>
  <c r="O227" i="14"/>
  <c r="O230" i="14" s="1"/>
  <c r="P102" i="17"/>
  <c r="L232" i="28"/>
  <c r="J73" i="15"/>
  <c r="N199" i="15"/>
  <c r="P70" i="15"/>
  <c r="P73" i="15" s="1"/>
  <c r="M249" i="19"/>
  <c r="M246" i="19"/>
  <c r="M250" i="19"/>
  <c r="P38" i="19"/>
  <c r="P165" i="19" s="1"/>
  <c r="N103" i="21"/>
  <c r="N130" i="21" s="1"/>
  <c r="P86" i="21" s="1"/>
  <c r="M242" i="22"/>
  <c r="M240" i="22"/>
  <c r="O226" i="18"/>
  <c r="O232" i="18" s="1"/>
  <c r="P37" i="23"/>
  <c r="P45" i="23" s="1"/>
  <c r="N192" i="23" s="1"/>
  <c r="N193" i="23" s="1"/>
  <c r="N102" i="24"/>
  <c r="N129" i="24" s="1"/>
  <c r="P85" i="24" s="1"/>
  <c r="N129" i="28"/>
  <c r="P85" i="28" s="1"/>
  <c r="O225" i="29"/>
  <c r="O231" i="29"/>
  <c r="P37" i="30"/>
  <c r="P45" i="30" s="1"/>
  <c r="N191" i="30" s="1"/>
  <c r="N192" i="30" s="1"/>
  <c r="P53" i="31"/>
  <c r="M226" i="17"/>
  <c r="M230" i="17" s="1"/>
  <c r="M254" i="26"/>
  <c r="N206" i="28"/>
  <c r="O246" i="28"/>
  <c r="O250" i="28"/>
  <c r="O235" i="28"/>
  <c r="O242" i="28"/>
  <c r="O236" i="28"/>
  <c r="O238" i="28"/>
  <c r="N232" i="28"/>
  <c r="O230" i="28" s="1"/>
  <c r="L267" i="33"/>
  <c r="M235" i="33"/>
  <c r="M243" i="33" s="1"/>
  <c r="M251" i="29"/>
  <c r="M247" i="29"/>
  <c r="N211" i="30"/>
  <c r="N212" i="30" s="1"/>
  <c r="N212" i="31" s="1"/>
  <c r="N212" i="32" s="1"/>
  <c r="N232" i="30"/>
  <c r="P102" i="31"/>
  <c r="M265" i="31"/>
  <c r="L267" i="32"/>
  <c r="P155" i="33"/>
  <c r="P157" i="33" s="1"/>
  <c r="N211" i="33"/>
  <c r="P172" i="34"/>
  <c r="O255" i="37"/>
  <c r="M247" i="37"/>
  <c r="M253" i="37"/>
  <c r="M251" i="37"/>
  <c r="M249" i="37"/>
  <c r="M207" i="37"/>
  <c r="M254" i="37"/>
  <c r="M252" i="37"/>
  <c r="M250" i="37"/>
  <c r="M248" i="37"/>
  <c r="O264" i="37"/>
  <c r="O266" i="37" s="1"/>
  <c r="N208" i="37"/>
  <c r="P157" i="30"/>
  <c r="O254" i="30"/>
  <c r="M264" i="30"/>
  <c r="M207" i="30"/>
  <c r="M261" i="30"/>
  <c r="P102" i="30"/>
  <c r="P37" i="35"/>
  <c r="P45" i="35" s="1"/>
  <c r="N192" i="35" s="1"/>
  <c r="N193" i="35" s="1"/>
  <c r="L232" i="32"/>
  <c r="P156" i="36"/>
  <c r="P158" i="36" s="1"/>
  <c r="N212" i="36"/>
  <c r="N202" i="37"/>
  <c r="J72" i="37"/>
  <c r="J86" i="37" s="1"/>
  <c r="M254" i="38"/>
  <c r="M252" i="38"/>
  <c r="M250" i="38"/>
  <c r="M248" i="38"/>
  <c r="M207" i="38"/>
  <c r="O266" i="38"/>
  <c r="N208" i="38"/>
  <c r="M252" i="30"/>
  <c r="M254" i="30" s="1"/>
  <c r="M236" i="34"/>
  <c r="M244" i="34" s="1"/>
  <c r="P171" i="30"/>
  <c r="O250" i="32"/>
  <c r="O254" i="32" s="1"/>
  <c r="P102" i="38"/>
  <c r="L233" i="38"/>
  <c r="M230" i="38" s="1"/>
  <c r="M244" i="38"/>
  <c r="L268" i="38"/>
  <c r="O246" i="33"/>
  <c r="O248" i="33"/>
  <c r="O250" i="33"/>
  <c r="N130" i="38"/>
  <c r="P85" i="38" s="1"/>
  <c r="P165" i="38" s="1"/>
  <c r="O248" i="38"/>
  <c r="O250" i="38"/>
  <c r="O252" i="38"/>
  <c r="P156" i="38"/>
  <c r="P158" i="38" s="1"/>
  <c r="N194" i="38"/>
  <c r="P37" i="38"/>
  <c r="N268" i="38"/>
  <c r="P53" i="38"/>
  <c r="M231" i="38"/>
  <c r="P38" i="38"/>
  <c r="P166" i="38" s="1"/>
  <c r="O232" i="38"/>
  <c r="O231" i="38"/>
  <c r="O230" i="38"/>
  <c r="O229" i="38"/>
  <c r="O228" i="38"/>
  <c r="O227" i="38"/>
  <c r="O226" i="38"/>
  <c r="O225" i="38"/>
  <c r="P54" i="38"/>
  <c r="P69" i="38"/>
  <c r="P72" i="38" s="1"/>
  <c r="M265" i="29" l="1"/>
  <c r="O239" i="8"/>
  <c r="M254" i="32"/>
  <c r="M227" i="38"/>
  <c r="M229" i="38"/>
  <c r="O227" i="32"/>
  <c r="O226" i="32"/>
  <c r="O229" i="32"/>
  <c r="O230" i="32"/>
  <c r="O228" i="32"/>
  <c r="O231" i="32"/>
  <c r="O225" i="32"/>
  <c r="O224" i="32"/>
  <c r="O227" i="36"/>
  <c r="O228" i="36"/>
  <c r="O229" i="36"/>
  <c r="O230" i="36"/>
  <c r="O231" i="36"/>
  <c r="O232" i="36"/>
  <c r="O226" i="36"/>
  <c r="O225" i="36"/>
  <c r="P119" i="16"/>
  <c r="P128" i="16" s="1"/>
  <c r="P129" i="16" s="1"/>
  <c r="P175" i="16"/>
  <c r="P177" i="16"/>
  <c r="N191" i="16"/>
  <c r="O230" i="33"/>
  <c r="O231" i="33"/>
  <c r="O225" i="33"/>
  <c r="O224" i="33"/>
  <c r="O226" i="33"/>
  <c r="O227" i="33"/>
  <c r="O228" i="33"/>
  <c r="O229" i="33"/>
  <c r="M226" i="31"/>
  <c r="M225" i="31"/>
  <c r="M228" i="31"/>
  <c r="M227" i="31"/>
  <c r="M230" i="31"/>
  <c r="M229" i="31"/>
  <c r="M224" i="31"/>
  <c r="M231" i="31"/>
  <c r="M225" i="38"/>
  <c r="M232" i="38"/>
  <c r="O230" i="15"/>
  <c r="O239" i="7"/>
  <c r="O229" i="13"/>
  <c r="M254" i="24"/>
  <c r="P120" i="35"/>
  <c r="P129" i="35" s="1"/>
  <c r="P130" i="35" s="1"/>
  <c r="P178" i="35"/>
  <c r="M230" i="35"/>
  <c r="M231" i="35"/>
  <c r="M232" i="35"/>
  <c r="M225" i="35"/>
  <c r="M226" i="35"/>
  <c r="M227" i="35"/>
  <c r="M228" i="35"/>
  <c r="M229" i="35"/>
  <c r="P179" i="32"/>
  <c r="P177" i="32"/>
  <c r="M241" i="14"/>
  <c r="O254" i="29"/>
  <c r="M216" i="1"/>
  <c r="P180" i="23"/>
  <c r="P178" i="23"/>
  <c r="P120" i="23"/>
  <c r="P129" i="23" s="1"/>
  <c r="P130" i="23" s="1"/>
  <c r="N194" i="23"/>
  <c r="P86" i="13"/>
  <c r="P162" i="13" s="1"/>
  <c r="P161" i="13"/>
  <c r="N183" i="1"/>
  <c r="N184" i="1" s="1"/>
  <c r="N180" i="1"/>
  <c r="N181" i="1" s="1"/>
  <c r="P177" i="24"/>
  <c r="P119" i="24"/>
  <c r="P128" i="24" s="1"/>
  <c r="P129" i="24" s="1"/>
  <c r="P179" i="24"/>
  <c r="N193" i="24"/>
  <c r="P118" i="13"/>
  <c r="P127" i="13" s="1"/>
  <c r="P128" i="13" s="1"/>
  <c r="P176" i="13"/>
  <c r="N190" i="13"/>
  <c r="P174" i="13"/>
  <c r="M244" i="22"/>
  <c r="M232" i="26"/>
  <c r="M243" i="27"/>
  <c r="M243" i="29"/>
  <c r="P177" i="25"/>
  <c r="P119" i="25"/>
  <c r="P128" i="25" s="1"/>
  <c r="P129" i="25" s="1"/>
  <c r="P179" i="25"/>
  <c r="N193" i="25"/>
  <c r="M224" i="29"/>
  <c r="M230" i="29"/>
  <c r="M225" i="29"/>
  <c r="M227" i="29"/>
  <c r="M226" i="29"/>
  <c r="M229" i="29"/>
  <c r="M228" i="29"/>
  <c r="M231" i="29"/>
  <c r="P179" i="20"/>
  <c r="N193" i="20"/>
  <c r="P120" i="20"/>
  <c r="P129" i="20" s="1"/>
  <c r="P130" i="20" s="1"/>
  <c r="P177" i="20"/>
  <c r="N212" i="33"/>
  <c r="N213" i="34" s="1"/>
  <c r="N213" i="35" s="1"/>
  <c r="O232" i="24"/>
  <c r="O232" i="31"/>
  <c r="P173" i="4"/>
  <c r="P171" i="4"/>
  <c r="N187" i="4"/>
  <c r="P115" i="4"/>
  <c r="P124" i="4" s="1"/>
  <c r="P125" i="4" s="1"/>
  <c r="M232" i="34"/>
  <c r="M226" i="34"/>
  <c r="M225" i="34"/>
  <c r="M230" i="34"/>
  <c r="M229" i="34"/>
  <c r="M228" i="34"/>
  <c r="P175" i="9"/>
  <c r="P173" i="9"/>
  <c r="P117" i="9"/>
  <c r="P126" i="9" s="1"/>
  <c r="P127" i="9" s="1"/>
  <c r="N189" i="9"/>
  <c r="P120" i="34"/>
  <c r="P129" i="34" s="1"/>
  <c r="P130" i="34" s="1"/>
  <c r="P178" i="34"/>
  <c r="P180" i="34"/>
  <c r="N194" i="34"/>
  <c r="P164" i="27"/>
  <c r="P86" i="27"/>
  <c r="O255" i="38"/>
  <c r="M255" i="38"/>
  <c r="M228" i="38"/>
  <c r="O243" i="24"/>
  <c r="M232" i="25"/>
  <c r="M230" i="15"/>
  <c r="P85" i="1"/>
  <c r="P157" i="1" s="1"/>
  <c r="P156" i="1"/>
  <c r="N213" i="36"/>
  <c r="N213" i="37" s="1"/>
  <c r="N213" i="38" s="1"/>
  <c r="N213" i="39" s="1"/>
  <c r="N213" i="40" s="1"/>
  <c r="N213" i="41" s="1"/>
  <c r="N213" i="42" s="1"/>
  <c r="N213" i="43" s="1"/>
  <c r="N213" i="44" s="1"/>
  <c r="N213" i="45" s="1"/>
  <c r="N213" i="46" s="1"/>
  <c r="N213" i="47" s="1"/>
  <c r="N213" i="48" s="1"/>
  <c r="N213" i="49" s="1"/>
  <c r="O254" i="28"/>
  <c r="O231" i="3"/>
  <c r="M232" i="18"/>
  <c r="P86" i="35"/>
  <c r="P179" i="26"/>
  <c r="P119" i="26"/>
  <c r="P128" i="26" s="1"/>
  <c r="P129" i="26" s="1"/>
  <c r="N193" i="26"/>
  <c r="P177" i="26"/>
  <c r="M254" i="27"/>
  <c r="O232" i="26"/>
  <c r="M242" i="3"/>
  <c r="P178" i="37"/>
  <c r="P120" i="37"/>
  <c r="P129" i="37" s="1"/>
  <c r="P130" i="37" s="1"/>
  <c r="P180" i="37"/>
  <c r="N194" i="37"/>
  <c r="O230" i="29"/>
  <c r="O229" i="29"/>
  <c r="O228" i="29"/>
  <c r="O224" i="29"/>
  <c r="O226" i="29"/>
  <c r="O227" i="29"/>
  <c r="N187" i="5"/>
  <c r="P173" i="5"/>
  <c r="P115" i="5"/>
  <c r="P124" i="5" s="1"/>
  <c r="P125" i="5" s="1"/>
  <c r="P119" i="15"/>
  <c r="P128" i="15" s="1"/>
  <c r="P177" i="15"/>
  <c r="P175" i="15"/>
  <c r="N191" i="15"/>
  <c r="P129" i="15"/>
  <c r="M241" i="17"/>
  <c r="M232" i="30"/>
  <c r="O228" i="7"/>
  <c r="P86" i="33"/>
  <c r="O231" i="34"/>
  <c r="O227" i="34"/>
  <c r="O229" i="34"/>
  <c r="O228" i="34"/>
  <c r="O230" i="34"/>
  <c r="O225" i="34"/>
  <c r="O232" i="34"/>
  <c r="O226" i="34"/>
  <c r="N193" i="28"/>
  <c r="P179" i="28"/>
  <c r="P177" i="28"/>
  <c r="P119" i="28"/>
  <c r="P128" i="28" s="1"/>
  <c r="P129" i="28" s="1"/>
  <c r="O230" i="37"/>
  <c r="O229" i="37"/>
  <c r="O226" i="37"/>
  <c r="O228" i="37"/>
  <c r="O231" i="37"/>
  <c r="O225" i="37"/>
  <c r="O232" i="37"/>
  <c r="O227" i="37"/>
  <c r="P179" i="27"/>
  <c r="P119" i="27"/>
  <c r="P128" i="27" s="1"/>
  <c r="P129" i="27" s="1"/>
  <c r="P177" i="27"/>
  <c r="N193" i="27"/>
  <c r="P173" i="7"/>
  <c r="P175" i="7"/>
  <c r="P117" i="7"/>
  <c r="P126" i="7" s="1"/>
  <c r="P127" i="7" s="1"/>
  <c r="N189" i="7"/>
  <c r="O244" i="34"/>
  <c r="N190" i="10"/>
  <c r="P176" i="10"/>
  <c r="P118" i="10"/>
  <c r="P127" i="10" s="1"/>
  <c r="P174" i="10"/>
  <c r="P128" i="10"/>
  <c r="P156" i="2"/>
  <c r="P85" i="2"/>
  <c r="P157" i="2" s="1"/>
  <c r="P87" i="18"/>
  <c r="P164" i="18"/>
  <c r="O233" i="35"/>
  <c r="O233" i="21"/>
  <c r="O223" i="5"/>
  <c r="N193" i="33"/>
  <c r="P177" i="33"/>
  <c r="P179" i="33"/>
  <c r="P119" i="33"/>
  <c r="P128" i="33" s="1"/>
  <c r="P129" i="33" s="1"/>
  <c r="P165" i="22"/>
  <c r="P87" i="22"/>
  <c r="P178" i="36"/>
  <c r="P120" i="36"/>
  <c r="P129" i="36" s="1"/>
  <c r="P130" i="36" s="1"/>
  <c r="P180" i="36"/>
  <c r="N194" i="36"/>
  <c r="M254" i="31"/>
  <c r="P177" i="18"/>
  <c r="N193" i="18"/>
  <c r="P120" i="18"/>
  <c r="P129" i="18" s="1"/>
  <c r="P130" i="18" s="1"/>
  <c r="P179" i="18"/>
  <c r="P174" i="12"/>
  <c r="P176" i="12"/>
  <c r="P177" i="19"/>
  <c r="P179" i="19"/>
  <c r="N164" i="2"/>
  <c r="P162" i="2"/>
  <c r="P162" i="14"/>
  <c r="P86" i="14"/>
  <c r="P163" i="14" s="1"/>
  <c r="M166" i="4"/>
  <c r="M233" i="37"/>
  <c r="M226" i="38"/>
  <c r="O254" i="33"/>
  <c r="M265" i="30"/>
  <c r="M254" i="29"/>
  <c r="O226" i="28"/>
  <c r="O227" i="28"/>
  <c r="O225" i="28"/>
  <c r="O224" i="28"/>
  <c r="O229" i="28"/>
  <c r="O228" i="28"/>
  <c r="O231" i="28"/>
  <c r="O243" i="28"/>
  <c r="P164" i="28"/>
  <c r="P86" i="28"/>
  <c r="O241" i="15"/>
  <c r="P86" i="5"/>
  <c r="P159" i="5" s="1"/>
  <c r="P158" i="5"/>
  <c r="O241" i="14"/>
  <c r="O239" i="9"/>
  <c r="P179" i="31"/>
  <c r="N193" i="31"/>
  <c r="P119" i="31"/>
  <c r="P128" i="31" s="1"/>
  <c r="P129" i="31" s="1"/>
  <c r="P177" i="31"/>
  <c r="P164" i="24"/>
  <c r="P86" i="24"/>
  <c r="P180" i="21"/>
  <c r="P178" i="21"/>
  <c r="P120" i="21"/>
  <c r="P129" i="21" s="1"/>
  <c r="P130" i="21" s="1"/>
  <c r="N194" i="21"/>
  <c r="P160" i="7"/>
  <c r="P86" i="7"/>
  <c r="P161" i="7" s="1"/>
  <c r="O228" i="6"/>
  <c r="P45" i="38"/>
  <c r="N192" i="38" s="1"/>
  <c r="N193" i="38" s="1"/>
  <c r="M229" i="32"/>
  <c r="M230" i="32"/>
  <c r="M228" i="32"/>
  <c r="M231" i="32"/>
  <c r="M225" i="32"/>
  <c r="M224" i="32"/>
  <c r="M227" i="32"/>
  <c r="M226" i="32"/>
  <c r="O227" i="30"/>
  <c r="O226" i="30"/>
  <c r="O225" i="30"/>
  <c r="O224" i="30"/>
  <c r="O231" i="30"/>
  <c r="O230" i="30"/>
  <c r="O229" i="30"/>
  <c r="O228" i="30"/>
  <c r="P165" i="21"/>
  <c r="P87" i="21"/>
  <c r="M227" i="28"/>
  <c r="M229" i="28"/>
  <c r="M231" i="28"/>
  <c r="M225" i="28"/>
  <c r="M226" i="28"/>
  <c r="M228" i="28"/>
  <c r="M230" i="28"/>
  <c r="M224" i="28"/>
  <c r="M243" i="26"/>
  <c r="P164" i="20"/>
  <c r="P87" i="20"/>
  <c r="M232" i="19"/>
  <c r="M233" i="23"/>
  <c r="P160" i="6"/>
  <c r="P86" i="6"/>
  <c r="P161" i="6" s="1"/>
  <c r="P177" i="30"/>
  <c r="P119" i="30"/>
  <c r="P128" i="30" s="1"/>
  <c r="P129" i="30" s="1"/>
  <c r="P179" i="30"/>
  <c r="N193" i="30"/>
  <c r="M255" i="37"/>
  <c r="P162" i="15"/>
  <c r="P86" i="15"/>
  <c r="P163" i="15" s="1"/>
  <c r="P175" i="17"/>
  <c r="N191" i="17"/>
  <c r="P119" i="17"/>
  <c r="P128" i="17" s="1"/>
  <c r="P129" i="17" s="1"/>
  <c r="P177" i="17"/>
  <c r="P86" i="8"/>
  <c r="P161" i="8" s="1"/>
  <c r="P160" i="8"/>
  <c r="O228" i="8"/>
  <c r="P161" i="12"/>
  <c r="P86" i="12"/>
  <c r="P162" i="12" s="1"/>
  <c r="M239" i="9"/>
  <c r="M234" i="5"/>
  <c r="P180" i="38"/>
  <c r="P120" i="38"/>
  <c r="P178" i="38"/>
  <c r="O233" i="38"/>
  <c r="M233" i="38"/>
  <c r="P164" i="38"/>
  <c r="P86" i="38"/>
  <c r="M233" i="34" l="1"/>
  <c r="M233" i="35"/>
  <c r="O232" i="33"/>
  <c r="O233" i="36"/>
  <c r="O232" i="32"/>
  <c r="M232" i="31"/>
  <c r="M232" i="29"/>
  <c r="O232" i="29"/>
  <c r="O232" i="28"/>
  <c r="O233" i="37"/>
  <c r="M164" i="5"/>
  <c r="O233" i="34"/>
  <c r="N163" i="3"/>
  <c r="M165" i="2"/>
  <c r="P164" i="2"/>
  <c r="O232" i="30"/>
  <c r="M232" i="28"/>
  <c r="M232" i="32"/>
  <c r="P129" i="38"/>
  <c r="P130" i="38" s="1"/>
  <c r="N165" i="3" l="1"/>
  <c r="P163" i="3"/>
  <c r="M166" i="5"/>
  <c r="M166" i="6" l="1"/>
  <c r="N164" i="4"/>
  <c r="M166" i="3"/>
  <c r="P165" i="3"/>
  <c r="N166" i="4" l="1"/>
  <c r="P164" i="4"/>
  <c r="M168" i="6"/>
  <c r="M166" i="7" l="1"/>
  <c r="N164" i="5"/>
  <c r="M167" i="4"/>
  <c r="P166" i="4"/>
  <c r="N166" i="5" l="1"/>
  <c r="P164" i="5"/>
  <c r="M168" i="7"/>
  <c r="M166" i="8" l="1"/>
  <c r="N166" i="6"/>
  <c r="P166" i="5"/>
  <c r="M167" i="5"/>
  <c r="N168" i="6" l="1"/>
  <c r="P166" i="6"/>
  <c r="M168" i="8"/>
  <c r="M166" i="9" l="1"/>
  <c r="N166" i="7"/>
  <c r="P168" i="6"/>
  <c r="M169" i="6"/>
  <c r="N168" i="7" l="1"/>
  <c r="P166" i="7"/>
  <c r="M168" i="9"/>
  <c r="M167" i="10" l="1"/>
  <c r="N166" i="8"/>
  <c r="M169" i="7"/>
  <c r="P168" i="7"/>
  <c r="N168" i="8" l="1"/>
  <c r="P166" i="8"/>
  <c r="M169" i="10"/>
  <c r="M167" i="11" l="1"/>
  <c r="N166" i="9"/>
  <c r="M169" i="8"/>
  <c r="P168" i="8"/>
  <c r="N168" i="9" l="1"/>
  <c r="P166" i="9"/>
  <c r="M169" i="11"/>
  <c r="M167" i="12" l="1"/>
  <c r="N167" i="10"/>
  <c r="M169" i="9"/>
  <c r="P168" i="9"/>
  <c r="N169" i="10" l="1"/>
  <c r="P167" i="10"/>
  <c r="M169" i="12"/>
  <c r="M167" i="13" l="1"/>
  <c r="N167" i="11"/>
  <c r="P169" i="10"/>
  <c r="M170" i="10"/>
  <c r="N169" i="11" l="1"/>
  <c r="P167" i="11"/>
  <c r="M169" i="13"/>
  <c r="M168" i="14" l="1"/>
  <c r="N167" i="12"/>
  <c r="P169" i="11"/>
  <c r="M170" i="11"/>
  <c r="N169" i="12" l="1"/>
  <c r="P167" i="12"/>
  <c r="M170" i="14"/>
  <c r="M168" i="15" l="1"/>
  <c r="N167" i="13"/>
  <c r="P169" i="12"/>
  <c r="M170" i="12"/>
  <c r="N169" i="13" l="1"/>
  <c r="P167" i="13"/>
  <c r="M170" i="15"/>
  <c r="M168" i="16" l="1"/>
  <c r="N168" i="14"/>
  <c r="M170" i="13"/>
  <c r="P169" i="13"/>
  <c r="N170" i="14" l="1"/>
  <c r="P168" i="14"/>
  <c r="M170" i="16"/>
  <c r="M168" i="17" l="1"/>
  <c r="N168" i="15"/>
  <c r="M171" i="14"/>
  <c r="P170" i="14"/>
  <c r="N170" i="15" l="1"/>
  <c r="P168" i="15"/>
  <c r="M170" i="17"/>
  <c r="M170" i="18" l="1"/>
  <c r="N168" i="16"/>
  <c r="P170" i="15"/>
  <c r="M171" i="15"/>
  <c r="N170" i="16" l="1"/>
  <c r="P168" i="16"/>
  <c r="M172" i="18"/>
  <c r="M170" i="19" l="1"/>
  <c r="N168" i="17"/>
  <c r="M171" i="16"/>
  <c r="P170" i="16"/>
  <c r="N170" i="17" l="1"/>
  <c r="P168" i="17"/>
  <c r="M172" i="19"/>
  <c r="M170" i="20" l="1"/>
  <c r="N170" i="18"/>
  <c r="M171" i="17"/>
  <c r="P170" i="17"/>
  <c r="N172" i="18" l="1"/>
  <c r="P170" i="18"/>
  <c r="M172" i="20"/>
  <c r="M171" i="21" l="1"/>
  <c r="N170" i="19"/>
  <c r="M173" i="18"/>
  <c r="P172" i="18"/>
  <c r="N172" i="19" l="1"/>
  <c r="P170" i="19"/>
  <c r="M173" i="21"/>
  <c r="M171" i="22" l="1"/>
  <c r="N170" i="20"/>
  <c r="P172" i="19"/>
  <c r="M173" i="19"/>
  <c r="N172" i="20" l="1"/>
  <c r="P170" i="20"/>
  <c r="M173" i="22"/>
  <c r="M171" i="23" l="1"/>
  <c r="N171" i="21"/>
  <c r="P172" i="20"/>
  <c r="M173" i="20"/>
  <c r="N173" i="21" l="1"/>
  <c r="P171" i="21"/>
  <c r="M173" i="23"/>
  <c r="M170" i="24" l="1"/>
  <c r="N171" i="22"/>
  <c r="M174" i="21"/>
  <c r="P173" i="21"/>
  <c r="N173" i="22" l="1"/>
  <c r="P171" i="22"/>
  <c r="M172" i="24"/>
  <c r="M170" i="25" l="1"/>
  <c r="N171" i="23"/>
  <c r="M174" i="22"/>
  <c r="P173" i="22"/>
  <c r="N173" i="23" l="1"/>
  <c r="P171" i="23"/>
  <c r="M172" i="25"/>
  <c r="M170" i="26" l="1"/>
  <c r="N170" i="24"/>
  <c r="P173" i="23"/>
  <c r="M174" i="23"/>
  <c r="N172" i="24" l="1"/>
  <c r="P170" i="24"/>
  <c r="M172" i="26"/>
  <c r="M170" i="27" l="1"/>
  <c r="N170" i="25"/>
  <c r="M173" i="24"/>
  <c r="P172" i="24"/>
  <c r="N172" i="25" l="1"/>
  <c r="P170" i="25"/>
  <c r="M172" i="27"/>
  <c r="M170" i="28" l="1"/>
  <c r="N170" i="26"/>
  <c r="P172" i="25"/>
  <c r="M173" i="25"/>
  <c r="N172" i="26" l="1"/>
  <c r="P170" i="26"/>
  <c r="M172" i="28"/>
  <c r="M170" i="29" l="1"/>
  <c r="N170" i="27"/>
  <c r="M173" i="26"/>
  <c r="P172" i="26"/>
  <c r="N172" i="27" l="1"/>
  <c r="P170" i="27"/>
  <c r="M172" i="29"/>
  <c r="M170" i="30" l="1"/>
  <c r="N170" i="28"/>
  <c r="P172" i="27"/>
  <c r="M173" i="27"/>
  <c r="N172" i="28" l="1"/>
  <c r="P170" i="28"/>
  <c r="M172" i="30"/>
  <c r="M170" i="31" l="1"/>
  <c r="N170" i="29"/>
  <c r="M173" i="28"/>
  <c r="P172" i="28"/>
  <c r="N172" i="29" l="1"/>
  <c r="P170" i="29"/>
  <c r="M172" i="31"/>
  <c r="M170" i="32" l="1"/>
  <c r="N170" i="30"/>
  <c r="P172" i="29"/>
  <c r="M173" i="29"/>
  <c r="N172" i="30" l="1"/>
  <c r="P170" i="30"/>
  <c r="M172" i="32"/>
  <c r="M170" i="33" l="1"/>
  <c r="N170" i="31"/>
  <c r="M173" i="30"/>
  <c r="P172" i="30"/>
  <c r="N172" i="31" l="1"/>
  <c r="P170" i="31"/>
  <c r="M172" i="33"/>
  <c r="M171" i="34" l="1"/>
  <c r="N170" i="32"/>
  <c r="P172" i="31"/>
  <c r="M173" i="31"/>
  <c r="N172" i="32" l="1"/>
  <c r="P170" i="32"/>
  <c r="M173" i="34"/>
  <c r="M171" i="35" l="1"/>
  <c r="N170" i="33"/>
  <c r="P172" i="32"/>
  <c r="M173" i="32"/>
  <c r="N172" i="33" l="1"/>
  <c r="P170" i="33"/>
  <c r="M173" i="35"/>
  <c r="M171" i="36" l="1"/>
  <c r="N171" i="34"/>
  <c r="P172" i="33"/>
  <c r="M173" i="33"/>
  <c r="N173" i="34" l="1"/>
  <c r="P171" i="34"/>
  <c r="M173" i="36"/>
  <c r="M171" i="37" l="1"/>
  <c r="N171" i="35"/>
  <c r="M174" i="34"/>
  <c r="P173" i="34"/>
  <c r="N173" i="35" l="1"/>
  <c r="P171" i="35"/>
  <c r="M173" i="37"/>
  <c r="M171" i="38" l="1"/>
  <c r="N171" i="36"/>
  <c r="P173" i="35"/>
  <c r="M174" i="35"/>
  <c r="N173" i="36" l="1"/>
  <c r="P171" i="36"/>
  <c r="M173" i="38"/>
  <c r="M171" i="39" l="1"/>
  <c r="N171" i="37"/>
  <c r="M174" i="36"/>
  <c r="P173" i="36"/>
  <c r="N173" i="37" l="1"/>
  <c r="P171" i="37"/>
  <c r="M173" i="39"/>
  <c r="M171" i="40" l="1"/>
  <c r="N171" i="38"/>
  <c r="M174" i="37"/>
  <c r="P173" i="37"/>
  <c r="N173" i="38" l="1"/>
  <c r="P171" i="38"/>
  <c r="M173" i="40"/>
  <c r="M171" i="41" l="1"/>
  <c r="N171" i="39"/>
  <c r="M174" i="38"/>
  <c r="P173" i="38"/>
  <c r="N173" i="39" l="1"/>
  <c r="P171" i="39"/>
  <c r="M173" i="41"/>
  <c r="M171" i="42" l="1"/>
  <c r="N171" i="40"/>
  <c r="M174" i="39"/>
  <c r="P173" i="39"/>
  <c r="N173" i="40" l="1"/>
  <c r="P171" i="40"/>
  <c r="M173" i="42"/>
  <c r="M171" i="43" l="1"/>
  <c r="N171" i="41"/>
  <c r="M174" i="40"/>
  <c r="P173" i="40"/>
  <c r="N173" i="41" l="1"/>
  <c r="P171" i="41"/>
  <c r="M173" i="43"/>
  <c r="M171" i="44" s="1"/>
  <c r="M173" i="44" l="1"/>
  <c r="M171" i="45" s="1"/>
  <c r="M173" i="45" s="1"/>
  <c r="M171" i="46" s="1"/>
  <c r="N171" i="42"/>
  <c r="M174" i="41"/>
  <c r="P173" i="41"/>
  <c r="M173" i="46" l="1"/>
  <c r="N173" i="42"/>
  <c r="P171" i="42"/>
  <c r="M171" i="47" l="1"/>
  <c r="N171" i="43"/>
  <c r="M174" i="42"/>
  <c r="P173" i="42"/>
  <c r="M173" i="47" l="1"/>
  <c r="N173" i="43"/>
  <c r="N171" i="44" s="1"/>
  <c r="P171" i="43"/>
  <c r="M171" i="48" l="1"/>
  <c r="M173" i="48" s="1"/>
  <c r="N173" i="44"/>
  <c r="N171" i="45" s="1"/>
  <c r="P171" i="44"/>
  <c r="M174" i="43"/>
  <c r="P173" i="43"/>
  <c r="M171" i="49" l="1"/>
  <c r="P171" i="45"/>
  <c r="N173" i="45"/>
  <c r="N171" i="46" s="1"/>
  <c r="M174" i="44"/>
  <c r="P173" i="44"/>
  <c r="N173" i="46" l="1"/>
  <c r="P171" i="46"/>
  <c r="M173" i="49"/>
  <c r="M174" i="45"/>
  <c r="P173" i="45"/>
  <c r="N171" i="47" l="1"/>
  <c r="M174" i="46"/>
  <c r="P173" i="46"/>
  <c r="N173" i="47" l="1"/>
  <c r="P171" i="47"/>
  <c r="N171" i="48" l="1"/>
  <c r="P173" i="47"/>
  <c r="M174" i="47"/>
  <c r="P171" i="48" l="1"/>
  <c r="N173" i="48"/>
  <c r="N171" i="49" l="1"/>
  <c r="M174" i="48"/>
  <c r="P173" i="48"/>
  <c r="N173" i="49" l="1"/>
  <c r="P171" i="49"/>
  <c r="M174" i="49" l="1"/>
  <c r="P173" i="49"/>
</calcChain>
</file>

<file path=xl/sharedStrings.xml><?xml version="1.0" encoding="utf-8"?>
<sst xmlns="http://schemas.openxmlformats.org/spreadsheetml/2006/main" count="18075" uniqueCount="338">
  <si>
    <t>Summary Transaction  Features</t>
  </si>
  <si>
    <t>Name of Issuer</t>
  </si>
  <si>
    <t>Originator % at Closing</t>
  </si>
  <si>
    <t xml:space="preserve">Originator % at the Quarter End </t>
  </si>
  <si>
    <t>Date of Issue</t>
  </si>
  <si>
    <t>Date of Production</t>
  </si>
  <si>
    <t>Security Level Data</t>
  </si>
  <si>
    <t>Moody's Rating at Closing</t>
  </si>
  <si>
    <t>Standard &amp; Poor's Rating at Closing</t>
  </si>
  <si>
    <t>Current Moody's Rating</t>
  </si>
  <si>
    <t>Current Standard &amp; Poors Rating</t>
  </si>
  <si>
    <t>ISIN</t>
  </si>
  <si>
    <t xml:space="preserve">Note Interest Margins: </t>
  </si>
  <si>
    <t>Current Note Interest Rates:</t>
  </si>
  <si>
    <t>Previous Note Interest Rates:</t>
  </si>
  <si>
    <t>Optional Redemption (Call) Dates</t>
  </si>
  <si>
    <t>Step-up Dates</t>
  </si>
  <si>
    <t>Class B Notes as a percentage Class A Notes at issue</t>
  </si>
  <si>
    <t>Outstanding Class B Notes as a percentage of Outstanding Class A Notes</t>
  </si>
  <si>
    <t>Determination Event for Paying Class B Notes</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</si>
  <si>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</si>
  <si>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</si>
  <si>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</si>
  <si>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</si>
  <si>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</si>
  <si>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</si>
  <si>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</si>
  <si>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</si>
  <si>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</si>
  <si>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</si>
  <si>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</si>
  <si>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</si>
  <si>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</si>
  <si>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</si>
  <si>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Total revenue cash received this period from assets</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</si>
  <si>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</si>
  <si>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</si>
  <si>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</si>
  <si>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</si>
  <si>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</si>
  <si>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Trustee Fee</t>
  </si>
  <si>
    <t>Third Party payments for Corporation Tax and VAT</t>
  </si>
  <si>
    <t>Termination Fees to Swap Provider</t>
  </si>
  <si>
    <t>Cap/Swap Retention fund</t>
  </si>
  <si>
    <t>Principal payments made from Principal Income:</t>
  </si>
  <si>
    <t>Mandatory Further Advances</t>
  </si>
  <si>
    <t>Discretionary Further Advances</t>
  </si>
  <si>
    <t>Total payments to be made this quarter</t>
  </si>
  <si>
    <t>Total closing cash balance</t>
  </si>
  <si>
    <t>Available Credit Enhancement</t>
  </si>
  <si>
    <t>First Loss Fund Analysis</t>
  </si>
  <si>
    <t>First Loss Fund at Closing</t>
  </si>
  <si>
    <t>Last Quarter closing First Loss Fund balance</t>
  </si>
  <si>
    <t>PDL Replenishment</t>
  </si>
  <si>
    <t>Closing First Loss Fund Balance</t>
  </si>
  <si>
    <t>Requirement</t>
  </si>
  <si>
    <t>Build up - prior periods</t>
  </si>
  <si>
    <t>Build up - this period</t>
  </si>
  <si>
    <t>Requirement Outstanding</t>
  </si>
  <si>
    <t>Principal Deficiency Ledger (PDL)</t>
  </si>
  <si>
    <t>Opening PDL Balance</t>
  </si>
  <si>
    <t>Losses this quarter</t>
  </si>
  <si>
    <t>Total PDL balance</t>
  </si>
  <si>
    <t>Closing PDL Balance</t>
  </si>
  <si>
    <t>Over Collateralisation</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</si>
  <si>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</si>
  <si>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</si>
  <si>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</si>
  <si>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</si>
  <si>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</si>
  <si>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</si>
  <si>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</si>
  <si>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</si>
  <si>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</si>
  <si>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</si>
  <si>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</si>
  <si>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</si>
  <si>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</si>
  <si>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</si>
  <si>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</si>
  <si>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</si>
  <si>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</si>
  <si>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</si>
  <si>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</si>
  <si>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</si>
  <si>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</si>
  <si>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</si>
  <si>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</si>
  <si>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</si>
  <si>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Aggregate Principal Balance of Repurchased Loans</t>
  </si>
  <si>
    <t>Aggregate Balance of Substituted Loans</t>
  </si>
  <si>
    <t>Principal Losses</t>
  </si>
  <si>
    <t>Agg Loan Principal Losses (during related Collection Period)</t>
  </si>
  <si>
    <t>Cumulative Principal Losses (since closing date)</t>
  </si>
  <si>
    <t>Properties Sold</t>
  </si>
  <si>
    <t>Average Number of months in Arrears @ Redemption date</t>
  </si>
  <si>
    <t>Average months between Possession &amp; Redemption</t>
  </si>
  <si>
    <t>Delinquency Summary</t>
  </si>
  <si>
    <t>Performing</t>
  </si>
  <si>
    <t>&gt;1&lt;=2 Months</t>
  </si>
  <si>
    <t>&gt;2&lt;=3 Months</t>
  </si>
  <si>
    <t>&gt;3 Months</t>
  </si>
  <si>
    <t>Contact Name/Address</t>
  </si>
  <si>
    <t>John Harvey, St. Catherines Court, Herbert Road, Solihull, West Midlands, B91 3QE</t>
  </si>
  <si>
    <t>Jimmy Giles, St. Catherines Court, Herbert Road, Solihull, West Midlands, B91 3QE</t>
  </si>
  <si>
    <t>As at Closing</t>
  </si>
  <si>
    <t>PDD =</t>
  </si>
  <si>
    <t>Last Quarter Balance</t>
  </si>
  <si>
    <t>Tel.</t>
  </si>
  <si>
    <t>This Quarter Redemptions and Repayments</t>
  </si>
  <si>
    <t>E-mail</t>
  </si>
  <si>
    <t>Additions this quarter</t>
  </si>
  <si>
    <t>DFA's</t>
  </si>
  <si>
    <t>No.</t>
  </si>
  <si>
    <t>%</t>
  </si>
  <si>
    <t>PML</t>
  </si>
  <si>
    <t>Senior/Subordinate</t>
  </si>
  <si>
    <t>Class A Notes</t>
  </si>
  <si>
    <t>Repurchases this quarter</t>
  </si>
  <si>
    <t>Principal (£'000)</t>
  </si>
  <si>
    <t>MFA's</t>
  </si>
  <si>
    <t>£'000 Value</t>
  </si>
  <si>
    <t>n/a</t>
  </si>
  <si>
    <t>£'000 Principal</t>
  </si>
  <si>
    <t>=</t>
  </si>
  <si>
    <t>years</t>
  </si>
  <si>
    <t>Quarterly</t>
  </si>
  <si>
    <t>Current Principal Outstanding</t>
  </si>
  <si>
    <t>Revenue (£'000)</t>
  </si>
  <si>
    <t>Total</t>
  </si>
  <si>
    <t>x</t>
  </si>
  <si>
    <t>Payments to Swap Counterparty</t>
  </si>
  <si>
    <t>Pre Funding Reserve</t>
  </si>
  <si>
    <t>Class B1a Notes</t>
  </si>
  <si>
    <t>Class B1b Notes</t>
  </si>
  <si>
    <t>Fitch Rating at Closing</t>
  </si>
  <si>
    <t>Current Fitch Rating</t>
  </si>
  <si>
    <t>N/A</t>
  </si>
  <si>
    <t>Stated Maturity - Class B1a Notes</t>
  </si>
  <si>
    <t>Stated Maturity - Class B1b Notes</t>
  </si>
  <si>
    <t>Note Step-Up Margins</t>
  </si>
  <si>
    <t>ACTUAL/360</t>
  </si>
  <si>
    <t>Previous Quarterly Interest Period (No. of Days)</t>
  </si>
  <si>
    <t>Current Quarterly Interest Period (No. of Days)</t>
  </si>
  <si>
    <t>A Note Interest / Currency Swap Interest</t>
  </si>
  <si>
    <t>B Note Interest / Currency Swap Interest</t>
  </si>
  <si>
    <t>B1a Swap Currency Interest</t>
  </si>
  <si>
    <t>5 (a)</t>
  </si>
  <si>
    <t>5 (b)</t>
  </si>
  <si>
    <t>First Loss Fund Replenishment</t>
  </si>
  <si>
    <t>Surplus income to the Issuer</t>
  </si>
  <si>
    <t>4 (a)</t>
  </si>
  <si>
    <t>4 (b)</t>
  </si>
  <si>
    <t>Replenishments from excess Revenue cash</t>
  </si>
  <si>
    <t>Current Pool Factor</t>
  </si>
  <si>
    <t>Previous Pool Factor</t>
  </si>
  <si>
    <t xml:space="preserve">Previous Outstanding Note Principal </t>
  </si>
  <si>
    <t>Original Issue Amount ('000)</t>
  </si>
  <si>
    <t xml:space="preserve">Current Outstanding Note Principal </t>
  </si>
  <si>
    <t>B1a Note Swap Currency repayments</t>
  </si>
  <si>
    <t>First Loss Fund Drawings</t>
  </si>
  <si>
    <t>Drawings this quarter to fund</t>
  </si>
  <si>
    <t>Paragon Mortgages (No.7) PLC</t>
  </si>
  <si>
    <t>This performance report is issued by Paragon Finance PLC for and on behalf of Paragon Mortgages (No.7) PLC</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</si>
  <si>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</si>
  <si>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</si>
  <si>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</si>
  <si>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PM7 PLC</t>
  </si>
  <si>
    <t>Class A1a Notes</t>
  </si>
  <si>
    <t>Class A1b Notes</t>
  </si>
  <si>
    <t>Stated Maturity - Class A1a Notes</t>
  </si>
  <si>
    <t>Stated Maturity - Class A1b Notes</t>
  </si>
  <si>
    <t>Stated Maturity - Class A1c Notes</t>
  </si>
  <si>
    <t>MTL</t>
  </si>
  <si>
    <t>Class A1c Notes</t>
  </si>
  <si>
    <t>Aaa</t>
  </si>
  <si>
    <t>A2</t>
  </si>
  <si>
    <t>AAA</t>
  </si>
  <si>
    <t>A</t>
  </si>
  <si>
    <t>21 bp</t>
  </si>
  <si>
    <t>42 bp</t>
  </si>
  <si>
    <t>XS0193405890</t>
  </si>
  <si>
    <t>US69912LAA35</t>
  </si>
  <si>
    <t>XS0193406195</t>
  </si>
  <si>
    <t>XS0193406351</t>
  </si>
  <si>
    <t>XS00193406435</t>
  </si>
  <si>
    <t>US69912LAB18</t>
  </si>
  <si>
    <t>75 bp</t>
  </si>
  <si>
    <t>150 bp</t>
  </si>
  <si>
    <t>XS0193406609</t>
  </si>
  <si>
    <t>ACTUAL/366</t>
  </si>
  <si>
    <t>PM7 INVESTOR REPORT QUARTER ENDING OCTOBER 2004</t>
  </si>
  <si>
    <t>Drawing on the PFPLC/PM7 Subordinated Loan for Interest Shortfalls</t>
  </si>
  <si>
    <t>Class A and B Interest Payment Cycle</t>
  </si>
  <si>
    <t>Interest Payment Date</t>
  </si>
  <si>
    <t>A1a Swap Currency Interest</t>
  </si>
  <si>
    <t>A1b Note Interest</t>
  </si>
  <si>
    <t>A1c Swap Currency Interest</t>
  </si>
  <si>
    <t>B1b Swap Currency Interest</t>
  </si>
  <si>
    <t>A1a Note Swap Currency repayments</t>
  </si>
  <si>
    <t>A1b Note repayments</t>
  </si>
  <si>
    <t>A1c Note Swap Currency repayments</t>
  </si>
  <si>
    <t>Replenishments from drawings on the PFPLC / PM7 Subordinated Loan</t>
  </si>
  <si>
    <t>Appointment of a Receiver of Rent</t>
  </si>
  <si>
    <t>30 bp</t>
  </si>
  <si>
    <t>29 bp</t>
  </si>
  <si>
    <t>92 bp</t>
  </si>
  <si>
    <t>61 bp</t>
  </si>
  <si>
    <t>59 bp</t>
  </si>
  <si>
    <t>184 bp</t>
  </si>
  <si>
    <t>Available Redemption Funds</t>
  </si>
  <si>
    <t>+44 (0) 121 712 2315</t>
  </si>
  <si>
    <t>+44 (0) 121 712 3894</t>
  </si>
  <si>
    <t>Class A1b Interest Calculated on</t>
  </si>
  <si>
    <t>B1b Note Swap Currency repayments</t>
  </si>
  <si>
    <t xml:space="preserve">Junior Administration Fee to PFPLC and MTS </t>
  </si>
  <si>
    <t>Class A1a, A1 c, B1a and B1b Interest Calculated on</t>
  </si>
  <si>
    <t>4 (c)</t>
  </si>
  <si>
    <t>4 (d)</t>
  </si>
  <si>
    <t>Original Weighted Average Note Coupon and Currency Swap Rate</t>
  </si>
  <si>
    <t>Senior Administration Fee to PFPLC and MTS/ Substitute Administrators Commitment Fee</t>
  </si>
  <si>
    <t>Current Principal Balance Outstanding (£'000)</t>
  </si>
  <si>
    <t>john.harvey@paragon-group.co.uk</t>
  </si>
  <si>
    <t>jimmy.giles@paragon-group.co.uk</t>
  </si>
  <si>
    <t>PM7 INVESTOR REPORT QUARTER ENDING JANUARY 2005</t>
  </si>
  <si>
    <t>ACTUAL/365</t>
  </si>
  <si>
    <t>Senior Administration Fee and out of pocket expenese to PFPLC and MTS/ Substitute Administrators Commitment Fee</t>
  </si>
  <si>
    <t>&gt;3&lt;=4 Months</t>
  </si>
  <si>
    <t>&gt;4&lt;=5 Months</t>
  </si>
  <si>
    <t>&gt;5&lt;=6 Months</t>
  </si>
  <si>
    <t>&gt;6&lt;=12 Months</t>
  </si>
  <si>
    <t>&gt;12 Months</t>
  </si>
  <si>
    <t>John Harvey             +44 (0) 121 712 3894         john.harvey@paragon-group.co.uk</t>
  </si>
  <si>
    <t>Jimmy Giles             +44 (0) 121 712 2315         jimmy.giles@paragon-group.co.uk</t>
  </si>
  <si>
    <t>Contact Name           Tel.                                     E-mail</t>
  </si>
  <si>
    <t>PM7 INVESTOR REPORT QUARTER ENDING APRIL 2005</t>
  </si>
  <si>
    <t>Delinquency Summary (Excluding Receiver of Rent and Possession Cases)</t>
  </si>
  <si>
    <t>Funding of MTL payment holidays</t>
  </si>
  <si>
    <t>Delinquency Summary (For Receiver of Rent Cases)</t>
  </si>
  <si>
    <t>Delinquency Summary (For Possession Cases)</t>
  </si>
  <si>
    <t>Total Assets</t>
  </si>
  <si>
    <t>Current Weighted Average Note Coupon and Currency Swap Rate</t>
  </si>
  <si>
    <t>PM7 INVESTOR REPORT QUARTER ENDING JULY 2005</t>
  </si>
  <si>
    <t>http://www.paragon-group.co.uk</t>
  </si>
  <si>
    <t xml:space="preserve"> FOR ADDITIONAL INFORMATION ON THE UNDERLYING ASSETS, PLEASE REFER TO THE "POOL TABLES" AND "SUMMARY" SECTIONS POSTED ON THE PARAGON WEBSITE  </t>
  </si>
  <si>
    <t xml:space="preserve">  FOR FURTHER ASSISTANCE ON THE INVESTOR REPORTS, PLEASE REFER TO THE "INVESTOR TERMS" POSTED ON THE PARAGON WEBSITE </t>
  </si>
  <si>
    <t>PM7 INVESTOR REPORT QUARTER ENDING OCTOBER 2005</t>
  </si>
  <si>
    <t>PM7 INVESTOR REPORT QUARTER ENDING JANUARY 2006</t>
  </si>
  <si>
    <t>Quarterly Interest Income</t>
  </si>
  <si>
    <t>Redemption Income</t>
  </si>
  <si>
    <t>Investment Income</t>
  </si>
  <si>
    <t>Receiver of Rent Properties Sold</t>
  </si>
  <si>
    <t>Average Number of months in Arrears @ Sale date</t>
  </si>
  <si>
    <t xml:space="preserve"> </t>
  </si>
  <si>
    <t>PM7 INVESTOR REPORT QUARTER ENDING APRIL 2006</t>
  </si>
  <si>
    <t>PM7 INVESTOR REPORT QUARTER ENDING JULY 2006</t>
  </si>
  <si>
    <t>PM7 INVESTOR REPORT QUARTER ENDING OCTOBER 2006</t>
  </si>
  <si>
    <t>Total Income as a % of the Total Assets</t>
  </si>
  <si>
    <t>PM7 INVESTOR REPORT QUARTER ENDING JANUARY 2007</t>
  </si>
  <si>
    <t>Swap receipts</t>
  </si>
  <si>
    <t>PM7 INVESTOR REPORT QUARTER ENDING APRIL 2007</t>
  </si>
  <si>
    <t>PM7 INVESTOR REPORT QUARTER ENDING JULY 2007</t>
  </si>
  <si>
    <t>AA</t>
  </si>
  <si>
    <t>Andrew Kitching, St. Catherines Court, Herbert Road, Solihull, West Midlands, B91 3QE</t>
  </si>
  <si>
    <t>+44 (0) 121 712 3896</t>
  </si>
  <si>
    <t>andrew.kitching@paragon-group.co.uk</t>
  </si>
  <si>
    <t>PM7 INVESTOR REPORT QUARTER ENDING OCTOBER 2007</t>
  </si>
  <si>
    <t>PM7 INVESTOR REPORT QUARTER ENDING JANUARY 2008</t>
  </si>
  <si>
    <t>Accrual from Revenue for potential Losses</t>
  </si>
  <si>
    <t>PM7 INVESTOR REPORT QUARTER ENDING APRIL 2008</t>
  </si>
  <si>
    <t>PM7 INVESTOR REPORT QUARTER ENDING JULY 2008</t>
  </si>
  <si>
    <t>PM7 INVESTOR REPORT QUARTER ENDING OCTOBER 2008</t>
  </si>
  <si>
    <t>PM7 INVESTOR REPORT QUARTER ENDING JANUARY 2009</t>
  </si>
  <si>
    <t>Retained Cash for the funding of Discretionary Further Advances between PDD and IPD</t>
  </si>
  <si>
    <t>PM7 INVESTOR REPORT QUARTER ENDING APRIL 2009</t>
  </si>
  <si>
    <t xml:space="preserve">or the IPD falling  in August 2009, whichever is the later </t>
  </si>
  <si>
    <t>Properties Sold by Mortgagee - Outstanding Principal Balance</t>
  </si>
  <si>
    <t>PM7 INVESTOR REPORT QUARTER ENDING JULY 2009</t>
  </si>
  <si>
    <t>Possession Properties Sold</t>
  </si>
  <si>
    <t>Original GBP Equivalent Note Principal</t>
  </si>
  <si>
    <t>Previous GBP Equivalent Note Principal</t>
  </si>
  <si>
    <t>Current GBP Equivalent Note Principal</t>
  </si>
  <si>
    <t>GBP Note Margin</t>
  </si>
  <si>
    <t>Previous GBP Interest Rates</t>
  </si>
  <si>
    <t>GBP Step -Up Margins</t>
  </si>
  <si>
    <t>Current GBP Interest Rates</t>
  </si>
  <si>
    <t>PM7 INVESTOR REPORT QUARTER ENDING OCTOBER 2009</t>
  </si>
  <si>
    <t>PM7 INVESTOR REPORT QUARTER ENDING JANUARY 2010</t>
  </si>
  <si>
    <t>PM7 INVESTOR REPORT QUARTER ENDING APRIL 2010</t>
  </si>
  <si>
    <t>PM7 INVESTOR REPORT QUARTER ENDING JULY 2010</t>
  </si>
  <si>
    <t xml:space="preserve">Delinquency Summary </t>
  </si>
  <si>
    <t>PM7 INVESTOR REPORT QUARTER ENDING OCTOBER 2010</t>
  </si>
  <si>
    <t>AA-</t>
  </si>
  <si>
    <t>PM7 INVESTOR REPORT QUARTER ENDING JANUARY 2011</t>
  </si>
  <si>
    <t>PM7 INVESTOR REPORT QUARTER ENDING APRIL 2011</t>
  </si>
  <si>
    <t>PM7 INVESTOR REPORT QUARTER ENDING JULY 2011</t>
  </si>
  <si>
    <t>PM7 INVESTOR REPORT QUARTER ENDING OCTOBER 2011</t>
  </si>
  <si>
    <t>PDL replenishment (-) from Revenue income / Recovery (+) to Revenue income</t>
  </si>
  <si>
    <t>PM7 INVESTOR REPORT QUARTER ENDING JANUARY 2012</t>
  </si>
  <si>
    <t>PM7 INVESTOR REPORT QUARTER ENDING APRIL 2012</t>
  </si>
  <si>
    <t>PM7 INVESTOR REPORT QUARTER ENDING JULY 2012</t>
  </si>
  <si>
    <t>A+</t>
  </si>
  <si>
    <t>PM7 INVESTOR REPORT QUARTER ENDING OCTOBER 2012</t>
  </si>
  <si>
    <t>PM7 INVESTOR REPORT QUARTER ENDING JANUARY 2013</t>
  </si>
  <si>
    <t>Trustee Fee/ Costs and expenses claimed by the Substitute Administrator</t>
  </si>
  <si>
    <t>Unsecured claimants in an amount not exceeding the "Prescribed Part" in The Insolvency Act (Prescribed Part) Order 2003 (as amended from time to time)</t>
  </si>
  <si>
    <t>Senior Administration Fee to PFPLC and MTS/ Out of pocket expenses/ Substitute Administrator Commitment Fee/ Substitute Administrator Facilitator Fee/ Surveillance Fees to Rating Agencies</t>
  </si>
  <si>
    <t>PM7 INVESTOR REPORT QUARTER ENDING APRIL 2013</t>
  </si>
  <si>
    <t>PM7 INVESTOR REPORT QUARTER ENDING JULY 2013</t>
  </si>
  <si>
    <t>John Harvey, 51 Homer Road, Solihull, West Midlands, B91 3QJ</t>
  </si>
  <si>
    <t>Andrew Kitching, 51 Homer Road, Solihull, West Midlands, B91 3QJ</t>
  </si>
  <si>
    <t>Jimmy Giles, 51 Homer Road, Solihull, West Midlands, B91 3QJ</t>
  </si>
  <si>
    <t>PM7 INVESTOR REPORT QUARTER ENDING OCTOBER 2013</t>
  </si>
  <si>
    <t>PM7 INVESTOR REPORT QUARTER ENDING JANAURY 2014</t>
  </si>
  <si>
    <t>PM7 INVESTOR REPORT QUARTER ENDING APRIL 2014</t>
  </si>
  <si>
    <t>A1</t>
  </si>
  <si>
    <t>Baa3</t>
  </si>
  <si>
    <t>PM7 INVESTOR REPORT QUARTER ENDING JULY 2014</t>
  </si>
  <si>
    <t>PM7 INVESTOR REPORT QUARTER ENDING OCTOBER 2014</t>
  </si>
  <si>
    <t>PM7 INVESTOR REPORT QUARTER ENDING JANUARY 2015</t>
  </si>
  <si>
    <t>PM7 INVESTOR REPORT QUARTER ENDING APRIL 2015</t>
  </si>
  <si>
    <t>PM7 INVESTOR REPORT QUARTER ENDING JULY 2015</t>
  </si>
  <si>
    <t>A-</t>
  </si>
  <si>
    <t>Baa1</t>
  </si>
  <si>
    <t>PM7 INVESTOR REPORT QUARTER ENDING OCTOBER 2015</t>
  </si>
  <si>
    <t>PM7 INVESTOR REPORT QUARTER ENDING JANUARY 2016</t>
  </si>
  <si>
    <t>PM7 INVESTOR REPORT QUARTER ENDING APRIL 2016</t>
  </si>
  <si>
    <t>PM7 INVESTOR REPORT QUARTER ENDING JULY 2016</t>
  </si>
  <si>
    <t>PM7 INVESTOR REPORT QUARTER ENDING OCTOBER 2016</t>
  </si>
  <si>
    <t>PM7 INVESTOR REPORT QUARTER ENDING JANUARY 2017</t>
  </si>
  <si>
    <t>PM7 INVESTOR REPORT QUARTER ENDING APRIL 2017</t>
  </si>
  <si>
    <t>AA+</t>
  </si>
  <si>
    <t>BBB+</t>
  </si>
  <si>
    <t>PM7 INVESTOR REPORT QUARTER ENDING JULY 2017</t>
  </si>
  <si>
    <t>Aa3</t>
  </si>
  <si>
    <t>A3</t>
  </si>
  <si>
    <t>Release of the First Loss Fund to Revenue</t>
  </si>
  <si>
    <t>Release of the First Loss Fund following repayment of the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</si>
</sst>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809]#,##0"/>
    <numFmt numFmtId="165" formatCode="0.00000%"/>
    <numFmt numFmtId="166" formatCode="0.0%"/>
    <numFmt numFmtId="167" formatCode="d\-mmm\-yy"/>
    <numFmt numFmtId="168" formatCode="[$€-2]\ #,##0"/>
    <numFmt numFmtId="169" formatCode="[$$-409]#,##0"/>
    <numFmt numFmtId="170" formatCode="&quot;£&quot;#,##0"/>
    <numFmt numFmtId="171" formatCode="0.000000"/>
    <numFmt numFmtId="172" formatCode="[$-F800]dddd\,\ mmmm\ dd\,\ yyyy"/>
    <numFmt numFmtId="173" formatCode="0.0000000"/>
  </numFmts>
  <fonts count="48"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name val="Arial"/>
      <family val="2"/>
    </font>
    <font>
      <b/>
      <sz val="12"/>
      <color indexed="53"/>
      <name val="Times New Roman"/>
      <family val="1"/>
    </font>
    <font>
      <sz val="12"/>
      <color indexed="53"/>
      <name val="Times New Roman"/>
      <family val="1"/>
    </font>
    <font>
      <b/>
      <u/>
      <sz val="12"/>
      <color indexed="53"/>
      <name val="Times New Roman"/>
      <family val="1"/>
    </font>
    <font>
      <b/>
      <sz val="12"/>
      <color indexed="12"/>
      <name val="Times New Roman"/>
      <family val="1"/>
    </font>
    <font>
      <u/>
      <sz val="8.4"/>
      <color indexed="12"/>
      <name val="Arial"/>
      <family val="2"/>
    </font>
    <font>
      <sz val="12"/>
      <name val="Times New Roman"/>
      <family val="1"/>
    </font>
    <font>
      <b/>
      <sz val="12"/>
      <color indexed="39"/>
      <name val="Times New Roman"/>
      <family val="1"/>
    </font>
    <font>
      <b/>
      <sz val="12"/>
      <color indexed="39"/>
      <name val="Times New Roman"/>
      <family val="1"/>
    </font>
    <font>
      <b/>
      <sz val="14"/>
      <color indexed="53"/>
      <name val="Times New Roman"/>
      <family val="1"/>
    </font>
    <font>
      <sz val="14"/>
      <color indexed="12"/>
      <name val="Arial"/>
      <family val="2"/>
    </font>
    <font>
      <b/>
      <u/>
      <sz val="14"/>
      <color indexed="53"/>
      <name val="Arial"/>
      <family val="2"/>
    </font>
    <font>
      <b/>
      <u/>
      <sz val="14"/>
      <color indexed="53"/>
      <name val="Times New Roman"/>
      <family val="1"/>
    </font>
    <font>
      <b/>
      <u/>
      <sz val="16"/>
      <color indexed="18"/>
      <name val="Times New Roman"/>
      <family val="1"/>
    </font>
    <font>
      <b/>
      <i/>
      <sz val="10"/>
      <color indexed="18"/>
      <name val="Times New Roman"/>
      <family val="1"/>
    </font>
    <font>
      <b/>
      <sz val="12"/>
      <color indexed="18"/>
      <name val="Times New Roman"/>
      <family val="1"/>
    </font>
    <font>
      <sz val="12"/>
      <color indexed="18"/>
      <name val="Times New Roman"/>
      <family val="1"/>
    </font>
    <font>
      <sz val="12"/>
      <color indexed="18"/>
      <name val="Arial"/>
      <family val="2"/>
    </font>
    <font>
      <b/>
      <sz val="12"/>
      <color indexed="18"/>
      <name val="Times New Roman"/>
      <family val="1"/>
    </font>
    <font>
      <b/>
      <sz val="12"/>
      <color indexed="18"/>
      <name val="Arial"/>
      <family val="2"/>
    </font>
    <font>
      <b/>
      <sz val="14"/>
      <color indexed="18"/>
      <name val="Times New Roman"/>
      <family val="1"/>
    </font>
    <font>
      <b/>
      <u/>
      <sz val="12"/>
      <color indexed="18"/>
      <name val="Times New Roman"/>
      <family val="1"/>
    </font>
    <font>
      <sz val="12"/>
      <color indexed="9"/>
      <name val="Times New Roman"/>
      <family val="1"/>
    </font>
    <font>
      <b/>
      <sz val="12"/>
      <color indexed="9"/>
      <name val="Times New Roman"/>
      <family val="1"/>
    </font>
    <font>
      <sz val="12"/>
      <color indexed="9"/>
      <name val="Times New Roman"/>
      <family val="1"/>
    </font>
    <font>
      <sz val="12"/>
      <color indexed="9"/>
      <name val="Arial"/>
      <family val="2"/>
    </font>
    <font>
      <sz val="12"/>
      <color indexed="18"/>
      <name val="Times New Roman"/>
      <family val="1"/>
    </font>
    <font>
      <b/>
      <sz val="12"/>
      <color indexed="9"/>
      <name val="Times New Roman"/>
      <family val="1"/>
    </font>
    <font>
      <u/>
      <sz val="12"/>
      <color indexed="9"/>
      <name val="Times New Roman"/>
      <family val="1"/>
    </font>
    <font>
      <sz val="12"/>
      <color rgb="FF000099"/>
      <name val="Times New Roman"/>
      <family val="1"/>
    </font>
  </fonts>
  <fills count="5">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s>
  <borders count="21">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right style="medium">
        <color indexed="8"/>
      </right>
      <top/>
      <bottom style="thin">
        <color indexed="8"/>
      </bottom>
      <diagonal/>
    </border>
    <border>
      <left/>
      <right/>
      <top/>
      <bottom style="thin">
        <color indexed="8"/>
      </bottom>
      <diagonal/>
    </border>
    <border>
      <left/>
      <right style="medium">
        <color indexed="8"/>
      </right>
      <top style="medium">
        <color indexed="8"/>
      </top>
      <bottom/>
      <diagonal/>
    </border>
    <border>
      <left/>
      <right/>
      <top style="thin">
        <color indexed="64"/>
      </top>
      <bottom style="thin">
        <color indexed="64"/>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right style="medium">
        <color indexed="8"/>
      </right>
      <top style="thin">
        <color indexed="23"/>
      </top>
      <bottom style="thin">
        <color indexed="23"/>
      </bottom>
      <diagonal/>
    </border>
    <border>
      <left/>
      <right/>
      <top style="thin">
        <color indexed="55"/>
      </top>
      <bottom style="thin">
        <color indexed="55"/>
      </bottom>
      <diagonal/>
    </border>
    <border>
      <left/>
      <right/>
      <top style="thin">
        <color indexed="8"/>
      </top>
      <bottom style="thin">
        <color indexed="8"/>
      </bottom>
      <diagonal/>
    </border>
    <border>
      <left/>
      <right style="medium">
        <color indexed="8"/>
      </right>
      <top/>
      <bottom/>
      <diagonal/>
    </border>
    <border>
      <left/>
      <right style="medium">
        <color indexed="8"/>
      </right>
      <top style="thin">
        <color indexed="8"/>
      </top>
      <bottom/>
      <diagonal/>
    </border>
  </borders>
  <cellStyleXfs count="2">
    <xf numFmtId="0" fontId="0" fillId="0" borderId="0"/>
    <xf numFmtId="0" fontId="23" fillId="0" borderId="0" applyNumberFormat="0" applyFill="0" applyBorder="0" applyAlignment="0" applyProtection="0">
      <alignment vertical="top"/>
      <protection locked="0"/>
    </xf>
  </cellStyleXfs>
  <cellXfs count="424">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9"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4" xfId="0" applyNumberFormat="1" applyFont="1" applyFill="1" applyBorder="1" applyAlignment="1"/>
    <xf numFmtId="0" fontId="10"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3" fontId="2"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4" fillId="2" borderId="5" xfId="0" applyNumberFormat="1" applyFont="1" applyFill="1" applyBorder="1" applyAlignment="1"/>
    <xf numFmtId="165"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165" fontId="2" fillId="2" borderId="5" xfId="0" applyNumberFormat="1" applyFont="1" applyFill="1" applyBorder="1" applyAlignment="1"/>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13" fillId="2" borderId="5" xfId="0" applyNumberFormat="1" applyFont="1" applyFill="1" applyBorder="1" applyAlignment="1" applyProtection="1">
      <alignment horizontal="center"/>
      <protection locked="0"/>
    </xf>
    <xf numFmtId="15" fontId="13" fillId="2" borderId="5" xfId="0" applyNumberFormat="1" applyFont="1" applyFill="1" applyBorder="1" applyAlignment="1">
      <alignment horizontal="center"/>
    </xf>
    <xf numFmtId="15" fontId="13" fillId="2" borderId="0" xfId="0" applyNumberFormat="1" applyFont="1" applyFill="1" applyAlignment="1" applyProtection="1">
      <alignment horizontal="center"/>
      <protection locked="0"/>
    </xf>
    <xf numFmtId="15" fontId="13" fillId="2" borderId="0" xfId="0" applyNumberFormat="1" applyFont="1" applyFill="1" applyAlignment="1">
      <alignment horizontal="center"/>
    </xf>
    <xf numFmtId="0" fontId="15"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13" fillId="2" borderId="5" xfId="0" applyNumberFormat="1" applyFont="1" applyFill="1" applyBorder="1" applyAlignment="1" applyProtection="1">
      <alignment horizontal="right"/>
      <protection locked="0"/>
    </xf>
    <xf numFmtId="3" fontId="13" fillId="2" borderId="5" xfId="0" applyNumberFormat="1" applyFont="1" applyFill="1" applyBorder="1" applyAlignment="1"/>
    <xf numFmtId="3" fontId="2" fillId="2" borderId="0" xfId="0" applyNumberFormat="1" applyFont="1" applyFill="1" applyAlignment="1"/>
    <xf numFmtId="3" fontId="13" fillId="2" borderId="0" xfId="0" applyNumberFormat="1" applyFont="1" applyFill="1" applyAlignment="1"/>
    <xf numFmtId="14" fontId="2" fillId="2" borderId="5" xfId="0" applyNumberFormat="1" applyFont="1" applyFill="1" applyBorder="1" applyAlignment="1">
      <alignment horizontal="right"/>
    </xf>
    <xf numFmtId="15" fontId="2" fillId="2" borderId="5" xfId="0" applyNumberFormat="1" applyFont="1" applyFill="1" applyBorder="1" applyAlignment="1"/>
    <xf numFmtId="4" fontId="13" fillId="2" borderId="5" xfId="0" applyNumberFormat="1" applyFont="1" applyFill="1" applyBorder="1" applyAlignment="1" applyProtection="1">
      <alignment horizontal="right"/>
      <protection locked="0"/>
    </xf>
    <xf numFmtId="0" fontId="12"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13" fillId="2" borderId="5" xfId="0" applyNumberFormat="1" applyFont="1" applyFill="1" applyBorder="1" applyAlignment="1" applyProtection="1">
      <alignment horizontal="center"/>
      <protection locked="0"/>
    </xf>
    <xf numFmtId="4" fontId="13" fillId="2" borderId="0" xfId="0" applyNumberFormat="1" applyFont="1" applyFill="1" applyAlignment="1" applyProtection="1">
      <alignment horizontal="right"/>
      <protection locked="0"/>
    </xf>
    <xf numFmtId="15" fontId="16" fillId="2" borderId="5" xfId="0" applyNumberFormat="1" applyFont="1" applyFill="1" applyBorder="1" applyAlignment="1">
      <alignment horizontal="center"/>
    </xf>
    <xf numFmtId="0" fontId="2" fillId="2" borderId="0" xfId="0" applyNumberFormat="1" applyFont="1" applyFill="1" applyAlignment="1" applyProtection="1">
      <protection locked="0"/>
    </xf>
    <xf numFmtId="2" fontId="13" fillId="2" borderId="5" xfId="0" applyNumberFormat="1" applyFont="1" applyFill="1" applyBorder="1" applyAlignment="1" applyProtection="1">
      <alignment horizontal="right"/>
      <protection locked="0"/>
    </xf>
    <xf numFmtId="0" fontId="13" fillId="2" borderId="1" xfId="0" applyNumberFormat="1" applyFont="1" applyFill="1" applyBorder="1" applyAlignment="1"/>
    <xf numFmtId="15" fontId="16" fillId="2" borderId="2" xfId="0" applyNumberFormat="1" applyFont="1" applyFill="1" applyBorder="1" applyAlignment="1">
      <alignment horizontal="centerContinuous"/>
    </xf>
    <xf numFmtId="15" fontId="16" fillId="2" borderId="2" xfId="0" applyNumberFormat="1" applyFont="1" applyFill="1" applyBorder="1" applyAlignment="1">
      <alignment horizontal="center"/>
    </xf>
    <xf numFmtId="15" fontId="10" fillId="2" borderId="2" xfId="0" applyNumberFormat="1" applyFont="1" applyFill="1" applyBorder="1" applyAlignment="1">
      <alignment horizontal="center"/>
    </xf>
    <xf numFmtId="0" fontId="13" fillId="2" borderId="3" xfId="0" applyNumberFormat="1" applyFont="1" applyFill="1" applyBorder="1" applyAlignment="1"/>
    <xf numFmtId="0" fontId="17" fillId="2" borderId="0" xfId="0" applyNumberFormat="1" applyFont="1" applyFill="1" applyAlignment="1"/>
    <xf numFmtId="15" fontId="16" fillId="2" borderId="0" xfId="0" applyNumberFormat="1" applyFont="1" applyFill="1" applyAlignment="1">
      <alignment horizontal="centerContinuous"/>
    </xf>
    <xf numFmtId="15" fontId="16" fillId="2" borderId="0" xfId="0" applyNumberFormat="1" applyFont="1" applyFill="1" applyAlignment="1">
      <alignment horizontal="center"/>
    </xf>
    <xf numFmtId="0" fontId="13" fillId="2" borderId="4" xfId="0" applyNumberFormat="1" applyFont="1" applyFill="1" applyBorder="1" applyAlignment="1"/>
    <xf numFmtId="0" fontId="13" fillId="2" borderId="5" xfId="0" applyNumberFormat="1" applyFont="1" applyFill="1" applyBorder="1" applyAlignment="1"/>
    <xf numFmtId="15" fontId="16" fillId="2" borderId="5" xfId="0" applyNumberFormat="1" applyFont="1" applyFill="1" applyBorder="1" applyAlignment="1">
      <alignment horizontal="centerContinuous"/>
    </xf>
    <xf numFmtId="10" fontId="13"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3" fillId="2" borderId="3" xfId="0" applyNumberFormat="1" applyFont="1" applyFill="1" applyBorder="1" applyAlignment="1">
      <alignment horizontal="right"/>
    </xf>
    <xf numFmtId="0" fontId="16" fillId="2" borderId="0" xfId="0" applyNumberFormat="1" applyFont="1" applyFill="1" applyAlignment="1">
      <alignment horizontal="center"/>
    </xf>
    <xf numFmtId="3" fontId="16" fillId="2" borderId="0" xfId="0" applyNumberFormat="1" applyFont="1" applyFill="1" applyAlignment="1">
      <alignment horizontal="center"/>
    </xf>
    <xf numFmtId="3" fontId="10" fillId="2" borderId="0" xfId="0" applyNumberFormat="1" applyFont="1" applyFill="1" applyAlignment="1">
      <alignment horizontal="center"/>
    </xf>
    <xf numFmtId="0" fontId="13" fillId="2" borderId="4" xfId="0" applyNumberFormat="1" applyFont="1" applyFill="1" applyBorder="1" applyAlignment="1">
      <alignment horizontal="right"/>
    </xf>
    <xf numFmtId="3" fontId="13" fillId="2" borderId="5" xfId="0" applyNumberFormat="1" applyFont="1" applyFill="1" applyBorder="1" applyAlignment="1" applyProtection="1">
      <alignment horizontal="center"/>
      <protection locked="0"/>
    </xf>
    <xf numFmtId="3" fontId="16" fillId="2" borderId="5" xfId="0" applyNumberFormat="1" applyFont="1" applyFill="1" applyBorder="1" applyAlignment="1"/>
    <xf numFmtId="0" fontId="13" fillId="2" borderId="4" xfId="0" applyNumberFormat="1" applyFont="1" applyFill="1" applyBorder="1" applyAlignment="1">
      <alignment horizontal="center"/>
    </xf>
    <xf numFmtId="0" fontId="16" fillId="2" borderId="5" xfId="0" applyNumberFormat="1" applyFont="1" applyFill="1" applyBorder="1" applyAlignment="1"/>
    <xf numFmtId="0" fontId="13" fillId="2" borderId="5" xfId="0" applyNumberFormat="1" applyFont="1" applyFill="1" applyBorder="1" applyAlignment="1">
      <alignment horizontal="right"/>
    </xf>
    <xf numFmtId="4" fontId="13" fillId="2" borderId="5" xfId="0" applyNumberFormat="1" applyFont="1" applyFill="1" applyBorder="1" applyAlignment="1">
      <alignment horizontal="right"/>
    </xf>
    <xf numFmtId="10" fontId="13" fillId="2" borderId="5" xfId="0" applyNumberFormat="1" applyFont="1" applyFill="1" applyBorder="1" applyAlignment="1" applyProtection="1">
      <alignment horizontal="center"/>
      <protection locked="0"/>
    </xf>
    <xf numFmtId="0" fontId="16" fillId="2" borderId="0" xfId="0" applyNumberFormat="1" applyFont="1" applyFill="1" applyAlignment="1"/>
    <xf numFmtId="166" fontId="13" fillId="2" borderId="5" xfId="0" applyNumberFormat="1" applyFont="1" applyFill="1" applyBorder="1" applyAlignment="1"/>
    <xf numFmtId="10" fontId="13" fillId="2" borderId="5" xfId="0" applyNumberFormat="1" applyFont="1" applyFill="1" applyBorder="1" applyAlignment="1"/>
    <xf numFmtId="9" fontId="2" fillId="2" borderId="5" xfId="0" applyNumberFormat="1" applyFont="1" applyFill="1" applyBorder="1" applyAlignment="1"/>
    <xf numFmtId="9" fontId="2" fillId="2" borderId="0" xfId="0" applyNumberFormat="1" applyFont="1" applyFill="1" applyAlignment="1"/>
    <xf numFmtId="3" fontId="13" fillId="2" borderId="0" xfId="0" applyNumberFormat="1" applyFont="1" applyFill="1" applyAlignment="1" applyProtection="1">
      <alignment horizontal="right"/>
      <protection locked="0"/>
    </xf>
    <xf numFmtId="0" fontId="8" fillId="2" borderId="3" xfId="0" applyNumberFormat="1" applyFont="1" applyFill="1" applyBorder="1" applyAlignment="1"/>
    <xf numFmtId="0" fontId="18" fillId="2" borderId="0" xfId="0" applyNumberFormat="1" applyFont="1" applyFill="1" applyAlignment="1"/>
    <xf numFmtId="0" fontId="0" fillId="0" borderId="2" xfId="0" applyNumberFormat="1" applyBorder="1"/>
    <xf numFmtId="0" fontId="2" fillId="2" borderId="6" xfId="0" applyNumberFormat="1" applyFont="1" applyFill="1" applyBorder="1" applyAlignment="1"/>
    <xf numFmtId="0" fontId="15"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8" fillId="2" borderId="7" xfId="0" applyNumberFormat="1" applyFont="1" applyFill="1" applyBorder="1" applyAlignment="1"/>
    <xf numFmtId="0" fontId="8" fillId="2" borderId="8" xfId="0" applyNumberFormat="1" applyFont="1" applyFill="1" applyBorder="1" applyAlignment="1"/>
    <xf numFmtId="3" fontId="1" fillId="0" borderId="0" xfId="0" applyNumberFormat="1" applyFont="1" applyAlignment="1"/>
    <xf numFmtId="167" fontId="2" fillId="2" borderId="5" xfId="0" applyNumberFormat="1" applyFont="1" applyFill="1" applyBorder="1" applyAlignment="1">
      <alignment horizontal="center"/>
    </xf>
    <xf numFmtId="0" fontId="19" fillId="2" borderId="0" xfId="0" applyNumberFormat="1" applyFont="1" applyFill="1" applyAlignment="1"/>
    <xf numFmtId="0" fontId="19" fillId="2" borderId="0" xfId="0" applyNumberFormat="1" applyFont="1" applyFill="1" applyAlignment="1">
      <alignment horizontal="center" wrapText="1"/>
    </xf>
    <xf numFmtId="0" fontId="20" fillId="2" borderId="0" xfId="0" applyNumberFormat="1" applyFont="1" applyFill="1" applyAlignment="1">
      <alignment horizontal="center" wrapText="1"/>
    </xf>
    <xf numFmtId="0" fontId="19" fillId="2" borderId="0" xfId="0" applyNumberFormat="1" applyFont="1" applyFill="1" applyAlignment="1">
      <alignment horizontal="left" vertical="top" wrapText="1"/>
    </xf>
    <xf numFmtId="0" fontId="19" fillId="2" borderId="0" xfId="0" applyNumberFormat="1" applyFont="1" applyFill="1" applyAlignment="1">
      <alignment horizontal="center" vertical="top" wrapText="1"/>
    </xf>
    <xf numFmtId="4" fontId="19" fillId="2" borderId="0" xfId="0" applyNumberFormat="1" applyFont="1" applyFill="1" applyAlignment="1" applyProtection="1">
      <alignment horizontal="center" vertical="top" wrapText="1"/>
      <protection locked="0"/>
    </xf>
    <xf numFmtId="0" fontId="20" fillId="2" borderId="0" xfId="0" applyNumberFormat="1" applyFont="1" applyFill="1" applyAlignment="1"/>
    <xf numFmtId="0" fontId="21" fillId="2" borderId="5" xfId="0" applyNumberFormat="1" applyFont="1" applyFill="1" applyBorder="1" applyAlignment="1"/>
    <xf numFmtId="0" fontId="21" fillId="2" borderId="0" xfId="0" applyNumberFormat="1" applyFont="1" applyFill="1" applyAlignment="1"/>
    <xf numFmtId="0" fontId="19" fillId="2" borderId="0" xfId="0" applyNumberFormat="1" applyFont="1" applyFill="1" applyAlignment="1">
      <alignment horizontal="right"/>
    </xf>
    <xf numFmtId="4" fontId="19" fillId="2" borderId="0" xfId="0" applyNumberFormat="1" applyFont="1" applyFill="1" applyAlignment="1" applyProtection="1">
      <alignment horizontal="right"/>
      <protection locked="0"/>
    </xf>
    <xf numFmtId="0" fontId="19" fillId="2" borderId="5" xfId="0" applyNumberFormat="1" applyFont="1" applyFill="1" applyBorder="1" applyAlignment="1"/>
    <xf numFmtId="0" fontId="22" fillId="2" borderId="5" xfId="0" applyNumberFormat="1" applyFont="1" applyFill="1" applyBorder="1" applyAlignment="1">
      <alignment horizontal="center" wrapText="1"/>
    </xf>
    <xf numFmtId="168" fontId="2" fillId="2" borderId="5" xfId="0" applyNumberFormat="1" applyFont="1" applyFill="1" applyBorder="1" applyAlignment="1">
      <alignment horizontal="center"/>
    </xf>
    <xf numFmtId="168" fontId="10" fillId="2" borderId="5" xfId="0" applyNumberFormat="1" applyFont="1" applyFill="1" applyBorder="1" applyAlignment="1">
      <alignment horizontal="center"/>
    </xf>
    <xf numFmtId="164" fontId="19" fillId="2" borderId="5" xfId="0" applyNumberFormat="1" applyFont="1" applyFill="1" applyBorder="1" applyAlignment="1"/>
    <xf numFmtId="167" fontId="2" fillId="2" borderId="5" xfId="0" applyNumberFormat="1" applyFont="1" applyFill="1" applyBorder="1" applyAlignment="1">
      <alignment horizontal="right"/>
    </xf>
    <xf numFmtId="4" fontId="19" fillId="2" borderId="5" xfId="0" applyNumberFormat="1" applyFont="1" applyFill="1" applyBorder="1" applyAlignment="1">
      <alignment horizontal="center"/>
    </xf>
    <xf numFmtId="169" fontId="10" fillId="2" borderId="5" xfId="0" applyNumberFormat="1" applyFont="1" applyFill="1" applyBorder="1" applyAlignment="1">
      <alignment horizontal="center"/>
    </xf>
    <xf numFmtId="169" fontId="2" fillId="2" borderId="5" xfId="0" applyNumberFormat="1" applyFont="1" applyFill="1" applyBorder="1" applyAlignment="1">
      <alignment horizontal="center"/>
    </xf>
    <xf numFmtId="170" fontId="2" fillId="2" borderId="5" xfId="0" applyNumberFormat="1" applyFont="1" applyFill="1" applyBorder="1" applyAlignment="1">
      <alignment horizontal="center"/>
    </xf>
    <xf numFmtId="170" fontId="10" fillId="2" borderId="5" xfId="0" applyNumberFormat="1" applyFont="1" applyFill="1" applyBorder="1" applyAlignment="1">
      <alignment horizontal="center"/>
    </xf>
    <xf numFmtId="17" fontId="2" fillId="2" borderId="5" xfId="0" applyNumberFormat="1" applyFont="1" applyFill="1" applyBorder="1" applyAlignment="1">
      <alignment horizontal="center"/>
    </xf>
    <xf numFmtId="0" fontId="9" fillId="2" borderId="0" xfId="0" quotePrefix="1" applyNumberFormat="1" applyFont="1" applyFill="1" applyAlignment="1">
      <alignment horizontal="center"/>
    </xf>
    <xf numFmtId="0" fontId="24" fillId="2" borderId="5" xfId="0" applyNumberFormat="1" applyFont="1" applyFill="1" applyBorder="1" applyAlignment="1"/>
    <xf numFmtId="10" fontId="2" fillId="2" borderId="5" xfId="0" applyNumberFormat="1" applyFont="1" applyFill="1" applyBorder="1" applyAlignment="1"/>
    <xf numFmtId="4" fontId="13" fillId="2" borderId="5" xfId="0" applyNumberFormat="1" applyFont="1" applyFill="1" applyBorder="1" applyAlignment="1">
      <alignment horizontal="center"/>
    </xf>
    <xf numFmtId="10" fontId="10" fillId="2" borderId="0" xfId="0" applyNumberFormat="1" applyFont="1" applyFill="1" applyAlignment="1">
      <alignment horizontal="center"/>
    </xf>
    <xf numFmtId="171" fontId="19" fillId="2" borderId="5" xfId="0" applyNumberFormat="1" applyFont="1" applyFill="1" applyBorder="1" applyAlignment="1">
      <alignment horizontal="center"/>
    </xf>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0" fontId="2" fillId="2" borderId="0" xfId="0" applyNumberFormat="1" applyFont="1" applyFill="1" applyBorder="1" applyAlignment="1"/>
    <xf numFmtId="3" fontId="2" fillId="2" borderId="0" xfId="0" applyNumberFormat="1" applyFont="1" applyFill="1" applyBorder="1" applyAlignment="1"/>
    <xf numFmtId="0" fontId="2" fillId="2" borderId="9" xfId="0" applyNumberFormat="1" applyFont="1" applyFill="1" applyBorder="1" applyAlignment="1"/>
    <xf numFmtId="0" fontId="2" fillId="2" borderId="10" xfId="0" applyNumberFormat="1" applyFont="1" applyFill="1" applyBorder="1" applyAlignment="1"/>
    <xf numFmtId="0" fontId="2" fillId="2" borderId="11" xfId="0" applyNumberFormat="1" applyFont="1" applyFill="1" applyBorder="1" applyAlignment="1"/>
    <xf numFmtId="3" fontId="2" fillId="2" borderId="5" xfId="0" applyNumberFormat="1" applyFont="1" applyFill="1" applyBorder="1" applyAlignment="1">
      <alignment horizontal="center"/>
    </xf>
    <xf numFmtId="0" fontId="25" fillId="2" borderId="5" xfId="0" applyNumberFormat="1" applyFont="1" applyFill="1" applyBorder="1" applyAlignment="1"/>
    <xf numFmtId="3" fontId="26" fillId="2" borderId="5" xfId="0" applyNumberFormat="1" applyFont="1" applyFill="1" applyBorder="1" applyAlignment="1" applyProtection="1">
      <alignment horizontal="right"/>
      <protection locked="0"/>
    </xf>
    <xf numFmtId="10" fontId="1" fillId="0" borderId="0" xfId="0" applyNumberFormat="1" applyFont="1" applyAlignment="1"/>
    <xf numFmtId="0" fontId="1" fillId="2" borderId="12" xfId="0" applyNumberFormat="1" applyFont="1" applyFill="1" applyBorder="1" applyAlignment="1"/>
    <xf numFmtId="0" fontId="13" fillId="2" borderId="0" xfId="0" applyNumberFormat="1" applyFont="1" applyFill="1" applyBorder="1" applyAlignment="1"/>
    <xf numFmtId="0" fontId="13" fillId="2" borderId="0" xfId="0" applyNumberFormat="1" applyFont="1" applyFill="1" applyBorder="1" applyAlignment="1">
      <alignment horizontal="right"/>
    </xf>
    <xf numFmtId="4" fontId="13" fillId="2" borderId="0" xfId="0" applyNumberFormat="1" applyFont="1" applyFill="1" applyBorder="1" applyAlignment="1">
      <alignment horizontal="right"/>
    </xf>
    <xf numFmtId="0" fontId="27" fillId="2" borderId="0" xfId="0" applyNumberFormat="1" applyFont="1" applyFill="1" applyBorder="1" applyAlignment="1"/>
    <xf numFmtId="0" fontId="27" fillId="2" borderId="13" xfId="0" applyNumberFormat="1" applyFont="1" applyFill="1" applyBorder="1" applyAlignment="1"/>
    <xf numFmtId="0" fontId="13" fillId="2" borderId="13" xfId="0" applyNumberFormat="1" applyFont="1" applyFill="1" applyBorder="1" applyAlignment="1">
      <alignment horizontal="right"/>
    </xf>
    <xf numFmtId="4" fontId="13" fillId="2" borderId="13" xfId="0" applyNumberFormat="1" applyFont="1" applyFill="1" applyBorder="1" applyAlignment="1">
      <alignment horizontal="right"/>
    </xf>
    <xf numFmtId="0" fontId="2" fillId="2" borderId="13" xfId="0" applyNumberFormat="1" applyFont="1" applyFill="1" applyBorder="1" applyAlignment="1"/>
    <xf numFmtId="0" fontId="28" fillId="2" borderId="0" xfId="1" applyNumberFormat="1" applyFont="1" applyFill="1" applyAlignment="1" applyProtection="1"/>
    <xf numFmtId="0" fontId="29" fillId="2" borderId="0" xfId="1" applyNumberFormat="1" applyFont="1" applyFill="1" applyBorder="1" applyAlignment="1" applyProtection="1"/>
    <xf numFmtId="0" fontId="29" fillId="2" borderId="13" xfId="1" applyNumberFormat="1" applyFont="1" applyFill="1" applyBorder="1" applyAlignment="1" applyProtection="1"/>
    <xf numFmtId="0" fontId="11" fillId="2" borderId="5" xfId="0" applyNumberFormat="1" applyFont="1" applyFill="1" applyBorder="1" applyAlignment="1"/>
    <xf numFmtId="0" fontId="30" fillId="2" borderId="0" xfId="1" applyNumberFormat="1" applyFont="1" applyFill="1" applyBorder="1" applyAlignment="1" applyProtection="1"/>
    <xf numFmtId="0" fontId="30" fillId="2" borderId="13" xfId="1" applyNumberFormat="1" applyFont="1" applyFill="1" applyBorder="1" applyAlignment="1" applyProtection="1"/>
    <xf numFmtId="0" fontId="22" fillId="2" borderId="0" xfId="0" applyNumberFormat="1" applyFont="1" applyFill="1" applyAlignment="1">
      <alignment horizontal="right"/>
    </xf>
    <xf numFmtId="172" fontId="22" fillId="2" borderId="0" xfId="0" applyNumberFormat="1" applyFont="1" applyFill="1" applyAlignment="1">
      <alignment horizontal="right"/>
    </xf>
    <xf numFmtId="10" fontId="0" fillId="0" borderId="3" xfId="0" applyNumberFormat="1" applyBorder="1"/>
    <xf numFmtId="3" fontId="22" fillId="2" borderId="5" xfId="0" applyNumberFormat="1" applyFont="1" applyFill="1" applyBorder="1" applyAlignment="1"/>
    <xf numFmtId="173" fontId="19" fillId="2" borderId="5" xfId="0" applyNumberFormat="1" applyFont="1" applyFill="1" applyBorder="1" applyAlignment="1">
      <alignment horizontal="center"/>
    </xf>
    <xf numFmtId="3" fontId="10" fillId="2" borderId="5" xfId="0" applyNumberFormat="1" applyFont="1" applyFill="1" applyBorder="1" applyAlignment="1" applyProtection="1">
      <alignment horizontal="right"/>
      <protection locked="0"/>
    </xf>
    <xf numFmtId="164" fontId="1" fillId="0" borderId="0" xfId="0" applyNumberFormat="1" applyFont="1" applyAlignment="1"/>
    <xf numFmtId="3" fontId="2" fillId="2" borderId="5" xfId="0" applyNumberFormat="1" applyFont="1" applyFill="1" applyBorder="1" applyAlignment="1" applyProtection="1">
      <alignment horizontal="center"/>
      <protection locked="0"/>
    </xf>
    <xf numFmtId="4" fontId="2" fillId="2" borderId="5" xfId="0" applyNumberFormat="1" applyFont="1" applyFill="1" applyBorder="1" applyAlignment="1" applyProtection="1">
      <alignment horizontal="center"/>
      <protection locked="0"/>
    </xf>
    <xf numFmtId="10" fontId="2" fillId="2" borderId="5" xfId="0" applyNumberFormat="1" applyFont="1" applyFill="1" applyBorder="1" applyAlignment="1" applyProtection="1">
      <alignment horizontal="center"/>
      <protection locked="0"/>
    </xf>
    <xf numFmtId="0" fontId="2" fillId="3" borderId="1" xfId="0" applyNumberFormat="1" applyFont="1" applyFill="1" applyBorder="1" applyAlignment="1"/>
    <xf numFmtId="0" fontId="2" fillId="3" borderId="2" xfId="0" applyNumberFormat="1" applyFont="1" applyFill="1" applyBorder="1" applyAlignment="1"/>
    <xf numFmtId="0" fontId="1" fillId="3" borderId="12" xfId="0" applyNumberFormat="1" applyFont="1" applyFill="1" applyBorder="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19" fillId="3" borderId="0" xfId="0" applyNumberFormat="1" applyFont="1" applyFill="1" applyAlignment="1"/>
    <xf numFmtId="0" fontId="7" fillId="3" borderId="0" xfId="0" applyNumberFormat="1" applyFont="1" applyFill="1" applyAlignment="1"/>
    <xf numFmtId="0" fontId="27" fillId="3" borderId="0" xfId="0" applyNumberFormat="1" applyFont="1" applyFill="1" applyBorder="1" applyAlignment="1"/>
    <xf numFmtId="0" fontId="2" fillId="3" borderId="0" xfId="0" applyNumberFormat="1" applyFont="1" applyFill="1" applyBorder="1" applyAlignment="1"/>
    <xf numFmtId="0" fontId="30" fillId="3" borderId="0" xfId="1" applyNumberFormat="1" applyFont="1" applyFill="1" applyBorder="1" applyAlignment="1" applyProtection="1"/>
    <xf numFmtId="0" fontId="28" fillId="3" borderId="0" xfId="1" applyNumberFormat="1" applyFont="1" applyFill="1" applyAlignment="1" applyProtection="1"/>
    <xf numFmtId="0" fontId="9" fillId="3" borderId="0" xfId="0" applyNumberFormat="1" applyFont="1" applyFill="1" applyAlignment="1"/>
    <xf numFmtId="0" fontId="11" fillId="3" borderId="0" xfId="0" applyNumberFormat="1" applyFont="1" applyFill="1" applyAlignment="1"/>
    <xf numFmtId="9" fontId="10" fillId="3" borderId="0" xfId="0" applyNumberFormat="1" applyFont="1" applyFill="1" applyAlignment="1">
      <alignment horizontal="center"/>
    </xf>
    <xf numFmtId="0" fontId="4" fillId="3" borderId="0" xfId="0" applyNumberFormat="1" applyFont="1" applyFill="1" applyAlignment="1"/>
    <xf numFmtId="0" fontId="2" fillId="3" borderId="0" xfId="0" applyNumberFormat="1" applyFont="1" applyFill="1" applyAlignment="1">
      <alignment horizontal="right"/>
    </xf>
    <xf numFmtId="0" fontId="2" fillId="3" borderId="4" xfId="0" applyNumberFormat="1" applyFont="1" applyFill="1" applyBorder="1" applyAlignment="1"/>
    <xf numFmtId="0" fontId="2" fillId="3" borderId="6" xfId="0" applyNumberFormat="1" applyFont="1" applyFill="1" applyBorder="1" applyAlignment="1"/>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19" fillId="3" borderId="0" xfId="0" applyNumberFormat="1" applyFont="1" applyFill="1" applyAlignment="1">
      <alignment horizontal="left" vertical="top" wrapText="1"/>
    </xf>
    <xf numFmtId="0" fontId="19" fillId="3" borderId="0" xfId="0" applyNumberFormat="1" applyFont="1" applyFill="1" applyAlignment="1">
      <alignment horizontal="center" vertical="top" wrapText="1"/>
    </xf>
    <xf numFmtId="4" fontId="19" fillId="3" borderId="0" xfId="0" applyNumberFormat="1" applyFont="1" applyFill="1" applyAlignment="1" applyProtection="1">
      <alignment horizontal="center" vertical="top" wrapText="1"/>
      <protection locked="0"/>
    </xf>
    <xf numFmtId="0" fontId="20" fillId="3" borderId="0" xfId="0" applyNumberFormat="1" applyFont="1" applyFill="1" applyAlignment="1"/>
    <xf numFmtId="3" fontId="2" fillId="3" borderId="0" xfId="0" applyNumberFormat="1" applyFont="1" applyFill="1" applyAlignment="1"/>
    <xf numFmtId="3" fontId="13" fillId="3" borderId="0" xfId="0" applyNumberFormat="1" applyFont="1" applyFill="1" applyAlignment="1"/>
    <xf numFmtId="3" fontId="2" fillId="3" borderId="0" xfId="0" applyNumberFormat="1" applyFont="1" applyFill="1" applyBorder="1" applyAlignment="1"/>
    <xf numFmtId="0" fontId="21" fillId="3" borderId="0" xfId="0" applyNumberFormat="1" applyFont="1" applyFill="1" applyAlignment="1"/>
    <xf numFmtId="4" fontId="13" fillId="3" borderId="0" xfId="0" applyNumberFormat="1" applyFont="1" applyFill="1" applyAlignment="1" applyProtection="1">
      <alignment horizontal="right"/>
      <protection locked="0"/>
    </xf>
    <xf numFmtId="0" fontId="19" fillId="3" borderId="0" xfId="0" applyNumberFormat="1" applyFont="1" applyFill="1" applyAlignment="1">
      <alignment horizontal="right"/>
    </xf>
    <xf numFmtId="4" fontId="19"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 fillId="3" borderId="7" xfId="0" applyNumberFormat="1" applyFont="1" applyFill="1" applyBorder="1" applyAlignment="1"/>
    <xf numFmtId="0" fontId="1" fillId="3" borderId="8" xfId="0" applyNumberFormat="1" applyFont="1" applyFill="1" applyBorder="1" applyAlignment="1"/>
    <xf numFmtId="0" fontId="13" fillId="3" borderId="3" xfId="0" applyNumberFormat="1" applyFont="1" applyFill="1" applyBorder="1" applyAlignment="1"/>
    <xf numFmtId="0" fontId="17" fillId="3" borderId="0" xfId="0" applyNumberFormat="1" applyFont="1" applyFill="1" applyAlignment="1"/>
    <xf numFmtId="15" fontId="16" fillId="3" borderId="0" xfId="0" applyNumberFormat="1" applyFont="1" applyFill="1" applyAlignment="1">
      <alignment horizontal="centerContinuous"/>
    </xf>
    <xf numFmtId="15" fontId="16" fillId="3" borderId="0" xfId="0" applyNumberFormat="1" applyFont="1" applyFill="1" applyAlignment="1">
      <alignment horizontal="center"/>
    </xf>
    <xf numFmtId="0" fontId="13" fillId="3" borderId="4" xfId="0" applyNumberFormat="1" applyFont="1" applyFill="1" applyBorder="1" applyAlignment="1">
      <alignment horizontal="right"/>
    </xf>
    <xf numFmtId="0" fontId="13" fillId="3" borderId="0" xfId="0" applyNumberFormat="1" applyFont="1" applyFill="1" applyBorder="1" applyAlignment="1"/>
    <xf numFmtId="0" fontId="13" fillId="3" borderId="0" xfId="0" applyNumberFormat="1" applyFont="1" applyFill="1" applyBorder="1" applyAlignment="1">
      <alignment horizontal="right"/>
    </xf>
    <xf numFmtId="4" fontId="13" fillId="3" borderId="0" xfId="0" applyNumberFormat="1" applyFont="1" applyFill="1" applyBorder="1" applyAlignment="1">
      <alignment horizontal="right"/>
    </xf>
    <xf numFmtId="0" fontId="1" fillId="3" borderId="3" xfId="0" applyNumberFormat="1" applyFont="1" applyFill="1" applyBorder="1" applyAlignment="1"/>
    <xf numFmtId="0" fontId="31" fillId="3" borderId="2" xfId="0" applyNumberFormat="1" applyFont="1" applyFill="1" applyBorder="1" applyAlignment="1"/>
    <xf numFmtId="0" fontId="32" fillId="3" borderId="0" xfId="0" applyNumberFormat="1" applyFont="1" applyFill="1" applyAlignment="1"/>
    <xf numFmtId="0" fontId="33" fillId="3" borderId="0" xfId="0" applyNumberFormat="1" applyFont="1" applyFill="1" applyAlignment="1"/>
    <xf numFmtId="0" fontId="34" fillId="3" borderId="2" xfId="0" applyNumberFormat="1" applyFont="1" applyFill="1" applyBorder="1" applyAlignment="1"/>
    <xf numFmtId="0" fontId="34" fillId="3" borderId="5" xfId="0" applyNumberFormat="1" applyFont="1" applyFill="1" applyBorder="1" applyAlignment="1"/>
    <xf numFmtId="0" fontId="34" fillId="3" borderId="5" xfId="0" applyNumberFormat="1" applyFont="1" applyFill="1" applyBorder="1" applyAlignment="1">
      <alignment horizontal="center" wrapText="1"/>
    </xf>
    <xf numFmtId="0" fontId="35" fillId="3" borderId="5" xfId="0" applyNumberFormat="1" applyFont="1" applyFill="1" applyBorder="1" applyAlignment="1"/>
    <xf numFmtId="0" fontId="33" fillId="3" borderId="5" xfId="0" applyNumberFormat="1" applyFont="1" applyFill="1" applyBorder="1" applyAlignment="1"/>
    <xf numFmtId="0" fontId="34" fillId="3" borderId="5" xfId="0" applyNumberFormat="1" applyFont="1" applyFill="1" applyBorder="1" applyAlignment="1">
      <alignment horizontal="center"/>
    </xf>
    <xf numFmtId="3" fontId="34" fillId="3" borderId="5" xfId="0" applyNumberFormat="1" applyFont="1" applyFill="1" applyBorder="1" applyAlignment="1"/>
    <xf numFmtId="0" fontId="34" fillId="3" borderId="0" xfId="0" applyNumberFormat="1" applyFont="1" applyFill="1" applyAlignment="1"/>
    <xf numFmtId="15" fontId="34" fillId="3" borderId="0" xfId="0" applyNumberFormat="1" applyFont="1" applyFill="1" applyAlignment="1" applyProtection="1">
      <alignment horizontal="center"/>
      <protection locked="0"/>
    </xf>
    <xf numFmtId="15" fontId="34" fillId="3" borderId="0" xfId="0" applyNumberFormat="1" applyFont="1" applyFill="1" applyAlignment="1">
      <alignment horizontal="center"/>
    </xf>
    <xf numFmtId="0" fontId="38" fillId="3" borderId="7" xfId="0" applyNumberFormat="1" applyFont="1" applyFill="1" applyBorder="1" applyAlignment="1"/>
    <xf numFmtId="0" fontId="34" fillId="3" borderId="7" xfId="0" applyNumberFormat="1" applyFont="1" applyFill="1" applyBorder="1" applyAlignment="1"/>
    <xf numFmtId="0" fontId="34" fillId="3" borderId="7" xfId="0" applyNumberFormat="1" applyFont="1" applyFill="1" applyBorder="1" applyAlignment="1" applyProtection="1">
      <alignment horizontal="right"/>
      <protection locked="0"/>
    </xf>
    <xf numFmtId="0" fontId="34" fillId="3" borderId="8" xfId="0" applyNumberFormat="1" applyFont="1" applyFill="1" applyBorder="1" applyAlignment="1"/>
    <xf numFmtId="0" fontId="39" fillId="3" borderId="0" xfId="0" applyNumberFormat="1" applyFont="1" applyFill="1" applyAlignment="1">
      <alignment horizontal="center" wrapText="1"/>
    </xf>
    <xf numFmtId="9" fontId="33" fillId="3" borderId="0" xfId="0" applyNumberFormat="1" applyFont="1" applyFill="1" applyAlignment="1">
      <alignment horizontal="center"/>
    </xf>
    <xf numFmtId="10" fontId="33" fillId="3" borderId="0" xfId="0" applyNumberFormat="1" applyFont="1" applyFill="1" applyAlignment="1">
      <alignment horizontal="center"/>
    </xf>
    <xf numFmtId="0" fontId="33" fillId="3" borderId="0" xfId="0" applyNumberFormat="1" applyFont="1" applyFill="1" applyAlignment="1">
      <alignment horizontal="center"/>
    </xf>
    <xf numFmtId="15" fontId="33" fillId="3" borderId="0" xfId="0" applyNumberFormat="1" applyFont="1" applyFill="1" applyAlignment="1">
      <alignment horizontal="center"/>
    </xf>
    <xf numFmtId="0" fontId="34" fillId="3" borderId="0" xfId="0" applyNumberFormat="1" applyFont="1" applyFill="1" applyAlignment="1">
      <alignment horizontal="center"/>
    </xf>
    <xf numFmtId="0" fontId="35" fillId="3" borderId="0" xfId="0" applyNumberFormat="1" applyFont="1" applyFill="1" applyAlignment="1"/>
    <xf numFmtId="0" fontId="39" fillId="3" borderId="0" xfId="0" applyNumberFormat="1" applyFont="1" applyFill="1" applyAlignment="1"/>
    <xf numFmtId="0" fontId="40" fillId="4" borderId="3" xfId="0" applyNumberFormat="1" applyFont="1" applyFill="1" applyBorder="1" applyAlignment="1"/>
    <xf numFmtId="0" fontId="40" fillId="4" borderId="0" xfId="0" applyNumberFormat="1" applyFont="1" applyFill="1" applyAlignment="1"/>
    <xf numFmtId="0" fontId="41" fillId="4" borderId="0" xfId="0" applyNumberFormat="1" applyFont="1" applyFill="1" applyAlignment="1">
      <alignment horizontal="center" wrapText="1"/>
    </xf>
    <xf numFmtId="0" fontId="42" fillId="4" borderId="0" xfId="0" applyNumberFormat="1" applyFont="1" applyFill="1" applyAlignment="1">
      <alignment horizontal="center" wrapText="1"/>
    </xf>
    <xf numFmtId="0" fontId="40" fillId="4" borderId="0" xfId="0" applyNumberFormat="1" applyFont="1" applyFill="1" applyAlignment="1">
      <alignment horizontal="center" wrapText="1"/>
    </xf>
    <xf numFmtId="0" fontId="43" fillId="4" borderId="0" xfId="0" applyNumberFormat="1" applyFont="1" applyFill="1" applyAlignment="1"/>
    <xf numFmtId="0" fontId="34" fillId="3" borderId="0" xfId="0" applyNumberFormat="1" applyFont="1" applyFill="1" applyBorder="1" applyAlignment="1"/>
    <xf numFmtId="15" fontId="34" fillId="3" borderId="0" xfId="0" applyNumberFormat="1" applyFont="1" applyFill="1" applyBorder="1" applyAlignment="1" applyProtection="1">
      <alignment horizontal="center"/>
      <protection locked="0"/>
    </xf>
    <xf numFmtId="15" fontId="34" fillId="3" borderId="0" xfId="0" applyNumberFormat="1" applyFont="1" applyFill="1" applyBorder="1" applyAlignment="1">
      <alignment horizontal="center"/>
    </xf>
    <xf numFmtId="0" fontId="2" fillId="3" borderId="14" xfId="0" applyNumberFormat="1" applyFont="1" applyFill="1" applyBorder="1" applyAlignment="1"/>
    <xf numFmtId="0" fontId="34" fillId="3" borderId="15" xfId="0" applyNumberFormat="1" applyFont="1" applyFill="1" applyBorder="1" applyAlignment="1"/>
    <xf numFmtId="0" fontId="34" fillId="3" borderId="15" xfId="0" applyNumberFormat="1" applyFont="1" applyFill="1" applyBorder="1" applyAlignment="1">
      <alignment horizontal="center" wrapText="1"/>
    </xf>
    <xf numFmtId="0" fontId="35" fillId="3" borderId="15" xfId="0" applyNumberFormat="1" applyFont="1" applyFill="1" applyBorder="1" applyAlignment="1"/>
    <xf numFmtId="0" fontId="34" fillId="3" borderId="16" xfId="0" applyNumberFormat="1" applyFont="1" applyFill="1" applyBorder="1" applyAlignment="1"/>
    <xf numFmtId="0" fontId="10" fillId="3" borderId="14" xfId="0" applyNumberFormat="1" applyFont="1" applyFill="1" applyBorder="1" applyAlignment="1"/>
    <xf numFmtId="0" fontId="33" fillId="3" borderId="15" xfId="0" applyNumberFormat="1" applyFont="1" applyFill="1" applyBorder="1" applyAlignment="1"/>
    <xf numFmtId="0" fontId="36" fillId="3" borderId="15" xfId="0" applyNumberFormat="1" applyFont="1" applyFill="1" applyBorder="1" applyAlignment="1">
      <alignment horizontal="center" wrapText="1"/>
    </xf>
    <xf numFmtId="0" fontId="34" fillId="3" borderId="15" xfId="0" applyNumberFormat="1" applyFont="1" applyFill="1" applyBorder="1" applyAlignment="1">
      <alignment horizontal="center"/>
    </xf>
    <xf numFmtId="164" fontId="34" fillId="3" borderId="15" xfId="0" applyNumberFormat="1" applyFont="1" applyFill="1" applyBorder="1" applyAlignment="1"/>
    <xf numFmtId="169" fontId="34" fillId="3" borderId="15" xfId="0" applyNumberFormat="1" applyFont="1" applyFill="1" applyBorder="1" applyAlignment="1">
      <alignment horizontal="center"/>
    </xf>
    <xf numFmtId="164" fontId="34" fillId="3" borderId="15" xfId="0" applyNumberFormat="1" applyFont="1" applyFill="1" applyBorder="1" applyAlignment="1">
      <alignment horizontal="center"/>
    </xf>
    <xf numFmtId="170" fontId="34" fillId="3" borderId="15" xfId="0" applyNumberFormat="1" applyFont="1" applyFill="1" applyBorder="1" applyAlignment="1">
      <alignment horizontal="center"/>
    </xf>
    <xf numFmtId="168" fontId="34" fillId="3" borderId="15" xfId="0" applyNumberFormat="1" applyFont="1" applyFill="1" applyBorder="1" applyAlignment="1">
      <alignment horizontal="center"/>
    </xf>
    <xf numFmtId="164" fontId="35" fillId="3" borderId="15" xfId="0" applyNumberFormat="1" applyFont="1" applyFill="1" applyBorder="1" applyAlignment="1"/>
    <xf numFmtId="3" fontId="34" fillId="3" borderId="16" xfId="0" applyNumberFormat="1" applyFont="1" applyFill="1" applyBorder="1" applyAlignment="1"/>
    <xf numFmtId="164" fontId="33" fillId="3" borderId="15" xfId="0" applyNumberFormat="1" applyFont="1" applyFill="1" applyBorder="1" applyAlignment="1"/>
    <xf numFmtId="169" fontId="33" fillId="3" borderId="15" xfId="0" applyNumberFormat="1" applyFont="1" applyFill="1" applyBorder="1" applyAlignment="1">
      <alignment horizontal="center"/>
    </xf>
    <xf numFmtId="164" fontId="33" fillId="3" borderId="15" xfId="0" applyNumberFormat="1" applyFont="1" applyFill="1" applyBorder="1" applyAlignment="1">
      <alignment horizontal="center"/>
    </xf>
    <xf numFmtId="170" fontId="33" fillId="3" borderId="15" xfId="0" applyNumberFormat="1" applyFont="1" applyFill="1" applyBorder="1" applyAlignment="1">
      <alignment horizontal="center"/>
    </xf>
    <xf numFmtId="168" fontId="33" fillId="3" borderId="15" xfId="0" applyNumberFormat="1" applyFont="1" applyFill="1" applyBorder="1" applyAlignment="1">
      <alignment horizontal="center"/>
    </xf>
    <xf numFmtId="164" fontId="37" fillId="3" borderId="15" xfId="0" applyNumberFormat="1" applyFont="1" applyFill="1" applyBorder="1" applyAlignment="1"/>
    <xf numFmtId="0" fontId="19" fillId="3" borderId="15" xfId="0" applyNumberFormat="1" applyFont="1" applyFill="1" applyBorder="1" applyAlignment="1"/>
    <xf numFmtId="164" fontId="19" fillId="3" borderId="15" xfId="0" applyNumberFormat="1" applyFont="1" applyFill="1" applyBorder="1" applyAlignment="1"/>
    <xf numFmtId="173" fontId="19" fillId="3" borderId="15" xfId="0" applyNumberFormat="1" applyFont="1" applyFill="1" applyBorder="1" applyAlignment="1">
      <alignment horizontal="center"/>
    </xf>
    <xf numFmtId="164" fontId="2" fillId="3" borderId="15" xfId="0" applyNumberFormat="1" applyFont="1" applyFill="1" applyBorder="1" applyAlignment="1">
      <alignment horizontal="center"/>
    </xf>
    <xf numFmtId="164" fontId="1" fillId="3" borderId="15" xfId="0" applyNumberFormat="1" applyFont="1" applyFill="1" applyBorder="1" applyAlignment="1"/>
    <xf numFmtId="3" fontId="2" fillId="3" borderId="16" xfId="0" applyNumberFormat="1" applyFont="1" applyFill="1" applyBorder="1" applyAlignment="1"/>
    <xf numFmtId="4" fontId="19" fillId="3" borderId="15" xfId="0" applyNumberFormat="1" applyFont="1" applyFill="1" applyBorder="1" applyAlignment="1">
      <alignment horizontal="center"/>
    </xf>
    <xf numFmtId="165" fontId="34" fillId="3" borderId="15" xfId="0" applyNumberFormat="1" applyFont="1" applyFill="1" applyBorder="1" applyAlignment="1">
      <alignment horizontal="center"/>
    </xf>
    <xf numFmtId="10" fontId="34" fillId="3" borderId="15" xfId="0" applyNumberFormat="1" applyFont="1" applyFill="1" applyBorder="1" applyAlignment="1">
      <alignment horizontal="center"/>
    </xf>
    <xf numFmtId="167" fontId="34" fillId="3" borderId="15" xfId="0" applyNumberFormat="1" applyFont="1" applyFill="1" applyBorder="1" applyAlignment="1">
      <alignment horizontal="center"/>
    </xf>
    <xf numFmtId="0" fontId="34" fillId="3" borderId="15" xfId="0" applyNumberFormat="1" applyFont="1" applyFill="1" applyBorder="1" applyAlignment="1">
      <alignment horizontal="right"/>
    </xf>
    <xf numFmtId="165" fontId="34" fillId="3" borderId="15" xfId="0" applyNumberFormat="1" applyFont="1" applyFill="1" applyBorder="1" applyAlignment="1"/>
    <xf numFmtId="4" fontId="34" fillId="3" borderId="15" xfId="0" applyNumberFormat="1" applyFont="1" applyFill="1" applyBorder="1" applyAlignment="1">
      <alignment horizontal="center"/>
    </xf>
    <xf numFmtId="15" fontId="33" fillId="3" borderId="15" xfId="0" applyNumberFormat="1" applyFont="1" applyFill="1" applyBorder="1" applyAlignment="1">
      <alignment horizontal="center"/>
    </xf>
    <xf numFmtId="15" fontId="33" fillId="3" borderId="15" xfId="0" applyNumberFormat="1" applyFont="1" applyFill="1" applyBorder="1" applyAlignment="1" applyProtection="1">
      <alignment horizontal="center"/>
      <protection locked="0"/>
    </xf>
    <xf numFmtId="15" fontId="34" fillId="3" borderId="15" xfId="0" applyNumberFormat="1" applyFont="1" applyFill="1" applyBorder="1" applyAlignment="1"/>
    <xf numFmtId="15" fontId="34" fillId="3" borderId="15" xfId="0" applyNumberFormat="1" applyFont="1" applyFill="1" applyBorder="1" applyAlignment="1" applyProtection="1">
      <alignment horizontal="center"/>
      <protection locked="0"/>
    </xf>
    <xf numFmtId="15" fontId="34" fillId="3" borderId="15" xfId="0" applyNumberFormat="1" applyFont="1" applyFill="1" applyBorder="1" applyAlignment="1">
      <alignment horizontal="center"/>
    </xf>
    <xf numFmtId="3" fontId="34" fillId="3" borderId="5" xfId="0" applyNumberFormat="1" applyFont="1" applyFill="1" applyBorder="1" applyAlignment="1" applyProtection="1">
      <alignment horizontal="right"/>
      <protection locked="0"/>
    </xf>
    <xf numFmtId="0" fontId="34" fillId="3" borderId="3" xfId="0" applyNumberFormat="1" applyFont="1" applyFill="1" applyBorder="1" applyAlignment="1"/>
    <xf numFmtId="3" fontId="34" fillId="3" borderId="0" xfId="0" applyNumberFormat="1" applyFont="1" applyFill="1" applyBorder="1" applyAlignment="1"/>
    <xf numFmtId="0" fontId="34" fillId="3" borderId="6" xfId="0" applyNumberFormat="1" applyFont="1" applyFill="1" applyBorder="1" applyAlignment="1"/>
    <xf numFmtId="4" fontId="34" fillId="3" borderId="7" xfId="0" applyNumberFormat="1" applyFont="1" applyFill="1" applyBorder="1" applyAlignment="1" applyProtection="1">
      <alignment horizontal="right"/>
      <protection locked="0"/>
    </xf>
    <xf numFmtId="3" fontId="34" fillId="3" borderId="5" xfId="0" applyNumberFormat="1" applyFont="1" applyFill="1" applyBorder="1" applyAlignment="1" applyProtection="1">
      <alignment horizontal="center"/>
      <protection locked="0"/>
    </xf>
    <xf numFmtId="0" fontId="34" fillId="3" borderId="5" xfId="0" applyNumberFormat="1" applyFont="1" applyFill="1" applyBorder="1" applyAlignment="1" applyProtection="1">
      <protection locked="0"/>
    </xf>
    <xf numFmtId="3" fontId="33" fillId="3" borderId="5" xfId="0" applyNumberFormat="1" applyFont="1" applyFill="1" applyBorder="1" applyAlignment="1"/>
    <xf numFmtId="0" fontId="35" fillId="0" borderId="3" xfId="0" applyNumberFormat="1" applyFont="1" applyBorder="1"/>
    <xf numFmtId="166" fontId="34" fillId="3" borderId="5" xfId="0" applyNumberFormat="1" applyFont="1" applyFill="1" applyBorder="1" applyAlignment="1"/>
    <xf numFmtId="10" fontId="34" fillId="3" borderId="5" xfId="0" applyNumberFormat="1" applyFont="1" applyFill="1" applyBorder="1" applyAlignment="1"/>
    <xf numFmtId="9" fontId="34" fillId="3" borderId="0" xfId="0" applyNumberFormat="1" applyFont="1" applyFill="1" applyAlignment="1"/>
    <xf numFmtId="3" fontId="34" fillId="3" borderId="0" xfId="0" applyNumberFormat="1" applyFont="1" applyFill="1" applyAlignment="1" applyProtection="1">
      <alignment horizontal="right"/>
      <protection locked="0"/>
    </xf>
    <xf numFmtId="0" fontId="33" fillId="3" borderId="0" xfId="0" quotePrefix="1" applyNumberFormat="1" applyFont="1" applyFill="1" applyAlignment="1">
      <alignment horizontal="center"/>
    </xf>
    <xf numFmtId="0" fontId="37" fillId="3" borderId="0" xfId="0" applyNumberFormat="1" applyFont="1" applyFill="1" applyAlignment="1"/>
    <xf numFmtId="0" fontId="38" fillId="3" borderId="0" xfId="0" applyNumberFormat="1" applyFont="1" applyFill="1" applyAlignment="1"/>
    <xf numFmtId="0" fontId="40" fillId="4" borderId="9" xfId="0" applyNumberFormat="1" applyFont="1" applyFill="1" applyBorder="1" applyAlignment="1"/>
    <xf numFmtId="0" fontId="45" fillId="4" borderId="0" xfId="0" applyNumberFormat="1" applyFont="1" applyFill="1" applyAlignment="1"/>
    <xf numFmtId="0" fontId="45" fillId="4" borderId="0" xfId="0" applyNumberFormat="1" applyFont="1" applyFill="1" applyAlignment="1">
      <alignment horizontal="center"/>
    </xf>
    <xf numFmtId="3" fontId="45" fillId="4" borderId="0" xfId="0" applyNumberFormat="1" applyFont="1" applyFill="1" applyAlignment="1">
      <alignment horizontal="center"/>
    </xf>
    <xf numFmtId="0" fontId="40" fillId="4" borderId="11" xfId="0" applyNumberFormat="1" applyFont="1" applyFill="1" applyBorder="1" applyAlignment="1"/>
    <xf numFmtId="0" fontId="40" fillId="4" borderId="10" xfId="0" applyNumberFormat="1" applyFont="1" applyFill="1" applyBorder="1" applyAlignment="1"/>
    <xf numFmtId="0" fontId="40" fillId="4" borderId="3" xfId="0" applyNumberFormat="1" applyFont="1" applyFill="1" applyBorder="1" applyAlignment="1">
      <alignment horizontal="right"/>
    </xf>
    <xf numFmtId="0" fontId="40" fillId="4" borderId="1" xfId="0" applyNumberFormat="1" applyFont="1" applyFill="1" applyBorder="1" applyAlignment="1"/>
    <xf numFmtId="15" fontId="45" fillId="4" borderId="2" xfId="0" applyNumberFormat="1" applyFont="1" applyFill="1" applyBorder="1" applyAlignment="1">
      <alignment horizontal="centerContinuous"/>
    </xf>
    <xf numFmtId="15" fontId="45" fillId="4" borderId="2" xfId="0" applyNumberFormat="1" applyFont="1" applyFill="1" applyBorder="1" applyAlignment="1">
      <alignment horizontal="center"/>
    </xf>
    <xf numFmtId="0" fontId="40" fillId="4" borderId="2" xfId="0" applyNumberFormat="1" applyFont="1" applyFill="1" applyBorder="1" applyAlignment="1"/>
    <xf numFmtId="0" fontId="45" fillId="4" borderId="2" xfId="0" applyNumberFormat="1" applyFont="1" applyFill="1" applyBorder="1" applyAlignment="1"/>
    <xf numFmtId="4" fontId="40" fillId="4" borderId="2" xfId="0" applyNumberFormat="1" applyFont="1" applyFill="1" applyBorder="1" applyAlignment="1" applyProtection="1">
      <alignment horizontal="right"/>
      <protection locked="0"/>
    </xf>
    <xf numFmtId="3" fontId="13" fillId="3" borderId="0" xfId="0" applyNumberFormat="1" applyFont="1" applyFill="1" applyBorder="1" applyAlignment="1"/>
    <xf numFmtId="3" fontId="34" fillId="3" borderId="15" xfId="0" applyNumberFormat="1" applyFont="1" applyFill="1" applyBorder="1" applyAlignment="1"/>
    <xf numFmtId="3" fontId="34" fillId="3" borderId="15" xfId="0" applyNumberFormat="1" applyFont="1" applyFill="1" applyBorder="1" applyAlignment="1" applyProtection="1">
      <alignment horizontal="right"/>
      <protection locked="0"/>
    </xf>
    <xf numFmtId="14" fontId="34" fillId="3" borderId="15" xfId="0" applyNumberFormat="1" applyFont="1" applyFill="1" applyBorder="1" applyAlignment="1">
      <alignment horizontal="right"/>
    </xf>
    <xf numFmtId="167" fontId="34" fillId="3" borderId="15" xfId="0" applyNumberFormat="1" applyFont="1" applyFill="1" applyBorder="1" applyAlignment="1">
      <alignment horizontal="right"/>
    </xf>
    <xf numFmtId="0" fontId="21" fillId="3" borderId="15" xfId="0" applyNumberFormat="1" applyFont="1" applyFill="1" applyBorder="1" applyAlignment="1"/>
    <xf numFmtId="0" fontId="2" fillId="3" borderId="15" xfId="0" applyNumberFormat="1" applyFont="1" applyFill="1" applyBorder="1" applyAlignment="1"/>
    <xf numFmtId="3" fontId="2" fillId="3" borderId="15" xfId="0" applyNumberFormat="1" applyFont="1" applyFill="1" applyBorder="1" applyAlignment="1"/>
    <xf numFmtId="3" fontId="13" fillId="3" borderId="15" xfId="0" applyNumberFormat="1" applyFont="1" applyFill="1" applyBorder="1" applyAlignment="1" applyProtection="1">
      <alignment horizontal="right"/>
      <protection locked="0"/>
    </xf>
    <xf numFmtId="0" fontId="2" fillId="3" borderId="16" xfId="0" applyNumberFormat="1" applyFont="1" applyFill="1" applyBorder="1" applyAlignment="1"/>
    <xf numFmtId="0" fontId="34" fillId="3" borderId="14" xfId="0" applyNumberFormat="1" applyFont="1" applyFill="1" applyBorder="1" applyAlignment="1"/>
    <xf numFmtId="4" fontId="13" fillId="3" borderId="15" xfId="0" applyNumberFormat="1" applyFont="1" applyFill="1" applyBorder="1" applyAlignment="1" applyProtection="1">
      <alignment horizontal="right"/>
      <protection locked="0"/>
    </xf>
    <xf numFmtId="4" fontId="2" fillId="3" borderId="0" xfId="0" applyNumberFormat="1" applyFont="1" applyFill="1" applyBorder="1" applyAlignment="1" applyProtection="1">
      <alignment horizontal="right"/>
      <protection locked="0"/>
    </xf>
    <xf numFmtId="4" fontId="34" fillId="3" borderId="15" xfId="0" applyNumberFormat="1" applyFont="1" applyFill="1" applyBorder="1" applyAlignment="1" applyProtection="1">
      <alignment horizontal="right"/>
      <protection locked="0"/>
    </xf>
    <xf numFmtId="2" fontId="34" fillId="3" borderId="15" xfId="0" applyNumberFormat="1" applyFont="1" applyFill="1" applyBorder="1" applyAlignment="1" applyProtection="1">
      <alignment horizontal="right"/>
      <protection locked="0"/>
    </xf>
    <xf numFmtId="0" fontId="2" fillId="3" borderId="0" xfId="0" applyNumberFormat="1" applyFont="1" applyFill="1" applyBorder="1" applyAlignment="1" applyProtection="1">
      <protection locked="0"/>
    </xf>
    <xf numFmtId="0" fontId="13" fillId="3" borderId="14" xfId="0" applyNumberFormat="1" applyFont="1" applyFill="1" applyBorder="1" applyAlignment="1"/>
    <xf numFmtId="15" fontId="33" fillId="3" borderId="15" xfId="0" applyNumberFormat="1" applyFont="1" applyFill="1" applyBorder="1" applyAlignment="1">
      <alignment horizontal="centerContinuous"/>
    </xf>
    <xf numFmtId="17" fontId="34" fillId="3" borderId="15" xfId="0" applyNumberFormat="1" applyFont="1" applyFill="1" applyBorder="1" applyAlignment="1">
      <alignment horizontal="center"/>
    </xf>
    <xf numFmtId="0" fontId="13" fillId="3" borderId="3" xfId="0" applyNumberFormat="1" applyFont="1" applyFill="1" applyBorder="1" applyAlignment="1">
      <alignment horizontal="right"/>
    </xf>
    <xf numFmtId="10" fontId="13" fillId="3" borderId="0" xfId="0" applyNumberFormat="1" applyFont="1" applyFill="1" applyBorder="1" applyAlignment="1" applyProtection="1">
      <alignment horizontal="center"/>
      <protection locked="0"/>
    </xf>
    <xf numFmtId="0" fontId="16" fillId="3" borderId="0" xfId="0" applyNumberFormat="1" applyFont="1" applyFill="1" applyBorder="1" applyAlignment="1"/>
    <xf numFmtId="0" fontId="13" fillId="3" borderId="14" xfId="0" applyNumberFormat="1" applyFont="1" applyFill="1" applyBorder="1" applyAlignment="1">
      <alignment horizontal="right"/>
    </xf>
    <xf numFmtId="3" fontId="34" fillId="3" borderId="15" xfId="0" applyNumberFormat="1" applyFont="1" applyFill="1" applyBorder="1" applyAlignment="1">
      <alignment horizontal="center"/>
    </xf>
    <xf numFmtId="3" fontId="34" fillId="3" borderId="15" xfId="0" applyNumberFormat="1" applyFont="1" applyFill="1" applyBorder="1" applyAlignment="1" applyProtection="1">
      <alignment horizontal="center"/>
      <protection locked="0"/>
    </xf>
    <xf numFmtId="0" fontId="34" fillId="3" borderId="15" xfId="0" applyNumberFormat="1" applyFont="1" applyFill="1" applyBorder="1" applyAlignment="1" applyProtection="1">
      <protection locked="0"/>
    </xf>
    <xf numFmtId="3" fontId="33" fillId="3" borderId="16" xfId="0" applyNumberFormat="1" applyFont="1" applyFill="1" applyBorder="1" applyAlignment="1"/>
    <xf numFmtId="3" fontId="13" fillId="3" borderId="15" xfId="0" applyNumberFormat="1" applyFont="1" applyFill="1" applyBorder="1" applyAlignment="1"/>
    <xf numFmtId="3" fontId="13" fillId="3" borderId="15" xfId="0" applyNumberFormat="1" applyFont="1" applyFill="1" applyBorder="1" applyAlignment="1" applyProtection="1">
      <alignment horizontal="center"/>
      <protection locked="0"/>
    </xf>
    <xf numFmtId="0" fontId="2" fillId="3" borderId="15" xfId="0" applyNumberFormat="1" applyFont="1" applyFill="1" applyBorder="1" applyAlignment="1" applyProtection="1">
      <protection locked="0"/>
    </xf>
    <xf numFmtId="3" fontId="16" fillId="3" borderId="16" xfId="0" applyNumberFormat="1" applyFont="1" applyFill="1" applyBorder="1" applyAlignment="1"/>
    <xf numFmtId="0" fontId="13" fillId="3" borderId="14" xfId="0" applyNumberFormat="1" applyFont="1" applyFill="1" applyBorder="1" applyAlignment="1">
      <alignment horizontal="center"/>
    </xf>
    <xf numFmtId="0" fontId="13" fillId="3" borderId="15" xfId="0" applyNumberFormat="1" applyFont="1" applyFill="1" applyBorder="1" applyAlignment="1"/>
    <xf numFmtId="0" fontId="11" fillId="3" borderId="15" xfId="0" applyNumberFormat="1" applyFont="1" applyFill="1" applyBorder="1" applyAlignment="1"/>
    <xf numFmtId="0" fontId="16" fillId="3" borderId="16" xfId="0" applyNumberFormat="1" applyFont="1" applyFill="1" applyBorder="1" applyAlignment="1"/>
    <xf numFmtId="0" fontId="44" fillId="3" borderId="15" xfId="0" applyNumberFormat="1" applyFont="1" applyFill="1" applyBorder="1" applyAlignment="1"/>
    <xf numFmtId="3" fontId="44" fillId="3" borderId="15" xfId="0" applyNumberFormat="1" applyFont="1" applyFill="1" applyBorder="1" applyAlignment="1" applyProtection="1">
      <alignment horizontal="center"/>
      <protection locked="0"/>
    </xf>
    <xf numFmtId="0" fontId="44" fillId="3" borderId="15" xfId="0" applyNumberFormat="1" applyFont="1" applyFill="1" applyBorder="1" applyAlignment="1" applyProtection="1">
      <protection locked="0"/>
    </xf>
    <xf numFmtId="3" fontId="44" fillId="3" borderId="15" xfId="0" applyNumberFormat="1" applyFont="1" applyFill="1" applyBorder="1" applyAlignment="1"/>
    <xf numFmtId="4" fontId="34" fillId="3" borderId="15" xfId="0" applyNumberFormat="1" applyFont="1" applyFill="1" applyBorder="1" applyAlignment="1">
      <alignment horizontal="right"/>
    </xf>
    <xf numFmtId="4" fontId="34" fillId="3" borderId="15" xfId="0" applyNumberFormat="1" applyFont="1" applyFill="1" applyBorder="1" applyAlignment="1" applyProtection="1">
      <alignment horizontal="center"/>
      <protection locked="0"/>
    </xf>
    <xf numFmtId="0" fontId="13" fillId="3" borderId="15" xfId="0" applyNumberFormat="1" applyFont="1" applyFill="1" applyBorder="1" applyAlignment="1">
      <alignment horizontal="right"/>
    </xf>
    <xf numFmtId="4" fontId="13" fillId="3" borderId="15" xfId="0" applyNumberFormat="1" applyFont="1" applyFill="1" applyBorder="1" applyAlignment="1">
      <alignment horizontal="right"/>
    </xf>
    <xf numFmtId="10" fontId="2" fillId="3" borderId="15" xfId="0" applyNumberFormat="1" applyFont="1" applyFill="1" applyBorder="1" applyAlignment="1" applyProtection="1">
      <alignment horizontal="center"/>
      <protection locked="0"/>
    </xf>
    <xf numFmtId="0" fontId="33" fillId="3" borderId="16" xfId="0" applyNumberFormat="1" applyFont="1" applyFill="1" applyBorder="1" applyAlignment="1"/>
    <xf numFmtId="10" fontId="13" fillId="3" borderId="15" xfId="0" applyNumberFormat="1" applyFont="1" applyFill="1" applyBorder="1" applyAlignment="1" applyProtection="1">
      <alignment horizontal="center"/>
      <protection locked="0"/>
    </xf>
    <xf numFmtId="0" fontId="27" fillId="3" borderId="15" xfId="0" applyNumberFormat="1" applyFont="1" applyFill="1" applyBorder="1" applyAlignment="1"/>
    <xf numFmtId="0" fontId="29" fillId="3" borderId="15" xfId="1" applyNumberFormat="1" applyFont="1" applyFill="1" applyBorder="1" applyAlignment="1" applyProtection="1"/>
    <xf numFmtId="0" fontId="30" fillId="3" borderId="15" xfId="1" applyNumberFormat="1" applyFont="1" applyFill="1" applyBorder="1" applyAlignment="1" applyProtection="1"/>
    <xf numFmtId="9" fontId="34" fillId="3" borderId="0" xfId="0" applyNumberFormat="1" applyFont="1" applyFill="1" applyBorder="1" applyAlignment="1"/>
    <xf numFmtId="10" fontId="34" fillId="3" borderId="0" xfId="0" applyNumberFormat="1" applyFont="1" applyFill="1" applyBorder="1" applyAlignment="1"/>
    <xf numFmtId="3" fontId="34" fillId="3" borderId="0" xfId="0" applyNumberFormat="1" applyFont="1" applyFill="1" applyBorder="1" applyAlignment="1" applyProtection="1">
      <alignment horizontal="right"/>
      <protection locked="0"/>
    </xf>
    <xf numFmtId="166" fontId="34" fillId="3" borderId="15" xfId="0" applyNumberFormat="1" applyFont="1" applyFill="1" applyBorder="1" applyAlignment="1"/>
    <xf numFmtId="10" fontId="34" fillId="3" borderId="15" xfId="0" applyNumberFormat="1" applyFont="1" applyFill="1" applyBorder="1" applyAlignment="1"/>
    <xf numFmtId="9" fontId="34" fillId="3" borderId="15" xfId="0" applyNumberFormat="1" applyFont="1" applyFill="1" applyBorder="1" applyAlignment="1"/>
    <xf numFmtId="0" fontId="36" fillId="3" borderId="15" xfId="0" applyNumberFormat="1" applyFont="1" applyFill="1" applyBorder="1" applyAlignment="1"/>
    <xf numFmtId="3" fontId="36" fillId="3" borderId="15" xfId="0" applyNumberFormat="1" applyFont="1" applyFill="1" applyBorder="1" applyAlignment="1"/>
    <xf numFmtId="3" fontId="33" fillId="3" borderId="15" xfId="0" applyNumberFormat="1" applyFont="1" applyFill="1" applyBorder="1" applyAlignment="1" applyProtection="1">
      <alignment horizontal="right"/>
      <protection locked="0"/>
    </xf>
    <xf numFmtId="0" fontId="45" fillId="4" borderId="0" xfId="0" applyNumberFormat="1" applyFont="1" applyFill="1" applyAlignment="1">
      <alignment horizontal="right"/>
    </xf>
    <xf numFmtId="172" fontId="45" fillId="4" borderId="0" xfId="0" applyNumberFormat="1" applyFont="1" applyFill="1" applyAlignment="1">
      <alignment horizontal="right"/>
    </xf>
    <xf numFmtId="0" fontId="46" fillId="4" borderId="3" xfId="0" applyNumberFormat="1" applyFont="1" applyFill="1" applyBorder="1" applyAlignment="1"/>
    <xf numFmtId="0" fontId="46" fillId="4" borderId="0" xfId="0" applyNumberFormat="1" applyFont="1" applyFill="1" applyAlignment="1"/>
    <xf numFmtId="4" fontId="46" fillId="4" borderId="0" xfId="0" applyNumberFormat="1" applyFont="1" applyFill="1" applyAlignment="1" applyProtection="1">
      <alignment horizontal="right"/>
      <protection locked="0"/>
    </xf>
    <xf numFmtId="0" fontId="33" fillId="3" borderId="15" xfId="0" applyNumberFormat="1" applyFont="1" applyFill="1" applyBorder="1" applyAlignment="1">
      <alignment horizontal="center" wrapText="1"/>
    </xf>
    <xf numFmtId="0" fontId="41" fillId="4" borderId="0" xfId="0" applyNumberFormat="1" applyFont="1" applyFill="1" applyAlignment="1"/>
    <xf numFmtId="0" fontId="41" fillId="4" borderId="0" xfId="0" applyNumberFormat="1" applyFont="1" applyFill="1" applyAlignment="1">
      <alignment horizontal="right"/>
    </xf>
    <xf numFmtId="0" fontId="41" fillId="4" borderId="0" xfId="0" applyNumberFormat="1" applyFont="1" applyFill="1" applyAlignment="1">
      <alignment horizontal="center"/>
    </xf>
    <xf numFmtId="172" fontId="41" fillId="4" borderId="0" xfId="0" applyNumberFormat="1" applyFont="1" applyFill="1" applyAlignment="1">
      <alignment horizontal="right"/>
    </xf>
    <xf numFmtId="0" fontId="41" fillId="4" borderId="2" xfId="0" applyNumberFormat="1" applyFont="1" applyFill="1" applyBorder="1" applyAlignment="1"/>
    <xf numFmtId="15" fontId="41" fillId="4" borderId="2" xfId="0" applyNumberFormat="1" applyFont="1" applyFill="1" applyBorder="1" applyAlignment="1">
      <alignment horizontal="centerContinuous"/>
    </xf>
    <xf numFmtId="15" fontId="41" fillId="4" borderId="2" xfId="0" applyNumberFormat="1" applyFont="1" applyFill="1" applyBorder="1" applyAlignment="1">
      <alignment horizontal="center"/>
    </xf>
    <xf numFmtId="3" fontId="41" fillId="4" borderId="0" xfId="0" applyNumberFormat="1" applyFont="1" applyFill="1" applyAlignment="1">
      <alignment horizontal="center"/>
    </xf>
    <xf numFmtId="3" fontId="33" fillId="3" borderId="15" xfId="0" applyNumberFormat="1" applyFont="1" applyFill="1" applyBorder="1" applyAlignment="1"/>
    <xf numFmtId="0" fontId="34" fillId="3" borderId="17" xfId="0" applyNumberFormat="1" applyFont="1" applyFill="1" applyBorder="1" applyAlignment="1"/>
    <xf numFmtId="0" fontId="2" fillId="2" borderId="18" xfId="0" applyNumberFormat="1" applyFont="1" applyFill="1" applyBorder="1" applyAlignment="1"/>
    <xf numFmtId="0" fontId="2" fillId="3" borderId="19" xfId="0" applyNumberFormat="1" applyFont="1" applyFill="1" applyBorder="1" applyAlignment="1"/>
    <xf numFmtId="0" fontId="2" fillId="3" borderId="12" xfId="0" applyNumberFormat="1" applyFont="1" applyFill="1" applyBorder="1" applyAlignment="1"/>
    <xf numFmtId="0" fontId="11" fillId="3" borderId="19" xfId="0" applyNumberFormat="1" applyFont="1" applyFill="1" applyBorder="1" applyAlignment="1"/>
    <xf numFmtId="0" fontId="40" fillId="4" borderId="19" xfId="0" applyNumberFormat="1" applyFont="1" applyFill="1" applyBorder="1" applyAlignment="1"/>
    <xf numFmtId="0" fontId="34" fillId="3" borderId="20" xfId="0" applyNumberFormat="1" applyFont="1" applyFill="1" applyBorder="1" applyAlignment="1"/>
    <xf numFmtId="0" fontId="34" fillId="3" borderId="19" xfId="0" applyNumberFormat="1" applyFont="1" applyFill="1" applyBorder="1" applyAlignment="1"/>
    <xf numFmtId="0" fontId="46" fillId="4" borderId="19" xfId="0" applyNumberFormat="1" applyFont="1" applyFill="1" applyBorder="1" applyAlignment="1"/>
    <xf numFmtId="0" fontId="20" fillId="3" borderId="19" xfId="0" applyNumberFormat="1" applyFont="1" applyFill="1" applyBorder="1" applyAlignment="1"/>
    <xf numFmtId="0" fontId="40" fillId="4" borderId="12" xfId="0" applyNumberFormat="1" applyFont="1" applyFill="1" applyBorder="1" applyAlignment="1"/>
    <xf numFmtId="0" fontId="6" fillId="3" borderId="19" xfId="0" applyNumberFormat="1" applyFont="1" applyFill="1" applyBorder="1" applyAlignment="1"/>
    <xf numFmtId="3" fontId="33" fillId="3" borderId="20" xfId="0" applyNumberFormat="1" applyFont="1" applyFill="1" applyBorder="1" applyAlignment="1"/>
    <xf numFmtId="0" fontId="16" fillId="3" borderId="19" xfId="0" applyNumberFormat="1" applyFont="1" applyFill="1" applyBorder="1" applyAlignment="1"/>
    <xf numFmtId="0" fontId="41" fillId="4" borderId="19" xfId="0" applyNumberFormat="1" applyFont="1" applyFill="1" applyBorder="1" applyAlignment="1"/>
    <xf numFmtId="0" fontId="33" fillId="3" borderId="20" xfId="0" applyNumberFormat="1" applyFont="1" applyFill="1" applyBorder="1" applyAlignment="1"/>
    <xf numFmtId="0" fontId="35" fillId="3" borderId="19" xfId="0" applyNumberFormat="1" applyFont="1" applyFill="1" applyBorder="1" applyAlignment="1"/>
    <xf numFmtId="0" fontId="35" fillId="3" borderId="8" xfId="0" applyNumberFormat="1" applyFont="1" applyFill="1" applyBorder="1" applyAlignment="1"/>
    <xf numFmtId="4" fontId="47" fillId="3" borderId="15" xfId="0" applyNumberFormat="1" applyFont="1" applyFill="1" applyBorder="1" applyAlignment="1" applyProtection="1">
      <alignment horizontal="center"/>
      <protection locked="0"/>
    </xf>
    <xf numFmtId="0" fontId="47" fillId="3" borderId="15" xfId="0" applyNumberFormat="1" applyFont="1" applyFill="1" applyBorder="1" applyAlignment="1">
      <alignment horizontal="center"/>
    </xf>
    <xf numFmtId="3" fontId="47" fillId="3" borderId="15" xfId="0" applyNumberFormat="1" applyFont="1" applyFill="1" applyBorder="1" applyAlignment="1" applyProtection="1">
      <alignment horizontal="center"/>
      <protection locked="0"/>
    </xf>
    <xf numFmtId="0" fontId="47" fillId="3" borderId="15" xfId="0" applyNumberFormat="1" applyFont="1" applyFill="1" applyBorder="1" applyAlignment="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99"/>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Symbol.gif" TargetMode="External"/><Relationship Id="rId1" Type="http://schemas.openxmlformats.org/officeDocument/2006/relationships/image" Target="../media/image1.bin"/><Relationship Id="rId5" Type="http://schemas.openxmlformats.org/officeDocument/2006/relationships/image" Target="../media/image6.png"/><Relationship Id="rId4" Type="http://schemas.openxmlformats.org/officeDocument/2006/relationships/image" Target="file:///C:\WINDOWS\TEMP\~0003946.gif"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6.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2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file:///C:\WINDOWS\TEMP\Symbol.gif" TargetMode="External"/><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38.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3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45.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46.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47.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48.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4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50.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51.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5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5.png"/><Relationship Id="rId5" Type="http://schemas.openxmlformats.org/officeDocument/2006/relationships/image" Target="file:///C:\WINDOWS\TEMP\~0003946.gif" TargetMode="External"/><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6.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8.png"/><Relationship Id="rId5" Type="http://schemas.openxmlformats.org/officeDocument/2006/relationships/image" Target="file:///C:\WINDOWS\TEMP\~0003946.gif" TargetMode="External"/><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0703" name="Picture 1" descr="C:\WINDOWS\TEMP\Symbol.gif">
          <a:extLst>
            <a:ext uri="{FF2B5EF4-FFF2-40B4-BE49-F238E27FC236}">
              <a16:creationId xmlns:a16="http://schemas.microsoft.com/office/drawing/2014/main" id="{00000000-0008-0000-0000-00002F14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124</xdr:row>
      <xdr:rowOff>161925</xdr:rowOff>
    </xdr:from>
    <xdr:to>
      <xdr:col>1</xdr:col>
      <xdr:colOff>28575</xdr:colOff>
      <xdr:row>125</xdr:row>
      <xdr:rowOff>200025</xdr:rowOff>
    </xdr:to>
    <xdr:pic>
      <xdr:nvPicPr>
        <xdr:cNvPr id="70704" name="Picture 2" descr="C:\WINDOWS\TEMP\Symbol.gif">
          <a:extLst>
            <a:ext uri="{FF2B5EF4-FFF2-40B4-BE49-F238E27FC236}">
              <a16:creationId xmlns:a16="http://schemas.microsoft.com/office/drawing/2014/main" id="{00000000-0008-0000-0000-00003014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54793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174</xdr:row>
      <xdr:rowOff>171450</xdr:rowOff>
    </xdr:from>
    <xdr:to>
      <xdr:col>1</xdr:col>
      <xdr:colOff>47625</xdr:colOff>
      <xdr:row>175</xdr:row>
      <xdr:rowOff>209550</xdr:rowOff>
    </xdr:to>
    <xdr:pic>
      <xdr:nvPicPr>
        <xdr:cNvPr id="70705" name="Picture 3" descr="C:\WINDOWS\TEMP\Symbol.gif">
          <a:extLst>
            <a:ext uri="{FF2B5EF4-FFF2-40B4-BE49-F238E27FC236}">
              <a16:creationId xmlns:a16="http://schemas.microsoft.com/office/drawing/2014/main" id="{00000000-0008-0000-0000-00003114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556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223</xdr:row>
      <xdr:rowOff>161925</xdr:rowOff>
    </xdr:from>
    <xdr:to>
      <xdr:col>1</xdr:col>
      <xdr:colOff>19050</xdr:colOff>
      <xdr:row>224</xdr:row>
      <xdr:rowOff>200025</xdr:rowOff>
    </xdr:to>
    <xdr:pic>
      <xdr:nvPicPr>
        <xdr:cNvPr id="70706" name="Picture 4" descr="C:\WINDOWS\TEMP\Symbol.gif">
          <a:extLst>
            <a:ext uri="{FF2B5EF4-FFF2-40B4-BE49-F238E27FC236}">
              <a16:creationId xmlns:a16="http://schemas.microsoft.com/office/drawing/2014/main" id="{00000000-0008-0000-0000-00003214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454056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1095375</xdr:colOff>
      <xdr:row>223</xdr:row>
      <xdr:rowOff>123825</xdr:rowOff>
    </xdr:from>
    <xdr:to>
      <xdr:col>16</xdr:col>
      <xdr:colOff>1895475</xdr:colOff>
      <xdr:row>224</xdr:row>
      <xdr:rowOff>152400</xdr:rowOff>
    </xdr:to>
    <xdr:pic>
      <xdr:nvPicPr>
        <xdr:cNvPr id="70707" name="Picture 5" descr="C:\WINDOWS\TEMP\~0003946.gif">
          <a:extLst>
            <a:ext uri="{FF2B5EF4-FFF2-40B4-BE49-F238E27FC236}">
              <a16:creationId xmlns:a16="http://schemas.microsoft.com/office/drawing/2014/main" id="{00000000-0008-0000-0000-00003314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9316700" y="45367575"/>
          <a:ext cx="1333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1123950</xdr:colOff>
      <xdr:row>174</xdr:row>
      <xdr:rowOff>152400</xdr:rowOff>
    </xdr:from>
    <xdr:to>
      <xdr:col>16</xdr:col>
      <xdr:colOff>1924050</xdr:colOff>
      <xdr:row>175</xdr:row>
      <xdr:rowOff>180975</xdr:rowOff>
    </xdr:to>
    <xdr:pic>
      <xdr:nvPicPr>
        <xdr:cNvPr id="70708" name="Picture 6" descr="C:\WINDOWS\TEMP\~0003946.gif">
          <a:extLst>
            <a:ext uri="{FF2B5EF4-FFF2-40B4-BE49-F238E27FC236}">
              <a16:creationId xmlns:a16="http://schemas.microsoft.com/office/drawing/2014/main" id="{00000000-0008-0000-0000-00003414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19345275" y="3554730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1152525</xdr:colOff>
      <xdr:row>124</xdr:row>
      <xdr:rowOff>161925</xdr:rowOff>
    </xdr:from>
    <xdr:to>
      <xdr:col>16</xdr:col>
      <xdr:colOff>1952625</xdr:colOff>
      <xdr:row>125</xdr:row>
      <xdr:rowOff>190500</xdr:rowOff>
    </xdr:to>
    <xdr:pic>
      <xdr:nvPicPr>
        <xdr:cNvPr id="70709" name="Picture 7" descr="C:\WINDOWS\TEMP\~0003946.gif">
          <a:extLst>
            <a:ext uri="{FF2B5EF4-FFF2-40B4-BE49-F238E27FC236}">
              <a16:creationId xmlns:a16="http://schemas.microsoft.com/office/drawing/2014/main" id="{00000000-0008-0000-0000-000035140100}"/>
            </a:ext>
          </a:extLst>
        </xdr:cNvPr>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19373850" y="2547937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1152525</xdr:colOff>
      <xdr:row>62</xdr:row>
      <xdr:rowOff>161925</xdr:rowOff>
    </xdr:from>
    <xdr:to>
      <xdr:col>16</xdr:col>
      <xdr:colOff>1952625</xdr:colOff>
      <xdr:row>63</xdr:row>
      <xdr:rowOff>190500</xdr:rowOff>
    </xdr:to>
    <xdr:pic>
      <xdr:nvPicPr>
        <xdr:cNvPr id="70710" name="Picture 8" descr="C:\WINDOWS\TEMP\~0003946.gif">
          <a:extLst>
            <a:ext uri="{FF2B5EF4-FFF2-40B4-BE49-F238E27FC236}">
              <a16:creationId xmlns:a16="http://schemas.microsoft.com/office/drawing/2014/main" id="{00000000-0008-0000-0000-000036140100}"/>
            </a:ext>
          </a:extLst>
        </xdr:cNvPr>
        <xdr:cNvPicPr>
          <a:picLocks noChangeAspect="1" noChangeArrowheads="1"/>
        </xdr:cNvPicPr>
      </xdr:nvPicPr>
      <xdr:blipFill>
        <a:blip xmlns:r="http://schemas.openxmlformats.org/officeDocument/2006/relationships" r:embed="rId6" r:link="rId4" cstate="print">
          <a:extLst>
            <a:ext uri="{28A0092B-C50C-407E-A947-70E740481C1C}">
              <a14:useLocalDpi xmlns:a14="http://schemas.microsoft.com/office/drawing/2010/main" val="0"/>
            </a:ext>
          </a:extLst>
        </a:blip>
        <a:srcRect/>
        <a:stretch>
          <a:fillRect/>
        </a:stretch>
      </xdr:blipFill>
      <xdr:spPr bwMode="auto">
        <a:xfrm>
          <a:off x="19373850" y="12630150"/>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62</xdr:row>
      <xdr:rowOff>123825</xdr:rowOff>
    </xdr:from>
    <xdr:to>
      <xdr:col>16</xdr:col>
      <xdr:colOff>885825</xdr:colOff>
      <xdr:row>63</xdr:row>
      <xdr:rowOff>152400</xdr:rowOff>
    </xdr:to>
    <xdr:pic>
      <xdr:nvPicPr>
        <xdr:cNvPr id="70711" name="Picture 28" descr="C:\WINDOWS\TEMP\~0003946.gif">
          <a:extLst>
            <a:ext uri="{FF2B5EF4-FFF2-40B4-BE49-F238E27FC236}">
              <a16:creationId xmlns:a16="http://schemas.microsoft.com/office/drawing/2014/main" id="{00000000-0008-0000-0000-000037140100}"/>
            </a:ext>
          </a:extLst>
        </xdr:cNvPr>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18307050" y="12592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124</xdr:row>
      <xdr:rowOff>123825</xdr:rowOff>
    </xdr:from>
    <xdr:to>
      <xdr:col>16</xdr:col>
      <xdr:colOff>895350</xdr:colOff>
      <xdr:row>125</xdr:row>
      <xdr:rowOff>152400</xdr:rowOff>
    </xdr:to>
    <xdr:pic>
      <xdr:nvPicPr>
        <xdr:cNvPr id="70712" name="Picture 29" descr="C:\WINDOWS\TEMP\~0003946.gif">
          <a:extLst>
            <a:ext uri="{FF2B5EF4-FFF2-40B4-BE49-F238E27FC236}">
              <a16:creationId xmlns:a16="http://schemas.microsoft.com/office/drawing/2014/main" id="{00000000-0008-0000-0000-000038140100}"/>
            </a:ext>
          </a:extLst>
        </xdr:cNvPr>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18316575" y="25441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174</xdr:row>
      <xdr:rowOff>104775</xdr:rowOff>
    </xdr:from>
    <xdr:to>
      <xdr:col>16</xdr:col>
      <xdr:colOff>809625</xdr:colOff>
      <xdr:row>175</xdr:row>
      <xdr:rowOff>133350</xdr:rowOff>
    </xdr:to>
    <xdr:pic>
      <xdr:nvPicPr>
        <xdr:cNvPr id="70713" name="Picture 30" descr="C:\WINDOWS\TEMP\~0003946.gif">
          <a:extLst>
            <a:ext uri="{FF2B5EF4-FFF2-40B4-BE49-F238E27FC236}">
              <a16:creationId xmlns:a16="http://schemas.microsoft.com/office/drawing/2014/main" id="{00000000-0008-0000-0000-000039140100}"/>
            </a:ext>
          </a:extLst>
        </xdr:cNvPr>
        <xdr:cNvPicPr>
          <a:picLocks noChangeAspect="1" noChangeArrowheads="1"/>
        </xdr:cNvPicPr>
      </xdr:nvPicPr>
      <xdr:blipFill>
        <a:blip xmlns:r="http://schemas.openxmlformats.org/officeDocument/2006/relationships" r:embed="rId7" r:link="rId4" cstate="print">
          <a:extLst>
            <a:ext uri="{28A0092B-C50C-407E-A947-70E740481C1C}">
              <a14:useLocalDpi xmlns:a14="http://schemas.microsoft.com/office/drawing/2010/main" val="0"/>
            </a:ext>
          </a:extLst>
        </a:blip>
        <a:srcRect/>
        <a:stretch>
          <a:fillRect/>
        </a:stretch>
      </xdr:blipFill>
      <xdr:spPr bwMode="auto">
        <a:xfrm>
          <a:off x="18230850" y="3549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223</xdr:row>
      <xdr:rowOff>104775</xdr:rowOff>
    </xdr:from>
    <xdr:to>
      <xdr:col>16</xdr:col>
      <xdr:colOff>895350</xdr:colOff>
      <xdr:row>224</xdr:row>
      <xdr:rowOff>133350</xdr:rowOff>
    </xdr:to>
    <xdr:pic>
      <xdr:nvPicPr>
        <xdr:cNvPr id="70714" name="Picture 31" descr="C:\WINDOWS\TEMP\~0003946.gif">
          <a:extLst>
            <a:ext uri="{FF2B5EF4-FFF2-40B4-BE49-F238E27FC236}">
              <a16:creationId xmlns:a16="http://schemas.microsoft.com/office/drawing/2014/main" id="{00000000-0008-0000-0000-00003A1401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18316575" y="45348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62</xdr:row>
      <xdr:rowOff>38100</xdr:rowOff>
    </xdr:from>
    <xdr:to>
      <xdr:col>15</xdr:col>
      <xdr:colOff>1247775</xdr:colOff>
      <xdr:row>63</xdr:row>
      <xdr:rowOff>161925</xdr:rowOff>
    </xdr:to>
    <xdr:pic>
      <xdr:nvPicPr>
        <xdr:cNvPr id="70715" name="Picture 43" descr="logoMTL">
          <a:extLst>
            <a:ext uri="{FF2B5EF4-FFF2-40B4-BE49-F238E27FC236}">
              <a16:creationId xmlns:a16="http://schemas.microsoft.com/office/drawing/2014/main" id="{00000000-0008-0000-0000-00003B1401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411700" y="12506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124</xdr:row>
      <xdr:rowOff>38100</xdr:rowOff>
    </xdr:from>
    <xdr:to>
      <xdr:col>15</xdr:col>
      <xdr:colOff>1171575</xdr:colOff>
      <xdr:row>125</xdr:row>
      <xdr:rowOff>161925</xdr:rowOff>
    </xdr:to>
    <xdr:pic>
      <xdr:nvPicPr>
        <xdr:cNvPr id="70716" name="Picture 44" descr="logoMTL">
          <a:extLst>
            <a:ext uri="{FF2B5EF4-FFF2-40B4-BE49-F238E27FC236}">
              <a16:creationId xmlns:a16="http://schemas.microsoft.com/office/drawing/2014/main" id="{00000000-0008-0000-0000-00003C14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335500" y="253555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174</xdr:row>
      <xdr:rowOff>28575</xdr:rowOff>
    </xdr:from>
    <xdr:to>
      <xdr:col>15</xdr:col>
      <xdr:colOff>1171575</xdr:colOff>
      <xdr:row>175</xdr:row>
      <xdr:rowOff>152400</xdr:rowOff>
    </xdr:to>
    <xdr:pic>
      <xdr:nvPicPr>
        <xdr:cNvPr id="70717" name="Picture 45" descr="logoMTL">
          <a:extLst>
            <a:ext uri="{FF2B5EF4-FFF2-40B4-BE49-F238E27FC236}">
              <a16:creationId xmlns:a16="http://schemas.microsoft.com/office/drawing/2014/main" id="{00000000-0008-0000-0000-00003D14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335500" y="354234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223</xdr:row>
      <xdr:rowOff>0</xdr:rowOff>
    </xdr:from>
    <xdr:to>
      <xdr:col>15</xdr:col>
      <xdr:colOff>1219200</xdr:colOff>
      <xdr:row>224</xdr:row>
      <xdr:rowOff>123825</xdr:rowOff>
    </xdr:to>
    <xdr:pic>
      <xdr:nvPicPr>
        <xdr:cNvPr id="70718" name="Picture 46" descr="logoMTL">
          <a:extLst>
            <a:ext uri="{FF2B5EF4-FFF2-40B4-BE49-F238E27FC236}">
              <a16:creationId xmlns:a16="http://schemas.microsoft.com/office/drawing/2014/main" id="{00000000-0008-0000-0000-00003E14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383125" y="452437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45581" name="Picture 1" descr="C:\WINDOWS\TEMP\Symbol.gif">
          <a:extLst>
            <a:ext uri="{FF2B5EF4-FFF2-40B4-BE49-F238E27FC236}">
              <a16:creationId xmlns:a16="http://schemas.microsoft.com/office/drawing/2014/main" id="{00000000-0008-0000-0900-00000DB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0</xdr:rowOff>
    </xdr:from>
    <xdr:to>
      <xdr:col>1</xdr:col>
      <xdr:colOff>28575</xdr:colOff>
      <xdr:row>130</xdr:row>
      <xdr:rowOff>200025</xdr:rowOff>
    </xdr:to>
    <xdr:pic>
      <xdr:nvPicPr>
        <xdr:cNvPr id="45582" name="Picture 2" descr="C:\WINDOWS\TEMP\Symbol.gif">
          <a:extLst>
            <a:ext uri="{FF2B5EF4-FFF2-40B4-BE49-F238E27FC236}">
              <a16:creationId xmlns:a16="http://schemas.microsoft.com/office/drawing/2014/main" id="{00000000-0008-0000-0900-00000EB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638425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179</xdr:row>
      <xdr:rowOff>171450</xdr:rowOff>
    </xdr:from>
    <xdr:to>
      <xdr:col>1</xdr:col>
      <xdr:colOff>47625</xdr:colOff>
      <xdr:row>180</xdr:row>
      <xdr:rowOff>209550</xdr:rowOff>
    </xdr:to>
    <xdr:pic>
      <xdr:nvPicPr>
        <xdr:cNvPr id="45583" name="Picture 3" descr="C:\WINDOWS\TEMP\Symbol.gif">
          <a:extLst>
            <a:ext uri="{FF2B5EF4-FFF2-40B4-BE49-F238E27FC236}">
              <a16:creationId xmlns:a16="http://schemas.microsoft.com/office/drawing/2014/main" id="{00000000-0008-0000-0900-00000FB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6433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260</xdr:row>
      <xdr:rowOff>161925</xdr:rowOff>
    </xdr:from>
    <xdr:to>
      <xdr:col>1</xdr:col>
      <xdr:colOff>19050</xdr:colOff>
      <xdr:row>261</xdr:row>
      <xdr:rowOff>200025</xdr:rowOff>
    </xdr:to>
    <xdr:pic>
      <xdr:nvPicPr>
        <xdr:cNvPr id="45584" name="Picture 4" descr="C:\WINDOWS\TEMP\Symbol.gif">
          <a:extLst>
            <a:ext uri="{FF2B5EF4-FFF2-40B4-BE49-F238E27FC236}">
              <a16:creationId xmlns:a16="http://schemas.microsoft.com/office/drawing/2014/main" id="{00000000-0008-0000-0900-000010B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2711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45585" name="Picture 5" descr="C:\WINDOWS\TEMP\~0003946.gif">
          <a:extLst>
            <a:ext uri="{FF2B5EF4-FFF2-40B4-BE49-F238E27FC236}">
              <a16:creationId xmlns:a16="http://schemas.microsoft.com/office/drawing/2014/main" id="{00000000-0008-0000-0900-000011B2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130</xdr:row>
      <xdr:rowOff>0</xdr:rowOff>
    </xdr:from>
    <xdr:to>
      <xdr:col>16</xdr:col>
      <xdr:colOff>895350</xdr:colOff>
      <xdr:row>130</xdr:row>
      <xdr:rowOff>152400</xdr:rowOff>
    </xdr:to>
    <xdr:pic>
      <xdr:nvPicPr>
        <xdr:cNvPr id="45586" name="Picture 6" descr="C:\WINDOWS\TEMP\~0003946.gif">
          <a:extLst>
            <a:ext uri="{FF2B5EF4-FFF2-40B4-BE49-F238E27FC236}">
              <a16:creationId xmlns:a16="http://schemas.microsoft.com/office/drawing/2014/main" id="{00000000-0008-0000-0900-000012B20000}"/>
            </a:ext>
          </a:extLst>
        </xdr:cNvPr>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23050500" y="2638425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179</xdr:row>
      <xdr:rowOff>104775</xdr:rowOff>
    </xdr:from>
    <xdr:to>
      <xdr:col>16</xdr:col>
      <xdr:colOff>809625</xdr:colOff>
      <xdr:row>180</xdr:row>
      <xdr:rowOff>133350</xdr:rowOff>
    </xdr:to>
    <xdr:pic>
      <xdr:nvPicPr>
        <xdr:cNvPr id="45587" name="Picture 7" descr="C:\WINDOWS\TEMP\~0003946.gif">
          <a:extLst>
            <a:ext uri="{FF2B5EF4-FFF2-40B4-BE49-F238E27FC236}">
              <a16:creationId xmlns:a16="http://schemas.microsoft.com/office/drawing/2014/main" id="{00000000-0008-0000-0900-000013B2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964775" y="36366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260</xdr:row>
      <xdr:rowOff>104775</xdr:rowOff>
    </xdr:from>
    <xdr:to>
      <xdr:col>16</xdr:col>
      <xdr:colOff>895350</xdr:colOff>
      <xdr:row>261</xdr:row>
      <xdr:rowOff>133350</xdr:rowOff>
    </xdr:to>
    <xdr:pic>
      <xdr:nvPicPr>
        <xdr:cNvPr id="45588" name="Picture 8" descr="C:\WINDOWS\TEMP\~0003946.gif">
          <a:extLst>
            <a:ext uri="{FF2B5EF4-FFF2-40B4-BE49-F238E27FC236}">
              <a16:creationId xmlns:a16="http://schemas.microsoft.com/office/drawing/2014/main" id="{00000000-0008-0000-0900-000014B2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3050500" y="5265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45589" name="Picture 9" descr="logoMTL">
          <a:extLst>
            <a:ext uri="{FF2B5EF4-FFF2-40B4-BE49-F238E27FC236}">
              <a16:creationId xmlns:a16="http://schemas.microsoft.com/office/drawing/2014/main" id="{00000000-0008-0000-0900-000015B2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129</xdr:row>
      <xdr:rowOff>28575</xdr:rowOff>
    </xdr:from>
    <xdr:to>
      <xdr:col>15</xdr:col>
      <xdr:colOff>1171575</xdr:colOff>
      <xdr:row>130</xdr:row>
      <xdr:rowOff>152400</xdr:rowOff>
    </xdr:to>
    <xdr:pic>
      <xdr:nvPicPr>
        <xdr:cNvPr id="45590" name="Picture 10" descr="logoMTL">
          <a:extLst>
            <a:ext uri="{FF2B5EF4-FFF2-40B4-BE49-F238E27FC236}">
              <a16:creationId xmlns:a16="http://schemas.microsoft.com/office/drawing/2014/main" id="{00000000-0008-0000-0900-000016B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069425" y="26212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179</xdr:row>
      <xdr:rowOff>28575</xdr:rowOff>
    </xdr:from>
    <xdr:to>
      <xdr:col>15</xdr:col>
      <xdr:colOff>1171575</xdr:colOff>
      <xdr:row>180</xdr:row>
      <xdr:rowOff>152400</xdr:rowOff>
    </xdr:to>
    <xdr:pic>
      <xdr:nvPicPr>
        <xdr:cNvPr id="45591" name="Picture 11" descr="logoMTL">
          <a:extLst>
            <a:ext uri="{FF2B5EF4-FFF2-40B4-BE49-F238E27FC236}">
              <a16:creationId xmlns:a16="http://schemas.microsoft.com/office/drawing/2014/main" id="{00000000-0008-0000-0900-000017B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069425" y="36290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260</xdr:row>
      <xdr:rowOff>0</xdr:rowOff>
    </xdr:from>
    <xdr:to>
      <xdr:col>15</xdr:col>
      <xdr:colOff>1219200</xdr:colOff>
      <xdr:row>261</xdr:row>
      <xdr:rowOff>123825</xdr:rowOff>
    </xdr:to>
    <xdr:pic>
      <xdr:nvPicPr>
        <xdr:cNvPr id="45592" name="Picture 12" descr="logoMTL">
          <a:extLst>
            <a:ext uri="{FF2B5EF4-FFF2-40B4-BE49-F238E27FC236}">
              <a16:creationId xmlns:a16="http://schemas.microsoft.com/office/drawing/2014/main" id="{00000000-0008-0000-0900-000018B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117050" y="525494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46605" name="Picture 1" descr="C:\WINDOWS\TEMP\Symbol.gif">
          <a:extLst>
            <a:ext uri="{FF2B5EF4-FFF2-40B4-BE49-F238E27FC236}">
              <a16:creationId xmlns:a16="http://schemas.microsoft.com/office/drawing/2014/main" id="{00000000-0008-0000-0A00-00000DB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0</xdr:rowOff>
    </xdr:from>
    <xdr:to>
      <xdr:col>1</xdr:col>
      <xdr:colOff>28575</xdr:colOff>
      <xdr:row>130</xdr:row>
      <xdr:rowOff>200025</xdr:rowOff>
    </xdr:to>
    <xdr:pic>
      <xdr:nvPicPr>
        <xdr:cNvPr id="46606" name="Picture 2" descr="C:\WINDOWS\TEMP\Symbol.gif">
          <a:extLst>
            <a:ext uri="{FF2B5EF4-FFF2-40B4-BE49-F238E27FC236}">
              <a16:creationId xmlns:a16="http://schemas.microsoft.com/office/drawing/2014/main" id="{00000000-0008-0000-0A00-00000EB6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38425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179</xdr:row>
      <xdr:rowOff>171450</xdr:rowOff>
    </xdr:from>
    <xdr:to>
      <xdr:col>1</xdr:col>
      <xdr:colOff>47625</xdr:colOff>
      <xdr:row>180</xdr:row>
      <xdr:rowOff>209550</xdr:rowOff>
    </xdr:to>
    <xdr:pic>
      <xdr:nvPicPr>
        <xdr:cNvPr id="46607" name="Picture 3" descr="C:\WINDOWS\TEMP\Symbol.gif">
          <a:extLst>
            <a:ext uri="{FF2B5EF4-FFF2-40B4-BE49-F238E27FC236}">
              <a16:creationId xmlns:a16="http://schemas.microsoft.com/office/drawing/2014/main" id="{00000000-0008-0000-0A00-00000FB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433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260</xdr:row>
      <xdr:rowOff>161925</xdr:rowOff>
    </xdr:from>
    <xdr:to>
      <xdr:col>1</xdr:col>
      <xdr:colOff>19050</xdr:colOff>
      <xdr:row>261</xdr:row>
      <xdr:rowOff>200025</xdr:rowOff>
    </xdr:to>
    <xdr:pic>
      <xdr:nvPicPr>
        <xdr:cNvPr id="46608" name="Picture 4" descr="C:\WINDOWS\TEMP\Symbol.gif">
          <a:extLst>
            <a:ext uri="{FF2B5EF4-FFF2-40B4-BE49-F238E27FC236}">
              <a16:creationId xmlns:a16="http://schemas.microsoft.com/office/drawing/2014/main" id="{00000000-0008-0000-0A00-000010B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27113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46609" name="Picture 5" descr="C:\WINDOWS\TEMP\~0003946.gif">
          <a:extLst>
            <a:ext uri="{FF2B5EF4-FFF2-40B4-BE49-F238E27FC236}">
              <a16:creationId xmlns:a16="http://schemas.microsoft.com/office/drawing/2014/main" id="{00000000-0008-0000-0A00-000011B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130</xdr:row>
      <xdr:rowOff>0</xdr:rowOff>
    </xdr:from>
    <xdr:to>
      <xdr:col>16</xdr:col>
      <xdr:colOff>895350</xdr:colOff>
      <xdr:row>130</xdr:row>
      <xdr:rowOff>152400</xdr:rowOff>
    </xdr:to>
    <xdr:pic>
      <xdr:nvPicPr>
        <xdr:cNvPr id="46610" name="Picture 6" descr="C:\WINDOWS\TEMP\~0003946.gif">
          <a:extLst>
            <a:ext uri="{FF2B5EF4-FFF2-40B4-BE49-F238E27FC236}">
              <a16:creationId xmlns:a16="http://schemas.microsoft.com/office/drawing/2014/main" id="{00000000-0008-0000-0A00-000012B6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38425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179</xdr:row>
      <xdr:rowOff>104775</xdr:rowOff>
    </xdr:from>
    <xdr:to>
      <xdr:col>16</xdr:col>
      <xdr:colOff>809625</xdr:colOff>
      <xdr:row>180</xdr:row>
      <xdr:rowOff>133350</xdr:rowOff>
    </xdr:to>
    <xdr:pic>
      <xdr:nvPicPr>
        <xdr:cNvPr id="46611" name="Picture 7" descr="C:\WINDOWS\TEMP\~0003946.gif">
          <a:extLst>
            <a:ext uri="{FF2B5EF4-FFF2-40B4-BE49-F238E27FC236}">
              <a16:creationId xmlns:a16="http://schemas.microsoft.com/office/drawing/2014/main" id="{00000000-0008-0000-0A00-000013B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366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260</xdr:row>
      <xdr:rowOff>104775</xdr:rowOff>
    </xdr:from>
    <xdr:to>
      <xdr:col>16</xdr:col>
      <xdr:colOff>895350</xdr:colOff>
      <xdr:row>261</xdr:row>
      <xdr:rowOff>133350</xdr:rowOff>
    </xdr:to>
    <xdr:pic>
      <xdr:nvPicPr>
        <xdr:cNvPr id="46612" name="Picture 8" descr="C:\WINDOWS\TEMP\~0003946.gif">
          <a:extLst>
            <a:ext uri="{FF2B5EF4-FFF2-40B4-BE49-F238E27FC236}">
              <a16:creationId xmlns:a16="http://schemas.microsoft.com/office/drawing/2014/main" id="{00000000-0008-0000-0A00-000014B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2654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46613" name="Picture 9" descr="logoMTL">
          <a:extLst>
            <a:ext uri="{FF2B5EF4-FFF2-40B4-BE49-F238E27FC236}">
              <a16:creationId xmlns:a16="http://schemas.microsoft.com/office/drawing/2014/main" id="{00000000-0008-0000-0A00-000015B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129</xdr:row>
      <xdr:rowOff>28575</xdr:rowOff>
    </xdr:from>
    <xdr:to>
      <xdr:col>15</xdr:col>
      <xdr:colOff>1171575</xdr:colOff>
      <xdr:row>130</xdr:row>
      <xdr:rowOff>152400</xdr:rowOff>
    </xdr:to>
    <xdr:pic>
      <xdr:nvPicPr>
        <xdr:cNvPr id="46614" name="Picture 10" descr="logoMTL">
          <a:extLst>
            <a:ext uri="{FF2B5EF4-FFF2-40B4-BE49-F238E27FC236}">
              <a16:creationId xmlns:a16="http://schemas.microsoft.com/office/drawing/2014/main" id="{00000000-0008-0000-0A00-000016B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212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179</xdr:row>
      <xdr:rowOff>28575</xdr:rowOff>
    </xdr:from>
    <xdr:to>
      <xdr:col>15</xdr:col>
      <xdr:colOff>1171575</xdr:colOff>
      <xdr:row>180</xdr:row>
      <xdr:rowOff>152400</xdr:rowOff>
    </xdr:to>
    <xdr:pic>
      <xdr:nvPicPr>
        <xdr:cNvPr id="46615" name="Picture 11" descr="logoMTL">
          <a:extLst>
            <a:ext uri="{FF2B5EF4-FFF2-40B4-BE49-F238E27FC236}">
              <a16:creationId xmlns:a16="http://schemas.microsoft.com/office/drawing/2014/main" id="{00000000-0008-0000-0A00-000017B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290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260</xdr:row>
      <xdr:rowOff>0</xdr:rowOff>
    </xdr:from>
    <xdr:to>
      <xdr:col>15</xdr:col>
      <xdr:colOff>1219200</xdr:colOff>
      <xdr:row>261</xdr:row>
      <xdr:rowOff>123825</xdr:rowOff>
    </xdr:to>
    <xdr:pic>
      <xdr:nvPicPr>
        <xdr:cNvPr id="46616" name="Picture 12" descr="logoMTL">
          <a:extLst>
            <a:ext uri="{FF2B5EF4-FFF2-40B4-BE49-F238E27FC236}">
              <a16:creationId xmlns:a16="http://schemas.microsoft.com/office/drawing/2014/main" id="{00000000-0008-0000-0A00-000018B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25494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47629" name="Picture 1" descr="C:\WINDOWS\TEMP\Symbol.gif">
          <a:extLst>
            <a:ext uri="{FF2B5EF4-FFF2-40B4-BE49-F238E27FC236}">
              <a16:creationId xmlns:a16="http://schemas.microsoft.com/office/drawing/2014/main" id="{00000000-0008-0000-0B00-00000DB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0</xdr:rowOff>
    </xdr:from>
    <xdr:to>
      <xdr:col>1</xdr:col>
      <xdr:colOff>28575</xdr:colOff>
      <xdr:row>130</xdr:row>
      <xdr:rowOff>200025</xdr:rowOff>
    </xdr:to>
    <xdr:pic>
      <xdr:nvPicPr>
        <xdr:cNvPr id="47630" name="Picture 2" descr="C:\WINDOWS\TEMP\Symbol.gif">
          <a:extLst>
            <a:ext uri="{FF2B5EF4-FFF2-40B4-BE49-F238E27FC236}">
              <a16:creationId xmlns:a16="http://schemas.microsoft.com/office/drawing/2014/main" id="{00000000-0008-0000-0B00-00000EB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38425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179</xdr:row>
      <xdr:rowOff>171450</xdr:rowOff>
    </xdr:from>
    <xdr:to>
      <xdr:col>1</xdr:col>
      <xdr:colOff>47625</xdr:colOff>
      <xdr:row>180</xdr:row>
      <xdr:rowOff>209550</xdr:rowOff>
    </xdr:to>
    <xdr:pic>
      <xdr:nvPicPr>
        <xdr:cNvPr id="47631" name="Picture 3" descr="C:\WINDOWS\TEMP\Symbol.gif">
          <a:extLst>
            <a:ext uri="{FF2B5EF4-FFF2-40B4-BE49-F238E27FC236}">
              <a16:creationId xmlns:a16="http://schemas.microsoft.com/office/drawing/2014/main" id="{00000000-0008-0000-0B00-00000FB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433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261</xdr:row>
      <xdr:rowOff>161925</xdr:rowOff>
    </xdr:from>
    <xdr:to>
      <xdr:col>1</xdr:col>
      <xdr:colOff>19050</xdr:colOff>
      <xdr:row>262</xdr:row>
      <xdr:rowOff>200025</xdr:rowOff>
    </xdr:to>
    <xdr:pic>
      <xdr:nvPicPr>
        <xdr:cNvPr id="47632" name="Picture 4" descr="C:\WINDOWS\TEMP\Symbol.gif">
          <a:extLst>
            <a:ext uri="{FF2B5EF4-FFF2-40B4-BE49-F238E27FC236}">
              <a16:creationId xmlns:a16="http://schemas.microsoft.com/office/drawing/2014/main" id="{00000000-0008-0000-0B00-000010B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29113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47633" name="Picture 5" descr="C:\WINDOWS\TEMP\~0003946.gif">
          <a:extLst>
            <a:ext uri="{FF2B5EF4-FFF2-40B4-BE49-F238E27FC236}">
              <a16:creationId xmlns:a16="http://schemas.microsoft.com/office/drawing/2014/main" id="{00000000-0008-0000-0B00-000011B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130</xdr:row>
      <xdr:rowOff>0</xdr:rowOff>
    </xdr:from>
    <xdr:to>
      <xdr:col>16</xdr:col>
      <xdr:colOff>895350</xdr:colOff>
      <xdr:row>130</xdr:row>
      <xdr:rowOff>152400</xdr:rowOff>
    </xdr:to>
    <xdr:pic>
      <xdr:nvPicPr>
        <xdr:cNvPr id="47634" name="Picture 6" descr="C:\WINDOWS\TEMP\~0003946.gif">
          <a:extLst>
            <a:ext uri="{FF2B5EF4-FFF2-40B4-BE49-F238E27FC236}">
              <a16:creationId xmlns:a16="http://schemas.microsoft.com/office/drawing/2014/main" id="{00000000-0008-0000-0B00-000012B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2638425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179</xdr:row>
      <xdr:rowOff>104775</xdr:rowOff>
    </xdr:from>
    <xdr:to>
      <xdr:col>16</xdr:col>
      <xdr:colOff>809625</xdr:colOff>
      <xdr:row>180</xdr:row>
      <xdr:rowOff>133350</xdr:rowOff>
    </xdr:to>
    <xdr:pic>
      <xdr:nvPicPr>
        <xdr:cNvPr id="47635" name="Picture 7" descr="C:\WINDOWS\TEMP\~0003946.gif">
          <a:extLst>
            <a:ext uri="{FF2B5EF4-FFF2-40B4-BE49-F238E27FC236}">
              <a16:creationId xmlns:a16="http://schemas.microsoft.com/office/drawing/2014/main" id="{00000000-0008-0000-0B00-000013B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964775" y="36366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261</xdr:row>
      <xdr:rowOff>104775</xdr:rowOff>
    </xdr:from>
    <xdr:to>
      <xdr:col>16</xdr:col>
      <xdr:colOff>895350</xdr:colOff>
      <xdr:row>262</xdr:row>
      <xdr:rowOff>133350</xdr:rowOff>
    </xdr:to>
    <xdr:pic>
      <xdr:nvPicPr>
        <xdr:cNvPr id="47636" name="Picture 8" descr="C:\WINDOWS\TEMP\~0003946.gif">
          <a:extLst>
            <a:ext uri="{FF2B5EF4-FFF2-40B4-BE49-F238E27FC236}">
              <a16:creationId xmlns:a16="http://schemas.microsoft.com/office/drawing/2014/main" id="{00000000-0008-0000-0B00-000014B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52854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47637" name="Picture 9" descr="logoMTL">
          <a:extLst>
            <a:ext uri="{FF2B5EF4-FFF2-40B4-BE49-F238E27FC236}">
              <a16:creationId xmlns:a16="http://schemas.microsoft.com/office/drawing/2014/main" id="{00000000-0008-0000-0B00-000015B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129</xdr:row>
      <xdr:rowOff>28575</xdr:rowOff>
    </xdr:from>
    <xdr:to>
      <xdr:col>15</xdr:col>
      <xdr:colOff>1171575</xdr:colOff>
      <xdr:row>130</xdr:row>
      <xdr:rowOff>152400</xdr:rowOff>
    </xdr:to>
    <xdr:pic>
      <xdr:nvPicPr>
        <xdr:cNvPr id="47638" name="Picture 10" descr="logoMTL">
          <a:extLst>
            <a:ext uri="{FF2B5EF4-FFF2-40B4-BE49-F238E27FC236}">
              <a16:creationId xmlns:a16="http://schemas.microsoft.com/office/drawing/2014/main" id="{00000000-0008-0000-0B00-000016B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26212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179</xdr:row>
      <xdr:rowOff>28575</xdr:rowOff>
    </xdr:from>
    <xdr:to>
      <xdr:col>15</xdr:col>
      <xdr:colOff>1171575</xdr:colOff>
      <xdr:row>180</xdr:row>
      <xdr:rowOff>152400</xdr:rowOff>
    </xdr:to>
    <xdr:pic>
      <xdr:nvPicPr>
        <xdr:cNvPr id="47639" name="Picture 11" descr="logoMTL">
          <a:extLst>
            <a:ext uri="{FF2B5EF4-FFF2-40B4-BE49-F238E27FC236}">
              <a16:creationId xmlns:a16="http://schemas.microsoft.com/office/drawing/2014/main" id="{00000000-0008-0000-0B00-000017B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36290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261</xdr:row>
      <xdr:rowOff>0</xdr:rowOff>
    </xdr:from>
    <xdr:to>
      <xdr:col>15</xdr:col>
      <xdr:colOff>1219200</xdr:colOff>
      <xdr:row>262</xdr:row>
      <xdr:rowOff>123825</xdr:rowOff>
    </xdr:to>
    <xdr:pic>
      <xdr:nvPicPr>
        <xdr:cNvPr id="47640" name="Picture 12" descr="logoMTL">
          <a:extLst>
            <a:ext uri="{FF2B5EF4-FFF2-40B4-BE49-F238E27FC236}">
              <a16:creationId xmlns:a16="http://schemas.microsoft.com/office/drawing/2014/main" id="{00000000-0008-0000-0B00-000018B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17050" y="527494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48653" name="Picture 1" descr="C:\WINDOWS\TEMP\Symbol.gif">
          <a:extLst>
            <a:ext uri="{FF2B5EF4-FFF2-40B4-BE49-F238E27FC236}">
              <a16:creationId xmlns:a16="http://schemas.microsoft.com/office/drawing/2014/main" id="{00000000-0008-0000-0C00-00000DB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0</xdr:rowOff>
    </xdr:from>
    <xdr:to>
      <xdr:col>1</xdr:col>
      <xdr:colOff>28575</xdr:colOff>
      <xdr:row>130</xdr:row>
      <xdr:rowOff>200025</xdr:rowOff>
    </xdr:to>
    <xdr:pic>
      <xdr:nvPicPr>
        <xdr:cNvPr id="48654" name="Picture 2" descr="C:\WINDOWS\TEMP\Symbol.gif">
          <a:extLst>
            <a:ext uri="{FF2B5EF4-FFF2-40B4-BE49-F238E27FC236}">
              <a16:creationId xmlns:a16="http://schemas.microsoft.com/office/drawing/2014/main" id="{00000000-0008-0000-0C00-00000EB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38425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179</xdr:row>
      <xdr:rowOff>171450</xdr:rowOff>
    </xdr:from>
    <xdr:to>
      <xdr:col>1</xdr:col>
      <xdr:colOff>47625</xdr:colOff>
      <xdr:row>180</xdr:row>
      <xdr:rowOff>209550</xdr:rowOff>
    </xdr:to>
    <xdr:pic>
      <xdr:nvPicPr>
        <xdr:cNvPr id="48655" name="Picture 3" descr="C:\WINDOWS\TEMP\Symbol.gif">
          <a:extLst>
            <a:ext uri="{FF2B5EF4-FFF2-40B4-BE49-F238E27FC236}">
              <a16:creationId xmlns:a16="http://schemas.microsoft.com/office/drawing/2014/main" id="{00000000-0008-0000-0C00-00000FB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4331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261</xdr:row>
      <xdr:rowOff>161925</xdr:rowOff>
    </xdr:from>
    <xdr:to>
      <xdr:col>1</xdr:col>
      <xdr:colOff>19050</xdr:colOff>
      <xdr:row>262</xdr:row>
      <xdr:rowOff>200025</xdr:rowOff>
    </xdr:to>
    <xdr:pic>
      <xdr:nvPicPr>
        <xdr:cNvPr id="48656" name="Picture 4" descr="C:\WINDOWS\TEMP\Symbol.gif">
          <a:extLst>
            <a:ext uri="{FF2B5EF4-FFF2-40B4-BE49-F238E27FC236}">
              <a16:creationId xmlns:a16="http://schemas.microsoft.com/office/drawing/2014/main" id="{00000000-0008-0000-0C00-000010B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29113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48657" name="Picture 5" descr="C:\WINDOWS\TEMP\~0003946.gif">
          <a:extLst>
            <a:ext uri="{FF2B5EF4-FFF2-40B4-BE49-F238E27FC236}">
              <a16:creationId xmlns:a16="http://schemas.microsoft.com/office/drawing/2014/main" id="{00000000-0008-0000-0C00-000011B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130</xdr:row>
      <xdr:rowOff>0</xdr:rowOff>
    </xdr:from>
    <xdr:to>
      <xdr:col>16</xdr:col>
      <xdr:colOff>895350</xdr:colOff>
      <xdr:row>130</xdr:row>
      <xdr:rowOff>152400</xdr:rowOff>
    </xdr:to>
    <xdr:pic>
      <xdr:nvPicPr>
        <xdr:cNvPr id="48658" name="Picture 6" descr="C:\WINDOWS\TEMP\~0003946.gif">
          <a:extLst>
            <a:ext uri="{FF2B5EF4-FFF2-40B4-BE49-F238E27FC236}">
              <a16:creationId xmlns:a16="http://schemas.microsoft.com/office/drawing/2014/main" id="{00000000-0008-0000-0C00-000012B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2638425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179</xdr:row>
      <xdr:rowOff>104775</xdr:rowOff>
    </xdr:from>
    <xdr:to>
      <xdr:col>16</xdr:col>
      <xdr:colOff>809625</xdr:colOff>
      <xdr:row>180</xdr:row>
      <xdr:rowOff>133350</xdr:rowOff>
    </xdr:to>
    <xdr:pic>
      <xdr:nvPicPr>
        <xdr:cNvPr id="48659" name="Picture 7" descr="C:\WINDOWS\TEMP\~0003946.gif">
          <a:extLst>
            <a:ext uri="{FF2B5EF4-FFF2-40B4-BE49-F238E27FC236}">
              <a16:creationId xmlns:a16="http://schemas.microsoft.com/office/drawing/2014/main" id="{00000000-0008-0000-0C00-000013B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964775" y="363664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261</xdr:row>
      <xdr:rowOff>104775</xdr:rowOff>
    </xdr:from>
    <xdr:to>
      <xdr:col>16</xdr:col>
      <xdr:colOff>895350</xdr:colOff>
      <xdr:row>262</xdr:row>
      <xdr:rowOff>133350</xdr:rowOff>
    </xdr:to>
    <xdr:pic>
      <xdr:nvPicPr>
        <xdr:cNvPr id="48660" name="Picture 8" descr="C:\WINDOWS\TEMP\~0003946.gif">
          <a:extLst>
            <a:ext uri="{FF2B5EF4-FFF2-40B4-BE49-F238E27FC236}">
              <a16:creationId xmlns:a16="http://schemas.microsoft.com/office/drawing/2014/main" id="{00000000-0008-0000-0C00-000014B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52854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48661" name="Picture 9" descr="logoMTL">
          <a:extLst>
            <a:ext uri="{FF2B5EF4-FFF2-40B4-BE49-F238E27FC236}">
              <a16:creationId xmlns:a16="http://schemas.microsoft.com/office/drawing/2014/main" id="{00000000-0008-0000-0C00-000015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129</xdr:row>
      <xdr:rowOff>28575</xdr:rowOff>
    </xdr:from>
    <xdr:to>
      <xdr:col>15</xdr:col>
      <xdr:colOff>1171575</xdr:colOff>
      <xdr:row>130</xdr:row>
      <xdr:rowOff>152400</xdr:rowOff>
    </xdr:to>
    <xdr:pic>
      <xdr:nvPicPr>
        <xdr:cNvPr id="48662" name="Picture 10" descr="logoMTL">
          <a:extLst>
            <a:ext uri="{FF2B5EF4-FFF2-40B4-BE49-F238E27FC236}">
              <a16:creationId xmlns:a16="http://schemas.microsoft.com/office/drawing/2014/main" id="{00000000-0008-0000-0C00-000016B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26212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179</xdr:row>
      <xdr:rowOff>28575</xdr:rowOff>
    </xdr:from>
    <xdr:to>
      <xdr:col>15</xdr:col>
      <xdr:colOff>1171575</xdr:colOff>
      <xdr:row>180</xdr:row>
      <xdr:rowOff>152400</xdr:rowOff>
    </xdr:to>
    <xdr:pic>
      <xdr:nvPicPr>
        <xdr:cNvPr id="48663" name="Picture 11" descr="logoMTL">
          <a:extLst>
            <a:ext uri="{FF2B5EF4-FFF2-40B4-BE49-F238E27FC236}">
              <a16:creationId xmlns:a16="http://schemas.microsoft.com/office/drawing/2014/main" id="{00000000-0008-0000-0C00-000017B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362902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261</xdr:row>
      <xdr:rowOff>0</xdr:rowOff>
    </xdr:from>
    <xdr:to>
      <xdr:col>15</xdr:col>
      <xdr:colOff>1219200</xdr:colOff>
      <xdr:row>262</xdr:row>
      <xdr:rowOff>123825</xdr:rowOff>
    </xdr:to>
    <xdr:pic>
      <xdr:nvPicPr>
        <xdr:cNvPr id="48664" name="Picture 12" descr="logoMTL">
          <a:extLst>
            <a:ext uri="{FF2B5EF4-FFF2-40B4-BE49-F238E27FC236}">
              <a16:creationId xmlns:a16="http://schemas.microsoft.com/office/drawing/2014/main" id="{00000000-0008-0000-0C00-000018B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17050" y="527494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49677" name="Picture 1" descr="C:\WINDOWS\TEMP\Symbol.gif">
          <a:extLst>
            <a:ext uri="{FF2B5EF4-FFF2-40B4-BE49-F238E27FC236}">
              <a16:creationId xmlns:a16="http://schemas.microsoft.com/office/drawing/2014/main" id="{00000000-0008-0000-0D00-00000DC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49678" name="Picture 2" descr="C:\WINDOWS\TEMP\Symbol.gif">
          <a:extLst>
            <a:ext uri="{FF2B5EF4-FFF2-40B4-BE49-F238E27FC236}">
              <a16:creationId xmlns:a16="http://schemas.microsoft.com/office/drawing/2014/main" id="{00000000-0008-0000-0D00-00000EC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49679" name="Picture 3" descr="C:\WINDOWS\TEMP\Symbol.gif">
          <a:extLst>
            <a:ext uri="{FF2B5EF4-FFF2-40B4-BE49-F238E27FC236}">
              <a16:creationId xmlns:a16="http://schemas.microsoft.com/office/drawing/2014/main" id="{00000000-0008-0000-0D00-00000FC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6331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262</xdr:row>
      <xdr:rowOff>161925</xdr:rowOff>
    </xdr:from>
    <xdr:to>
      <xdr:col>1</xdr:col>
      <xdr:colOff>19050</xdr:colOff>
      <xdr:row>263</xdr:row>
      <xdr:rowOff>200025</xdr:rowOff>
    </xdr:to>
    <xdr:pic>
      <xdr:nvPicPr>
        <xdr:cNvPr id="49680" name="Picture 4" descr="C:\WINDOWS\TEMP\Symbol.gif">
          <a:extLst>
            <a:ext uri="{FF2B5EF4-FFF2-40B4-BE49-F238E27FC236}">
              <a16:creationId xmlns:a16="http://schemas.microsoft.com/office/drawing/2014/main" id="{00000000-0008-0000-0D00-000010C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1114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49681" name="Picture 5" descr="C:\WINDOWS\TEMP\~0003946.gif">
          <a:extLst>
            <a:ext uri="{FF2B5EF4-FFF2-40B4-BE49-F238E27FC236}">
              <a16:creationId xmlns:a16="http://schemas.microsoft.com/office/drawing/2014/main" id="{00000000-0008-0000-0D00-000011C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49682" name="Picture 6" descr="C:\WINDOWS\TEMP\~0003946.gif">
          <a:extLst>
            <a:ext uri="{FF2B5EF4-FFF2-40B4-BE49-F238E27FC236}">
              <a16:creationId xmlns:a16="http://schemas.microsoft.com/office/drawing/2014/main" id="{00000000-0008-0000-0D00-000012C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180</xdr:row>
      <xdr:rowOff>104775</xdr:rowOff>
    </xdr:from>
    <xdr:to>
      <xdr:col>16</xdr:col>
      <xdr:colOff>809625</xdr:colOff>
      <xdr:row>181</xdr:row>
      <xdr:rowOff>133350</xdr:rowOff>
    </xdr:to>
    <xdr:pic>
      <xdr:nvPicPr>
        <xdr:cNvPr id="49683" name="Picture 7" descr="C:\WINDOWS\TEMP\~0003946.gif">
          <a:extLst>
            <a:ext uri="{FF2B5EF4-FFF2-40B4-BE49-F238E27FC236}">
              <a16:creationId xmlns:a16="http://schemas.microsoft.com/office/drawing/2014/main" id="{00000000-0008-0000-0D00-000013C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964775" y="36566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262</xdr:row>
      <xdr:rowOff>104775</xdr:rowOff>
    </xdr:from>
    <xdr:to>
      <xdr:col>16</xdr:col>
      <xdr:colOff>895350</xdr:colOff>
      <xdr:row>263</xdr:row>
      <xdr:rowOff>133350</xdr:rowOff>
    </xdr:to>
    <xdr:pic>
      <xdr:nvPicPr>
        <xdr:cNvPr id="49684" name="Picture 8" descr="C:\WINDOWS\TEMP\~0003946.gif">
          <a:extLst>
            <a:ext uri="{FF2B5EF4-FFF2-40B4-BE49-F238E27FC236}">
              <a16:creationId xmlns:a16="http://schemas.microsoft.com/office/drawing/2014/main" id="{00000000-0008-0000-0D00-000014C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53054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49685" name="Picture 9" descr="logoMTL">
          <a:extLst>
            <a:ext uri="{FF2B5EF4-FFF2-40B4-BE49-F238E27FC236}">
              <a16:creationId xmlns:a16="http://schemas.microsoft.com/office/drawing/2014/main" id="{00000000-0008-0000-0D00-000015C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49686" name="Picture 10" descr="logoMTL">
          <a:extLst>
            <a:ext uri="{FF2B5EF4-FFF2-40B4-BE49-F238E27FC236}">
              <a16:creationId xmlns:a16="http://schemas.microsoft.com/office/drawing/2014/main" id="{00000000-0008-0000-0D00-000016C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180</xdr:row>
      <xdr:rowOff>28575</xdr:rowOff>
    </xdr:from>
    <xdr:to>
      <xdr:col>15</xdr:col>
      <xdr:colOff>1171575</xdr:colOff>
      <xdr:row>181</xdr:row>
      <xdr:rowOff>152400</xdr:rowOff>
    </xdr:to>
    <xdr:pic>
      <xdr:nvPicPr>
        <xdr:cNvPr id="49687" name="Picture 11" descr="logoMTL">
          <a:extLst>
            <a:ext uri="{FF2B5EF4-FFF2-40B4-BE49-F238E27FC236}">
              <a16:creationId xmlns:a16="http://schemas.microsoft.com/office/drawing/2014/main" id="{00000000-0008-0000-0D00-000017C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364902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262</xdr:row>
      <xdr:rowOff>0</xdr:rowOff>
    </xdr:from>
    <xdr:to>
      <xdr:col>15</xdr:col>
      <xdr:colOff>1219200</xdr:colOff>
      <xdr:row>263</xdr:row>
      <xdr:rowOff>123825</xdr:rowOff>
    </xdr:to>
    <xdr:pic>
      <xdr:nvPicPr>
        <xdr:cNvPr id="49688" name="Picture 12" descr="logoMTL">
          <a:extLst>
            <a:ext uri="{FF2B5EF4-FFF2-40B4-BE49-F238E27FC236}">
              <a16:creationId xmlns:a16="http://schemas.microsoft.com/office/drawing/2014/main" id="{00000000-0008-0000-0D00-000018C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17050" y="529494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50701" name="Picture 1" descr="C:\WINDOWS\TEMP\Symbol.gif">
          <a:extLst>
            <a:ext uri="{FF2B5EF4-FFF2-40B4-BE49-F238E27FC236}">
              <a16:creationId xmlns:a16="http://schemas.microsoft.com/office/drawing/2014/main" id="{00000000-0008-0000-0E00-00000DC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50702" name="Picture 2" descr="C:\WINDOWS\TEMP\Symbol.gif">
          <a:extLst>
            <a:ext uri="{FF2B5EF4-FFF2-40B4-BE49-F238E27FC236}">
              <a16:creationId xmlns:a16="http://schemas.microsoft.com/office/drawing/2014/main" id="{00000000-0008-0000-0E00-00000EC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50703" name="Picture 3" descr="C:\WINDOWS\TEMP\Symbol.gif">
          <a:extLst>
            <a:ext uri="{FF2B5EF4-FFF2-40B4-BE49-F238E27FC236}">
              <a16:creationId xmlns:a16="http://schemas.microsoft.com/office/drawing/2014/main" id="{00000000-0008-0000-0E00-00000FC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6331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262</xdr:row>
      <xdr:rowOff>161925</xdr:rowOff>
    </xdr:from>
    <xdr:to>
      <xdr:col>1</xdr:col>
      <xdr:colOff>19050</xdr:colOff>
      <xdr:row>263</xdr:row>
      <xdr:rowOff>200025</xdr:rowOff>
    </xdr:to>
    <xdr:pic>
      <xdr:nvPicPr>
        <xdr:cNvPr id="50704" name="Picture 4" descr="C:\WINDOWS\TEMP\Symbol.gif">
          <a:extLst>
            <a:ext uri="{FF2B5EF4-FFF2-40B4-BE49-F238E27FC236}">
              <a16:creationId xmlns:a16="http://schemas.microsoft.com/office/drawing/2014/main" id="{00000000-0008-0000-0E00-000010C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1114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50705" name="Picture 5" descr="C:\WINDOWS\TEMP\~0003946.gif">
          <a:extLst>
            <a:ext uri="{FF2B5EF4-FFF2-40B4-BE49-F238E27FC236}">
              <a16:creationId xmlns:a16="http://schemas.microsoft.com/office/drawing/2014/main" id="{00000000-0008-0000-0E00-000011C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50706" name="Picture 6" descr="C:\WINDOWS\TEMP\~0003946.gif">
          <a:extLst>
            <a:ext uri="{FF2B5EF4-FFF2-40B4-BE49-F238E27FC236}">
              <a16:creationId xmlns:a16="http://schemas.microsoft.com/office/drawing/2014/main" id="{00000000-0008-0000-0E00-000012C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180</xdr:row>
      <xdr:rowOff>104775</xdr:rowOff>
    </xdr:from>
    <xdr:to>
      <xdr:col>16</xdr:col>
      <xdr:colOff>809625</xdr:colOff>
      <xdr:row>181</xdr:row>
      <xdr:rowOff>133350</xdr:rowOff>
    </xdr:to>
    <xdr:pic>
      <xdr:nvPicPr>
        <xdr:cNvPr id="50707" name="Picture 7" descr="C:\WINDOWS\TEMP\~0003946.gif">
          <a:extLst>
            <a:ext uri="{FF2B5EF4-FFF2-40B4-BE49-F238E27FC236}">
              <a16:creationId xmlns:a16="http://schemas.microsoft.com/office/drawing/2014/main" id="{00000000-0008-0000-0E00-000013C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964775" y="36566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262</xdr:row>
      <xdr:rowOff>104775</xdr:rowOff>
    </xdr:from>
    <xdr:to>
      <xdr:col>16</xdr:col>
      <xdr:colOff>895350</xdr:colOff>
      <xdr:row>263</xdr:row>
      <xdr:rowOff>133350</xdr:rowOff>
    </xdr:to>
    <xdr:pic>
      <xdr:nvPicPr>
        <xdr:cNvPr id="50708" name="Picture 8" descr="C:\WINDOWS\TEMP\~0003946.gif">
          <a:extLst>
            <a:ext uri="{FF2B5EF4-FFF2-40B4-BE49-F238E27FC236}">
              <a16:creationId xmlns:a16="http://schemas.microsoft.com/office/drawing/2014/main" id="{00000000-0008-0000-0E00-000014C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53054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50709" name="Picture 9" descr="logoMTL">
          <a:extLst>
            <a:ext uri="{FF2B5EF4-FFF2-40B4-BE49-F238E27FC236}">
              <a16:creationId xmlns:a16="http://schemas.microsoft.com/office/drawing/2014/main" id="{00000000-0008-0000-0E00-000015C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50710" name="Picture 10" descr="logoMTL">
          <a:extLst>
            <a:ext uri="{FF2B5EF4-FFF2-40B4-BE49-F238E27FC236}">
              <a16:creationId xmlns:a16="http://schemas.microsoft.com/office/drawing/2014/main" id="{00000000-0008-0000-0E00-000016C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180</xdr:row>
      <xdr:rowOff>28575</xdr:rowOff>
    </xdr:from>
    <xdr:to>
      <xdr:col>15</xdr:col>
      <xdr:colOff>1171575</xdr:colOff>
      <xdr:row>181</xdr:row>
      <xdr:rowOff>152400</xdr:rowOff>
    </xdr:to>
    <xdr:pic>
      <xdr:nvPicPr>
        <xdr:cNvPr id="50711" name="Picture 11" descr="logoMTL">
          <a:extLst>
            <a:ext uri="{FF2B5EF4-FFF2-40B4-BE49-F238E27FC236}">
              <a16:creationId xmlns:a16="http://schemas.microsoft.com/office/drawing/2014/main" id="{00000000-0008-0000-0E00-000017C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364902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262</xdr:row>
      <xdr:rowOff>0</xdr:rowOff>
    </xdr:from>
    <xdr:to>
      <xdr:col>15</xdr:col>
      <xdr:colOff>1219200</xdr:colOff>
      <xdr:row>263</xdr:row>
      <xdr:rowOff>123825</xdr:rowOff>
    </xdr:to>
    <xdr:pic>
      <xdr:nvPicPr>
        <xdr:cNvPr id="50712" name="Picture 12" descr="logoMTL">
          <a:extLst>
            <a:ext uri="{FF2B5EF4-FFF2-40B4-BE49-F238E27FC236}">
              <a16:creationId xmlns:a16="http://schemas.microsoft.com/office/drawing/2014/main" id="{00000000-0008-0000-0E00-000018C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17050" y="529494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51725" name="Picture 1" descr="C:\WINDOWS\TEMP\Symbol.gif">
          <a:extLst>
            <a:ext uri="{FF2B5EF4-FFF2-40B4-BE49-F238E27FC236}">
              <a16:creationId xmlns:a16="http://schemas.microsoft.com/office/drawing/2014/main" id="{00000000-0008-0000-0F00-00000D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51726" name="Picture 2" descr="C:\WINDOWS\TEMP\Symbol.gif">
          <a:extLst>
            <a:ext uri="{FF2B5EF4-FFF2-40B4-BE49-F238E27FC236}">
              <a16:creationId xmlns:a16="http://schemas.microsoft.com/office/drawing/2014/main" id="{00000000-0008-0000-0F00-00000E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51727" name="Picture 3" descr="C:\WINDOWS\TEMP\Symbol.gif">
          <a:extLst>
            <a:ext uri="{FF2B5EF4-FFF2-40B4-BE49-F238E27FC236}">
              <a16:creationId xmlns:a16="http://schemas.microsoft.com/office/drawing/2014/main" id="{00000000-0008-0000-0F00-00000F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6331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262</xdr:row>
      <xdr:rowOff>161925</xdr:rowOff>
    </xdr:from>
    <xdr:to>
      <xdr:col>1</xdr:col>
      <xdr:colOff>19050</xdr:colOff>
      <xdr:row>263</xdr:row>
      <xdr:rowOff>200025</xdr:rowOff>
    </xdr:to>
    <xdr:pic>
      <xdr:nvPicPr>
        <xdr:cNvPr id="51728" name="Picture 4" descr="C:\WINDOWS\TEMP\Symbol.gif">
          <a:extLst>
            <a:ext uri="{FF2B5EF4-FFF2-40B4-BE49-F238E27FC236}">
              <a16:creationId xmlns:a16="http://schemas.microsoft.com/office/drawing/2014/main" id="{00000000-0008-0000-0F00-000010C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1114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51729" name="Picture 5" descr="C:\WINDOWS\TEMP\~0003946.gif">
          <a:extLst>
            <a:ext uri="{FF2B5EF4-FFF2-40B4-BE49-F238E27FC236}">
              <a16:creationId xmlns:a16="http://schemas.microsoft.com/office/drawing/2014/main" id="{00000000-0008-0000-0F00-000011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51730" name="Picture 6" descr="C:\WINDOWS\TEMP\~0003946.gif">
          <a:extLst>
            <a:ext uri="{FF2B5EF4-FFF2-40B4-BE49-F238E27FC236}">
              <a16:creationId xmlns:a16="http://schemas.microsoft.com/office/drawing/2014/main" id="{00000000-0008-0000-0F00-000012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180</xdr:row>
      <xdr:rowOff>104775</xdr:rowOff>
    </xdr:from>
    <xdr:to>
      <xdr:col>16</xdr:col>
      <xdr:colOff>809625</xdr:colOff>
      <xdr:row>181</xdr:row>
      <xdr:rowOff>133350</xdr:rowOff>
    </xdr:to>
    <xdr:pic>
      <xdr:nvPicPr>
        <xdr:cNvPr id="51731" name="Picture 7" descr="C:\WINDOWS\TEMP\~0003946.gif">
          <a:extLst>
            <a:ext uri="{FF2B5EF4-FFF2-40B4-BE49-F238E27FC236}">
              <a16:creationId xmlns:a16="http://schemas.microsoft.com/office/drawing/2014/main" id="{00000000-0008-0000-0F00-000013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964775" y="36566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262</xdr:row>
      <xdr:rowOff>104775</xdr:rowOff>
    </xdr:from>
    <xdr:to>
      <xdr:col>16</xdr:col>
      <xdr:colOff>895350</xdr:colOff>
      <xdr:row>263</xdr:row>
      <xdr:rowOff>133350</xdr:rowOff>
    </xdr:to>
    <xdr:pic>
      <xdr:nvPicPr>
        <xdr:cNvPr id="51732" name="Picture 8" descr="C:\WINDOWS\TEMP\~0003946.gif">
          <a:extLst>
            <a:ext uri="{FF2B5EF4-FFF2-40B4-BE49-F238E27FC236}">
              <a16:creationId xmlns:a16="http://schemas.microsoft.com/office/drawing/2014/main" id="{00000000-0008-0000-0F00-000014C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53054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51733" name="Picture 9" descr="logoMTL">
          <a:extLst>
            <a:ext uri="{FF2B5EF4-FFF2-40B4-BE49-F238E27FC236}">
              <a16:creationId xmlns:a16="http://schemas.microsoft.com/office/drawing/2014/main" id="{00000000-0008-0000-0F00-000015C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51734" name="Picture 10" descr="logoMTL">
          <a:extLst>
            <a:ext uri="{FF2B5EF4-FFF2-40B4-BE49-F238E27FC236}">
              <a16:creationId xmlns:a16="http://schemas.microsoft.com/office/drawing/2014/main" id="{00000000-0008-0000-0F00-000016C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180</xdr:row>
      <xdr:rowOff>28575</xdr:rowOff>
    </xdr:from>
    <xdr:to>
      <xdr:col>15</xdr:col>
      <xdr:colOff>1171575</xdr:colOff>
      <xdr:row>181</xdr:row>
      <xdr:rowOff>152400</xdr:rowOff>
    </xdr:to>
    <xdr:pic>
      <xdr:nvPicPr>
        <xdr:cNvPr id="51735" name="Picture 11" descr="logoMTL">
          <a:extLst>
            <a:ext uri="{FF2B5EF4-FFF2-40B4-BE49-F238E27FC236}">
              <a16:creationId xmlns:a16="http://schemas.microsoft.com/office/drawing/2014/main" id="{00000000-0008-0000-0F00-000017C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364902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262</xdr:row>
      <xdr:rowOff>0</xdr:rowOff>
    </xdr:from>
    <xdr:to>
      <xdr:col>15</xdr:col>
      <xdr:colOff>1219200</xdr:colOff>
      <xdr:row>263</xdr:row>
      <xdr:rowOff>123825</xdr:rowOff>
    </xdr:to>
    <xdr:pic>
      <xdr:nvPicPr>
        <xdr:cNvPr id="51736" name="Picture 12" descr="logoMTL">
          <a:extLst>
            <a:ext uri="{FF2B5EF4-FFF2-40B4-BE49-F238E27FC236}">
              <a16:creationId xmlns:a16="http://schemas.microsoft.com/office/drawing/2014/main" id="{00000000-0008-0000-0F00-000018C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17050" y="529494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52749" name="Picture 1" descr="C:\WINDOWS\TEMP\Symbol.gif">
          <a:extLst>
            <a:ext uri="{FF2B5EF4-FFF2-40B4-BE49-F238E27FC236}">
              <a16:creationId xmlns:a16="http://schemas.microsoft.com/office/drawing/2014/main" id="{00000000-0008-0000-1000-00000DC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52750" name="Picture 2" descr="C:\WINDOWS\TEMP\Symbol.gif">
          <a:extLst>
            <a:ext uri="{FF2B5EF4-FFF2-40B4-BE49-F238E27FC236}">
              <a16:creationId xmlns:a16="http://schemas.microsoft.com/office/drawing/2014/main" id="{00000000-0008-0000-1000-00000EC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180</xdr:row>
      <xdr:rowOff>171450</xdr:rowOff>
    </xdr:from>
    <xdr:to>
      <xdr:col>1</xdr:col>
      <xdr:colOff>47625</xdr:colOff>
      <xdr:row>181</xdr:row>
      <xdr:rowOff>209550</xdr:rowOff>
    </xdr:to>
    <xdr:pic>
      <xdr:nvPicPr>
        <xdr:cNvPr id="52751" name="Picture 3" descr="C:\WINDOWS\TEMP\Symbol.gif">
          <a:extLst>
            <a:ext uri="{FF2B5EF4-FFF2-40B4-BE49-F238E27FC236}">
              <a16:creationId xmlns:a16="http://schemas.microsoft.com/office/drawing/2014/main" id="{00000000-0008-0000-1000-00000FC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66331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262</xdr:row>
      <xdr:rowOff>161925</xdr:rowOff>
    </xdr:from>
    <xdr:to>
      <xdr:col>1</xdr:col>
      <xdr:colOff>19050</xdr:colOff>
      <xdr:row>263</xdr:row>
      <xdr:rowOff>200025</xdr:rowOff>
    </xdr:to>
    <xdr:pic>
      <xdr:nvPicPr>
        <xdr:cNvPr id="52752" name="Picture 4" descr="C:\WINDOWS\TEMP\Symbol.gif">
          <a:extLst>
            <a:ext uri="{FF2B5EF4-FFF2-40B4-BE49-F238E27FC236}">
              <a16:creationId xmlns:a16="http://schemas.microsoft.com/office/drawing/2014/main" id="{00000000-0008-0000-1000-000010C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31114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52753" name="Picture 5" descr="C:\WINDOWS\TEMP\~0003946.gif">
          <a:extLst>
            <a:ext uri="{FF2B5EF4-FFF2-40B4-BE49-F238E27FC236}">
              <a16:creationId xmlns:a16="http://schemas.microsoft.com/office/drawing/2014/main" id="{00000000-0008-0000-1000-000011C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52754" name="Picture 6" descr="C:\WINDOWS\TEMP\~0003946.gif">
          <a:extLst>
            <a:ext uri="{FF2B5EF4-FFF2-40B4-BE49-F238E27FC236}">
              <a16:creationId xmlns:a16="http://schemas.microsoft.com/office/drawing/2014/main" id="{00000000-0008-0000-1000-000012C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180</xdr:row>
      <xdr:rowOff>104775</xdr:rowOff>
    </xdr:from>
    <xdr:to>
      <xdr:col>16</xdr:col>
      <xdr:colOff>809625</xdr:colOff>
      <xdr:row>181</xdr:row>
      <xdr:rowOff>133350</xdr:rowOff>
    </xdr:to>
    <xdr:pic>
      <xdr:nvPicPr>
        <xdr:cNvPr id="52755" name="Picture 7" descr="C:\WINDOWS\TEMP\~0003946.gif">
          <a:extLst>
            <a:ext uri="{FF2B5EF4-FFF2-40B4-BE49-F238E27FC236}">
              <a16:creationId xmlns:a16="http://schemas.microsoft.com/office/drawing/2014/main" id="{00000000-0008-0000-1000-000013C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964775" y="36566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262</xdr:row>
      <xdr:rowOff>104775</xdr:rowOff>
    </xdr:from>
    <xdr:to>
      <xdr:col>16</xdr:col>
      <xdr:colOff>895350</xdr:colOff>
      <xdr:row>263</xdr:row>
      <xdr:rowOff>133350</xdr:rowOff>
    </xdr:to>
    <xdr:pic>
      <xdr:nvPicPr>
        <xdr:cNvPr id="52756" name="Picture 8" descr="C:\WINDOWS\TEMP\~0003946.gif">
          <a:extLst>
            <a:ext uri="{FF2B5EF4-FFF2-40B4-BE49-F238E27FC236}">
              <a16:creationId xmlns:a16="http://schemas.microsoft.com/office/drawing/2014/main" id="{00000000-0008-0000-1000-000014C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050500" y="53054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52757" name="Picture 9" descr="logoMTL">
          <a:extLst>
            <a:ext uri="{FF2B5EF4-FFF2-40B4-BE49-F238E27FC236}">
              <a16:creationId xmlns:a16="http://schemas.microsoft.com/office/drawing/2014/main" id="{00000000-0008-0000-1000-000015C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52758" name="Picture 10" descr="logoMTL">
          <a:extLst>
            <a:ext uri="{FF2B5EF4-FFF2-40B4-BE49-F238E27FC236}">
              <a16:creationId xmlns:a16="http://schemas.microsoft.com/office/drawing/2014/main" id="{00000000-0008-0000-1000-000016C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180</xdr:row>
      <xdr:rowOff>28575</xdr:rowOff>
    </xdr:from>
    <xdr:to>
      <xdr:col>15</xdr:col>
      <xdr:colOff>1171575</xdr:colOff>
      <xdr:row>181</xdr:row>
      <xdr:rowOff>152400</xdr:rowOff>
    </xdr:to>
    <xdr:pic>
      <xdr:nvPicPr>
        <xdr:cNvPr id="52759" name="Picture 11" descr="logoMTL">
          <a:extLst>
            <a:ext uri="{FF2B5EF4-FFF2-40B4-BE49-F238E27FC236}">
              <a16:creationId xmlns:a16="http://schemas.microsoft.com/office/drawing/2014/main" id="{00000000-0008-0000-1000-000017C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364902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262</xdr:row>
      <xdr:rowOff>0</xdr:rowOff>
    </xdr:from>
    <xdr:to>
      <xdr:col>15</xdr:col>
      <xdr:colOff>1219200</xdr:colOff>
      <xdr:row>263</xdr:row>
      <xdr:rowOff>123825</xdr:rowOff>
    </xdr:to>
    <xdr:pic>
      <xdr:nvPicPr>
        <xdr:cNvPr id="52760" name="Picture 12" descr="logoMTL">
          <a:extLst>
            <a:ext uri="{FF2B5EF4-FFF2-40B4-BE49-F238E27FC236}">
              <a16:creationId xmlns:a16="http://schemas.microsoft.com/office/drawing/2014/main" id="{00000000-0008-0000-1000-000018C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17050" y="529494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53773" name="Picture 1" descr="C:\WINDOWS\TEMP\Symbol.gif">
          <a:extLst>
            <a:ext uri="{FF2B5EF4-FFF2-40B4-BE49-F238E27FC236}">
              <a16:creationId xmlns:a16="http://schemas.microsoft.com/office/drawing/2014/main" id="{00000000-0008-0000-1100-00000DD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53774" name="Picture 2" descr="C:\WINDOWS\TEMP\Symbol.gif">
          <a:extLst>
            <a:ext uri="{FF2B5EF4-FFF2-40B4-BE49-F238E27FC236}">
              <a16:creationId xmlns:a16="http://schemas.microsoft.com/office/drawing/2014/main" id="{00000000-0008-0000-1100-00000ED2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53775" name="Picture 3" descr="C:\WINDOWS\TEMP\Symbol.gif">
          <a:extLst>
            <a:ext uri="{FF2B5EF4-FFF2-40B4-BE49-F238E27FC236}">
              <a16:creationId xmlns:a16="http://schemas.microsoft.com/office/drawing/2014/main" id="{00000000-0008-0000-1100-00000FD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264</xdr:row>
      <xdr:rowOff>161925</xdr:rowOff>
    </xdr:from>
    <xdr:to>
      <xdr:col>1</xdr:col>
      <xdr:colOff>19050</xdr:colOff>
      <xdr:row>265</xdr:row>
      <xdr:rowOff>200025</xdr:rowOff>
    </xdr:to>
    <xdr:pic>
      <xdr:nvPicPr>
        <xdr:cNvPr id="53776" name="Picture 4" descr="C:\WINDOWS\TEMP\Symbol.gif">
          <a:extLst>
            <a:ext uri="{FF2B5EF4-FFF2-40B4-BE49-F238E27FC236}">
              <a16:creationId xmlns:a16="http://schemas.microsoft.com/office/drawing/2014/main" id="{00000000-0008-0000-1100-000010D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3511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53777" name="Picture 5" descr="C:\WINDOWS\TEMP\~0003946.gif">
          <a:extLst>
            <a:ext uri="{FF2B5EF4-FFF2-40B4-BE49-F238E27FC236}">
              <a16:creationId xmlns:a16="http://schemas.microsoft.com/office/drawing/2014/main" id="{00000000-0008-0000-1100-000011D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53778" name="Picture 6" descr="C:\WINDOWS\TEMP\~0003946.gif">
          <a:extLst>
            <a:ext uri="{FF2B5EF4-FFF2-40B4-BE49-F238E27FC236}">
              <a16:creationId xmlns:a16="http://schemas.microsoft.com/office/drawing/2014/main" id="{00000000-0008-0000-1100-000012D2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53779" name="Picture 7" descr="C:\WINDOWS\TEMP\~0003946.gif">
          <a:extLst>
            <a:ext uri="{FF2B5EF4-FFF2-40B4-BE49-F238E27FC236}">
              <a16:creationId xmlns:a16="http://schemas.microsoft.com/office/drawing/2014/main" id="{00000000-0008-0000-1100-000013D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264</xdr:row>
      <xdr:rowOff>104775</xdr:rowOff>
    </xdr:from>
    <xdr:to>
      <xdr:col>16</xdr:col>
      <xdr:colOff>895350</xdr:colOff>
      <xdr:row>265</xdr:row>
      <xdr:rowOff>133350</xdr:rowOff>
    </xdr:to>
    <xdr:pic>
      <xdr:nvPicPr>
        <xdr:cNvPr id="53780" name="Picture 8" descr="C:\WINDOWS\TEMP\~0003946.gif">
          <a:extLst>
            <a:ext uri="{FF2B5EF4-FFF2-40B4-BE49-F238E27FC236}">
              <a16:creationId xmlns:a16="http://schemas.microsoft.com/office/drawing/2014/main" id="{00000000-0008-0000-1100-000014D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3454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53781" name="Picture 9" descr="logoMTL">
          <a:extLst>
            <a:ext uri="{FF2B5EF4-FFF2-40B4-BE49-F238E27FC236}">
              <a16:creationId xmlns:a16="http://schemas.microsoft.com/office/drawing/2014/main" id="{00000000-0008-0000-1100-000015D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53782" name="Picture 10" descr="logoMTL">
          <a:extLst>
            <a:ext uri="{FF2B5EF4-FFF2-40B4-BE49-F238E27FC236}">
              <a16:creationId xmlns:a16="http://schemas.microsoft.com/office/drawing/2014/main" id="{00000000-0008-0000-1100-000016D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53783" name="Picture 11" descr="logoMTL">
          <a:extLst>
            <a:ext uri="{FF2B5EF4-FFF2-40B4-BE49-F238E27FC236}">
              <a16:creationId xmlns:a16="http://schemas.microsoft.com/office/drawing/2014/main" id="{00000000-0008-0000-1100-000017D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264</xdr:row>
      <xdr:rowOff>0</xdr:rowOff>
    </xdr:from>
    <xdr:to>
      <xdr:col>15</xdr:col>
      <xdr:colOff>1219200</xdr:colOff>
      <xdr:row>265</xdr:row>
      <xdr:rowOff>123825</xdr:rowOff>
    </xdr:to>
    <xdr:pic>
      <xdr:nvPicPr>
        <xdr:cNvPr id="53784" name="Picture 12" descr="logoMTL">
          <a:extLst>
            <a:ext uri="{FF2B5EF4-FFF2-40B4-BE49-F238E27FC236}">
              <a16:creationId xmlns:a16="http://schemas.microsoft.com/office/drawing/2014/main" id="{00000000-0008-0000-1100-000018D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33495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54797" name="Picture 1" descr="C:\WINDOWS\TEMP\Symbol.gif">
          <a:extLst>
            <a:ext uri="{FF2B5EF4-FFF2-40B4-BE49-F238E27FC236}">
              <a16:creationId xmlns:a16="http://schemas.microsoft.com/office/drawing/2014/main" id="{00000000-0008-0000-1200-00000DD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54798" name="Picture 2" descr="C:\WINDOWS\TEMP\Symbol.gif">
          <a:extLst>
            <a:ext uri="{FF2B5EF4-FFF2-40B4-BE49-F238E27FC236}">
              <a16:creationId xmlns:a16="http://schemas.microsoft.com/office/drawing/2014/main" id="{00000000-0008-0000-1200-00000ED6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54799" name="Picture 3" descr="C:\WINDOWS\TEMP\Symbol.gif">
          <a:extLst>
            <a:ext uri="{FF2B5EF4-FFF2-40B4-BE49-F238E27FC236}">
              <a16:creationId xmlns:a16="http://schemas.microsoft.com/office/drawing/2014/main" id="{00000000-0008-0000-1200-00000FD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264</xdr:row>
      <xdr:rowOff>161925</xdr:rowOff>
    </xdr:from>
    <xdr:to>
      <xdr:col>1</xdr:col>
      <xdr:colOff>19050</xdr:colOff>
      <xdr:row>265</xdr:row>
      <xdr:rowOff>200025</xdr:rowOff>
    </xdr:to>
    <xdr:pic>
      <xdr:nvPicPr>
        <xdr:cNvPr id="54800" name="Picture 4" descr="C:\WINDOWS\TEMP\Symbol.gif">
          <a:extLst>
            <a:ext uri="{FF2B5EF4-FFF2-40B4-BE49-F238E27FC236}">
              <a16:creationId xmlns:a16="http://schemas.microsoft.com/office/drawing/2014/main" id="{00000000-0008-0000-1200-000010D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3511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54801" name="Picture 5" descr="C:\WINDOWS\TEMP\~0003946.gif">
          <a:extLst>
            <a:ext uri="{FF2B5EF4-FFF2-40B4-BE49-F238E27FC236}">
              <a16:creationId xmlns:a16="http://schemas.microsoft.com/office/drawing/2014/main" id="{00000000-0008-0000-1200-000011D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54802" name="Picture 6" descr="C:\WINDOWS\TEMP\~0003946.gif">
          <a:extLst>
            <a:ext uri="{FF2B5EF4-FFF2-40B4-BE49-F238E27FC236}">
              <a16:creationId xmlns:a16="http://schemas.microsoft.com/office/drawing/2014/main" id="{00000000-0008-0000-1200-000012D6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54803" name="Picture 7" descr="C:\WINDOWS\TEMP\~0003946.gif">
          <a:extLst>
            <a:ext uri="{FF2B5EF4-FFF2-40B4-BE49-F238E27FC236}">
              <a16:creationId xmlns:a16="http://schemas.microsoft.com/office/drawing/2014/main" id="{00000000-0008-0000-1200-000013D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264</xdr:row>
      <xdr:rowOff>104775</xdr:rowOff>
    </xdr:from>
    <xdr:to>
      <xdr:col>16</xdr:col>
      <xdr:colOff>895350</xdr:colOff>
      <xdr:row>265</xdr:row>
      <xdr:rowOff>133350</xdr:rowOff>
    </xdr:to>
    <xdr:pic>
      <xdr:nvPicPr>
        <xdr:cNvPr id="54804" name="Picture 8" descr="C:\WINDOWS\TEMP\~0003946.gif">
          <a:extLst>
            <a:ext uri="{FF2B5EF4-FFF2-40B4-BE49-F238E27FC236}">
              <a16:creationId xmlns:a16="http://schemas.microsoft.com/office/drawing/2014/main" id="{00000000-0008-0000-1200-000014D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3454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54805" name="Picture 9" descr="logoMTL">
          <a:extLst>
            <a:ext uri="{FF2B5EF4-FFF2-40B4-BE49-F238E27FC236}">
              <a16:creationId xmlns:a16="http://schemas.microsoft.com/office/drawing/2014/main" id="{00000000-0008-0000-1200-000015D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54806" name="Picture 10" descr="logoMTL">
          <a:extLst>
            <a:ext uri="{FF2B5EF4-FFF2-40B4-BE49-F238E27FC236}">
              <a16:creationId xmlns:a16="http://schemas.microsoft.com/office/drawing/2014/main" id="{00000000-0008-0000-1200-000016D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54807" name="Picture 11" descr="logoMTL">
          <a:extLst>
            <a:ext uri="{FF2B5EF4-FFF2-40B4-BE49-F238E27FC236}">
              <a16:creationId xmlns:a16="http://schemas.microsoft.com/office/drawing/2014/main" id="{00000000-0008-0000-1200-000017D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264</xdr:row>
      <xdr:rowOff>0</xdr:rowOff>
    </xdr:from>
    <xdr:to>
      <xdr:col>15</xdr:col>
      <xdr:colOff>1219200</xdr:colOff>
      <xdr:row>265</xdr:row>
      <xdr:rowOff>123825</xdr:rowOff>
    </xdr:to>
    <xdr:pic>
      <xdr:nvPicPr>
        <xdr:cNvPr id="54808" name="Picture 12" descr="logoMTL">
          <a:extLst>
            <a:ext uri="{FF2B5EF4-FFF2-40B4-BE49-F238E27FC236}">
              <a16:creationId xmlns:a16="http://schemas.microsoft.com/office/drawing/2014/main" id="{00000000-0008-0000-1200-000018D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33495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7393" name="Picture 1" descr="C:\WINDOWS\TEMP\Symbol.gif">
          <a:extLst>
            <a:ext uri="{FF2B5EF4-FFF2-40B4-BE49-F238E27FC236}">
              <a16:creationId xmlns:a16="http://schemas.microsoft.com/office/drawing/2014/main" id="{00000000-0008-0000-0100-0000119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124</xdr:row>
      <xdr:rowOff>161925</xdr:rowOff>
    </xdr:from>
    <xdr:to>
      <xdr:col>1</xdr:col>
      <xdr:colOff>28575</xdr:colOff>
      <xdr:row>125</xdr:row>
      <xdr:rowOff>200025</xdr:rowOff>
    </xdr:to>
    <xdr:pic>
      <xdr:nvPicPr>
        <xdr:cNvPr id="37394" name="Picture 2" descr="C:\WINDOWS\TEMP\Symbol.gif">
          <a:extLst>
            <a:ext uri="{FF2B5EF4-FFF2-40B4-BE49-F238E27FC236}">
              <a16:creationId xmlns:a16="http://schemas.microsoft.com/office/drawing/2014/main" id="{00000000-0008-0000-0100-0000129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54793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174</xdr:row>
      <xdr:rowOff>171450</xdr:rowOff>
    </xdr:from>
    <xdr:to>
      <xdr:col>1</xdr:col>
      <xdr:colOff>47625</xdr:colOff>
      <xdr:row>175</xdr:row>
      <xdr:rowOff>209550</xdr:rowOff>
    </xdr:to>
    <xdr:pic>
      <xdr:nvPicPr>
        <xdr:cNvPr id="37395" name="Picture 3" descr="C:\WINDOWS\TEMP\Symbol.gif">
          <a:extLst>
            <a:ext uri="{FF2B5EF4-FFF2-40B4-BE49-F238E27FC236}">
              <a16:creationId xmlns:a16="http://schemas.microsoft.com/office/drawing/2014/main" id="{00000000-0008-0000-0100-0000139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556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223</xdr:row>
      <xdr:rowOff>161925</xdr:rowOff>
    </xdr:from>
    <xdr:to>
      <xdr:col>1</xdr:col>
      <xdr:colOff>19050</xdr:colOff>
      <xdr:row>224</xdr:row>
      <xdr:rowOff>200025</xdr:rowOff>
    </xdr:to>
    <xdr:pic>
      <xdr:nvPicPr>
        <xdr:cNvPr id="37396" name="Picture 4" descr="C:\WINDOWS\TEMP\Symbol.gif">
          <a:extLst>
            <a:ext uri="{FF2B5EF4-FFF2-40B4-BE49-F238E27FC236}">
              <a16:creationId xmlns:a16="http://schemas.microsoft.com/office/drawing/2014/main" id="{00000000-0008-0000-0100-0000149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454056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62</xdr:row>
      <xdr:rowOff>123825</xdr:rowOff>
    </xdr:from>
    <xdr:to>
      <xdr:col>16</xdr:col>
      <xdr:colOff>885825</xdr:colOff>
      <xdr:row>63</xdr:row>
      <xdr:rowOff>152400</xdr:rowOff>
    </xdr:to>
    <xdr:pic>
      <xdr:nvPicPr>
        <xdr:cNvPr id="37397" name="Picture 9" descr="C:\WINDOWS\TEMP\~0003946.gif">
          <a:extLst>
            <a:ext uri="{FF2B5EF4-FFF2-40B4-BE49-F238E27FC236}">
              <a16:creationId xmlns:a16="http://schemas.microsoft.com/office/drawing/2014/main" id="{00000000-0008-0000-0100-00001592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8307050" y="12592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124</xdr:row>
      <xdr:rowOff>123825</xdr:rowOff>
    </xdr:from>
    <xdr:to>
      <xdr:col>16</xdr:col>
      <xdr:colOff>895350</xdr:colOff>
      <xdr:row>125</xdr:row>
      <xdr:rowOff>152400</xdr:rowOff>
    </xdr:to>
    <xdr:pic>
      <xdr:nvPicPr>
        <xdr:cNvPr id="37398" name="Picture 10" descr="C:\WINDOWS\TEMP\~0003946.gif">
          <a:extLst>
            <a:ext uri="{FF2B5EF4-FFF2-40B4-BE49-F238E27FC236}">
              <a16:creationId xmlns:a16="http://schemas.microsoft.com/office/drawing/2014/main" id="{00000000-0008-0000-0100-00001692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18316575" y="25441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174</xdr:row>
      <xdr:rowOff>104775</xdr:rowOff>
    </xdr:from>
    <xdr:to>
      <xdr:col>16</xdr:col>
      <xdr:colOff>809625</xdr:colOff>
      <xdr:row>175</xdr:row>
      <xdr:rowOff>133350</xdr:rowOff>
    </xdr:to>
    <xdr:pic>
      <xdr:nvPicPr>
        <xdr:cNvPr id="37399" name="Picture 11" descr="C:\WINDOWS\TEMP\~0003946.gif">
          <a:extLst>
            <a:ext uri="{FF2B5EF4-FFF2-40B4-BE49-F238E27FC236}">
              <a16:creationId xmlns:a16="http://schemas.microsoft.com/office/drawing/2014/main" id="{00000000-0008-0000-0100-00001792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18230850" y="3549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223</xdr:row>
      <xdr:rowOff>104775</xdr:rowOff>
    </xdr:from>
    <xdr:to>
      <xdr:col>16</xdr:col>
      <xdr:colOff>895350</xdr:colOff>
      <xdr:row>224</xdr:row>
      <xdr:rowOff>133350</xdr:rowOff>
    </xdr:to>
    <xdr:pic>
      <xdr:nvPicPr>
        <xdr:cNvPr id="37400" name="Picture 12" descr="C:\WINDOWS\TEMP\~0003946.gif">
          <a:extLst>
            <a:ext uri="{FF2B5EF4-FFF2-40B4-BE49-F238E27FC236}">
              <a16:creationId xmlns:a16="http://schemas.microsoft.com/office/drawing/2014/main" id="{00000000-0008-0000-0100-00001892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8316575" y="45348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62</xdr:row>
      <xdr:rowOff>38100</xdr:rowOff>
    </xdr:from>
    <xdr:to>
      <xdr:col>15</xdr:col>
      <xdr:colOff>1247775</xdr:colOff>
      <xdr:row>63</xdr:row>
      <xdr:rowOff>161925</xdr:rowOff>
    </xdr:to>
    <xdr:pic>
      <xdr:nvPicPr>
        <xdr:cNvPr id="37401" name="Picture 13" descr="logoMTL">
          <a:extLst>
            <a:ext uri="{FF2B5EF4-FFF2-40B4-BE49-F238E27FC236}">
              <a16:creationId xmlns:a16="http://schemas.microsoft.com/office/drawing/2014/main" id="{00000000-0008-0000-0100-00001992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411700" y="12506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124</xdr:row>
      <xdr:rowOff>38100</xdr:rowOff>
    </xdr:from>
    <xdr:to>
      <xdr:col>15</xdr:col>
      <xdr:colOff>1171575</xdr:colOff>
      <xdr:row>125</xdr:row>
      <xdr:rowOff>161925</xdr:rowOff>
    </xdr:to>
    <xdr:pic>
      <xdr:nvPicPr>
        <xdr:cNvPr id="37402" name="Picture 14" descr="logoMTL">
          <a:extLst>
            <a:ext uri="{FF2B5EF4-FFF2-40B4-BE49-F238E27FC236}">
              <a16:creationId xmlns:a16="http://schemas.microsoft.com/office/drawing/2014/main" id="{00000000-0008-0000-0100-00001A9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335500" y="253555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174</xdr:row>
      <xdr:rowOff>28575</xdr:rowOff>
    </xdr:from>
    <xdr:to>
      <xdr:col>15</xdr:col>
      <xdr:colOff>1171575</xdr:colOff>
      <xdr:row>175</xdr:row>
      <xdr:rowOff>152400</xdr:rowOff>
    </xdr:to>
    <xdr:pic>
      <xdr:nvPicPr>
        <xdr:cNvPr id="37403" name="Picture 15" descr="logoMTL">
          <a:extLst>
            <a:ext uri="{FF2B5EF4-FFF2-40B4-BE49-F238E27FC236}">
              <a16:creationId xmlns:a16="http://schemas.microsoft.com/office/drawing/2014/main" id="{00000000-0008-0000-0100-00001B9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335500" y="354234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223</xdr:row>
      <xdr:rowOff>0</xdr:rowOff>
    </xdr:from>
    <xdr:to>
      <xdr:col>15</xdr:col>
      <xdr:colOff>1219200</xdr:colOff>
      <xdr:row>224</xdr:row>
      <xdr:rowOff>123825</xdr:rowOff>
    </xdr:to>
    <xdr:pic>
      <xdr:nvPicPr>
        <xdr:cNvPr id="37404" name="Picture 16" descr="logoMTL">
          <a:extLst>
            <a:ext uri="{FF2B5EF4-FFF2-40B4-BE49-F238E27FC236}">
              <a16:creationId xmlns:a16="http://schemas.microsoft.com/office/drawing/2014/main" id="{00000000-0008-0000-0100-00001C9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383125" y="452437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55821" name="Picture 1" descr="C:\WINDOWS\TEMP\Symbol.gif">
          <a:extLst>
            <a:ext uri="{FF2B5EF4-FFF2-40B4-BE49-F238E27FC236}">
              <a16:creationId xmlns:a16="http://schemas.microsoft.com/office/drawing/2014/main" id="{00000000-0008-0000-1300-00000DD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55822" name="Picture 2" descr="C:\WINDOWS\TEMP\Symbol.gif">
          <a:extLst>
            <a:ext uri="{FF2B5EF4-FFF2-40B4-BE49-F238E27FC236}">
              <a16:creationId xmlns:a16="http://schemas.microsoft.com/office/drawing/2014/main" id="{00000000-0008-0000-1300-00000EDA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55823" name="Picture 3" descr="C:\WINDOWS\TEMP\Symbol.gif">
          <a:extLst>
            <a:ext uri="{FF2B5EF4-FFF2-40B4-BE49-F238E27FC236}">
              <a16:creationId xmlns:a16="http://schemas.microsoft.com/office/drawing/2014/main" id="{00000000-0008-0000-1300-00000FD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264</xdr:row>
      <xdr:rowOff>161925</xdr:rowOff>
    </xdr:from>
    <xdr:to>
      <xdr:col>1</xdr:col>
      <xdr:colOff>19050</xdr:colOff>
      <xdr:row>265</xdr:row>
      <xdr:rowOff>200025</xdr:rowOff>
    </xdr:to>
    <xdr:pic>
      <xdr:nvPicPr>
        <xdr:cNvPr id="55824" name="Picture 4" descr="C:\WINDOWS\TEMP\Symbol.gif">
          <a:extLst>
            <a:ext uri="{FF2B5EF4-FFF2-40B4-BE49-F238E27FC236}">
              <a16:creationId xmlns:a16="http://schemas.microsoft.com/office/drawing/2014/main" id="{00000000-0008-0000-1300-000010D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3511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55825" name="Picture 5" descr="C:\WINDOWS\TEMP\~0003946.gif">
          <a:extLst>
            <a:ext uri="{FF2B5EF4-FFF2-40B4-BE49-F238E27FC236}">
              <a16:creationId xmlns:a16="http://schemas.microsoft.com/office/drawing/2014/main" id="{00000000-0008-0000-1300-000011D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55826" name="Picture 6" descr="C:\WINDOWS\TEMP\~0003946.gif">
          <a:extLst>
            <a:ext uri="{FF2B5EF4-FFF2-40B4-BE49-F238E27FC236}">
              <a16:creationId xmlns:a16="http://schemas.microsoft.com/office/drawing/2014/main" id="{00000000-0008-0000-1300-000012DA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55827" name="Picture 7" descr="C:\WINDOWS\TEMP\~0003946.gif">
          <a:extLst>
            <a:ext uri="{FF2B5EF4-FFF2-40B4-BE49-F238E27FC236}">
              <a16:creationId xmlns:a16="http://schemas.microsoft.com/office/drawing/2014/main" id="{00000000-0008-0000-1300-000013D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264</xdr:row>
      <xdr:rowOff>104775</xdr:rowOff>
    </xdr:from>
    <xdr:to>
      <xdr:col>16</xdr:col>
      <xdr:colOff>895350</xdr:colOff>
      <xdr:row>265</xdr:row>
      <xdr:rowOff>133350</xdr:rowOff>
    </xdr:to>
    <xdr:pic>
      <xdr:nvPicPr>
        <xdr:cNvPr id="55828" name="Picture 8" descr="C:\WINDOWS\TEMP\~0003946.gif">
          <a:extLst>
            <a:ext uri="{FF2B5EF4-FFF2-40B4-BE49-F238E27FC236}">
              <a16:creationId xmlns:a16="http://schemas.microsoft.com/office/drawing/2014/main" id="{00000000-0008-0000-1300-000014D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3454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55829" name="Picture 9" descr="logoMTL">
          <a:extLst>
            <a:ext uri="{FF2B5EF4-FFF2-40B4-BE49-F238E27FC236}">
              <a16:creationId xmlns:a16="http://schemas.microsoft.com/office/drawing/2014/main" id="{00000000-0008-0000-1300-000015DA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55830" name="Picture 10" descr="logoMTL">
          <a:extLst>
            <a:ext uri="{FF2B5EF4-FFF2-40B4-BE49-F238E27FC236}">
              <a16:creationId xmlns:a16="http://schemas.microsoft.com/office/drawing/2014/main" id="{00000000-0008-0000-1300-000016D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55831" name="Picture 11" descr="logoMTL">
          <a:extLst>
            <a:ext uri="{FF2B5EF4-FFF2-40B4-BE49-F238E27FC236}">
              <a16:creationId xmlns:a16="http://schemas.microsoft.com/office/drawing/2014/main" id="{00000000-0008-0000-1300-000017D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264</xdr:row>
      <xdr:rowOff>0</xdr:rowOff>
    </xdr:from>
    <xdr:to>
      <xdr:col>15</xdr:col>
      <xdr:colOff>1219200</xdr:colOff>
      <xdr:row>265</xdr:row>
      <xdr:rowOff>123825</xdr:rowOff>
    </xdr:to>
    <xdr:pic>
      <xdr:nvPicPr>
        <xdr:cNvPr id="55832" name="Picture 12" descr="logoMTL">
          <a:extLst>
            <a:ext uri="{FF2B5EF4-FFF2-40B4-BE49-F238E27FC236}">
              <a16:creationId xmlns:a16="http://schemas.microsoft.com/office/drawing/2014/main" id="{00000000-0008-0000-1300-000018D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33495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56845" name="Picture 1" descr="C:\WINDOWS\TEMP\Symbol.gif">
          <a:extLst>
            <a:ext uri="{FF2B5EF4-FFF2-40B4-BE49-F238E27FC236}">
              <a16:creationId xmlns:a16="http://schemas.microsoft.com/office/drawing/2014/main" id="{00000000-0008-0000-1400-00000DD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56846" name="Picture 2" descr="C:\WINDOWS\TEMP\Symbol.gif">
          <a:extLst>
            <a:ext uri="{FF2B5EF4-FFF2-40B4-BE49-F238E27FC236}">
              <a16:creationId xmlns:a16="http://schemas.microsoft.com/office/drawing/2014/main" id="{00000000-0008-0000-1400-00000ED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56847" name="Picture 3" descr="C:\WINDOWS\TEMP\Symbol.gif">
          <a:extLst>
            <a:ext uri="{FF2B5EF4-FFF2-40B4-BE49-F238E27FC236}">
              <a16:creationId xmlns:a16="http://schemas.microsoft.com/office/drawing/2014/main" id="{00000000-0008-0000-1400-00000FD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56848" name="Picture 4" descr="C:\WINDOWS\TEMP\Symbol.gif">
          <a:extLst>
            <a:ext uri="{FF2B5EF4-FFF2-40B4-BE49-F238E27FC236}">
              <a16:creationId xmlns:a16="http://schemas.microsoft.com/office/drawing/2014/main" id="{00000000-0008-0000-1400-000010D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3711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56849" name="Picture 5" descr="C:\WINDOWS\TEMP\~0003946.gif">
          <a:extLst>
            <a:ext uri="{FF2B5EF4-FFF2-40B4-BE49-F238E27FC236}">
              <a16:creationId xmlns:a16="http://schemas.microsoft.com/office/drawing/2014/main" id="{00000000-0008-0000-1400-000011DE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56850" name="Picture 6" descr="C:\WINDOWS\TEMP\~0003946.gif">
          <a:extLst>
            <a:ext uri="{FF2B5EF4-FFF2-40B4-BE49-F238E27FC236}">
              <a16:creationId xmlns:a16="http://schemas.microsoft.com/office/drawing/2014/main" id="{00000000-0008-0000-1400-000012DE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56851" name="Picture 7" descr="C:\WINDOWS\TEMP\~0003946.gif">
          <a:extLst>
            <a:ext uri="{FF2B5EF4-FFF2-40B4-BE49-F238E27FC236}">
              <a16:creationId xmlns:a16="http://schemas.microsoft.com/office/drawing/2014/main" id="{00000000-0008-0000-1400-000013DE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296477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265</xdr:row>
      <xdr:rowOff>104775</xdr:rowOff>
    </xdr:from>
    <xdr:to>
      <xdr:col>16</xdr:col>
      <xdr:colOff>895350</xdr:colOff>
      <xdr:row>266</xdr:row>
      <xdr:rowOff>133350</xdr:rowOff>
    </xdr:to>
    <xdr:pic>
      <xdr:nvPicPr>
        <xdr:cNvPr id="56852" name="Picture 8" descr="C:\WINDOWS\TEMP\~0003946.gif">
          <a:extLst>
            <a:ext uri="{FF2B5EF4-FFF2-40B4-BE49-F238E27FC236}">
              <a16:creationId xmlns:a16="http://schemas.microsoft.com/office/drawing/2014/main" id="{00000000-0008-0000-1400-000014DE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050500" y="53654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56853" name="Picture 9" descr="logoMTL">
          <a:extLst>
            <a:ext uri="{FF2B5EF4-FFF2-40B4-BE49-F238E27FC236}">
              <a16:creationId xmlns:a16="http://schemas.microsoft.com/office/drawing/2014/main" id="{00000000-0008-0000-1400-000015D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56854" name="Picture 10" descr="logoMTL">
          <a:extLst>
            <a:ext uri="{FF2B5EF4-FFF2-40B4-BE49-F238E27FC236}">
              <a16:creationId xmlns:a16="http://schemas.microsoft.com/office/drawing/2014/main" id="{00000000-0008-0000-1400-000016D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56855" name="Picture 11" descr="logoMTL">
          <a:extLst>
            <a:ext uri="{FF2B5EF4-FFF2-40B4-BE49-F238E27FC236}">
              <a16:creationId xmlns:a16="http://schemas.microsoft.com/office/drawing/2014/main" id="{00000000-0008-0000-1400-000017D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06942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265</xdr:row>
      <xdr:rowOff>0</xdr:rowOff>
    </xdr:from>
    <xdr:to>
      <xdr:col>15</xdr:col>
      <xdr:colOff>1219200</xdr:colOff>
      <xdr:row>266</xdr:row>
      <xdr:rowOff>123825</xdr:rowOff>
    </xdr:to>
    <xdr:pic>
      <xdr:nvPicPr>
        <xdr:cNvPr id="56856" name="Picture 12" descr="logoMTL">
          <a:extLst>
            <a:ext uri="{FF2B5EF4-FFF2-40B4-BE49-F238E27FC236}">
              <a16:creationId xmlns:a16="http://schemas.microsoft.com/office/drawing/2014/main" id="{00000000-0008-0000-1400-000018D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117050" y="535495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57869" name="Picture 1" descr="C:\WINDOWS\TEMP\Symbol.gif">
          <a:extLst>
            <a:ext uri="{FF2B5EF4-FFF2-40B4-BE49-F238E27FC236}">
              <a16:creationId xmlns:a16="http://schemas.microsoft.com/office/drawing/2014/main" id="{00000000-0008-0000-1500-00000DE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57870" name="Picture 2" descr="C:\WINDOWS\TEMP\Symbol.gif">
          <a:extLst>
            <a:ext uri="{FF2B5EF4-FFF2-40B4-BE49-F238E27FC236}">
              <a16:creationId xmlns:a16="http://schemas.microsoft.com/office/drawing/2014/main" id="{00000000-0008-0000-1500-00000EE2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57871" name="Picture 3" descr="C:\WINDOWS\TEMP\Symbol.gif">
          <a:extLst>
            <a:ext uri="{FF2B5EF4-FFF2-40B4-BE49-F238E27FC236}">
              <a16:creationId xmlns:a16="http://schemas.microsoft.com/office/drawing/2014/main" id="{00000000-0008-0000-1500-00000FE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57872" name="Picture 4" descr="C:\WINDOWS\TEMP\Symbol.gif">
          <a:extLst>
            <a:ext uri="{FF2B5EF4-FFF2-40B4-BE49-F238E27FC236}">
              <a16:creationId xmlns:a16="http://schemas.microsoft.com/office/drawing/2014/main" id="{00000000-0008-0000-1500-000010E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3711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57873" name="Picture 5" descr="C:\WINDOWS\TEMP\~0003946.gif">
          <a:extLst>
            <a:ext uri="{FF2B5EF4-FFF2-40B4-BE49-F238E27FC236}">
              <a16:creationId xmlns:a16="http://schemas.microsoft.com/office/drawing/2014/main" id="{00000000-0008-0000-1500-000011E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57874" name="Picture 6" descr="C:\WINDOWS\TEMP\~0003946.gif">
          <a:extLst>
            <a:ext uri="{FF2B5EF4-FFF2-40B4-BE49-F238E27FC236}">
              <a16:creationId xmlns:a16="http://schemas.microsoft.com/office/drawing/2014/main" id="{00000000-0008-0000-1500-000012E2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57875" name="Picture 7" descr="C:\WINDOWS\TEMP\~0003946.gif">
          <a:extLst>
            <a:ext uri="{FF2B5EF4-FFF2-40B4-BE49-F238E27FC236}">
              <a16:creationId xmlns:a16="http://schemas.microsoft.com/office/drawing/2014/main" id="{00000000-0008-0000-1500-000013E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265</xdr:row>
      <xdr:rowOff>104775</xdr:rowOff>
    </xdr:from>
    <xdr:to>
      <xdr:col>16</xdr:col>
      <xdr:colOff>895350</xdr:colOff>
      <xdr:row>266</xdr:row>
      <xdr:rowOff>133350</xdr:rowOff>
    </xdr:to>
    <xdr:pic>
      <xdr:nvPicPr>
        <xdr:cNvPr id="57876" name="Picture 8" descr="C:\WINDOWS\TEMP\~0003946.gif">
          <a:extLst>
            <a:ext uri="{FF2B5EF4-FFF2-40B4-BE49-F238E27FC236}">
              <a16:creationId xmlns:a16="http://schemas.microsoft.com/office/drawing/2014/main" id="{00000000-0008-0000-1500-000014E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3654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57877" name="Picture 9" descr="logoMTL">
          <a:extLst>
            <a:ext uri="{FF2B5EF4-FFF2-40B4-BE49-F238E27FC236}">
              <a16:creationId xmlns:a16="http://schemas.microsoft.com/office/drawing/2014/main" id="{00000000-0008-0000-1500-000015E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57878" name="Picture 10" descr="logoMTL">
          <a:extLst>
            <a:ext uri="{FF2B5EF4-FFF2-40B4-BE49-F238E27FC236}">
              <a16:creationId xmlns:a16="http://schemas.microsoft.com/office/drawing/2014/main" id="{00000000-0008-0000-1500-000016E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57879" name="Picture 11" descr="logoMTL">
          <a:extLst>
            <a:ext uri="{FF2B5EF4-FFF2-40B4-BE49-F238E27FC236}">
              <a16:creationId xmlns:a16="http://schemas.microsoft.com/office/drawing/2014/main" id="{00000000-0008-0000-1500-000017E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265</xdr:row>
      <xdr:rowOff>0</xdr:rowOff>
    </xdr:from>
    <xdr:to>
      <xdr:col>15</xdr:col>
      <xdr:colOff>1219200</xdr:colOff>
      <xdr:row>266</xdr:row>
      <xdr:rowOff>123825</xdr:rowOff>
    </xdr:to>
    <xdr:pic>
      <xdr:nvPicPr>
        <xdr:cNvPr id="57880" name="Picture 12" descr="logoMTL">
          <a:extLst>
            <a:ext uri="{FF2B5EF4-FFF2-40B4-BE49-F238E27FC236}">
              <a16:creationId xmlns:a16="http://schemas.microsoft.com/office/drawing/2014/main" id="{00000000-0008-0000-1500-000018E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35495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58893" name="Picture 1" descr="C:\WINDOWS\TEMP\Symbol.gif">
          <a:extLst>
            <a:ext uri="{FF2B5EF4-FFF2-40B4-BE49-F238E27FC236}">
              <a16:creationId xmlns:a16="http://schemas.microsoft.com/office/drawing/2014/main" id="{00000000-0008-0000-1600-00000DE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58894" name="Picture 2" descr="C:\WINDOWS\TEMP\Symbol.gif">
          <a:extLst>
            <a:ext uri="{FF2B5EF4-FFF2-40B4-BE49-F238E27FC236}">
              <a16:creationId xmlns:a16="http://schemas.microsoft.com/office/drawing/2014/main" id="{00000000-0008-0000-1600-00000EE6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58895" name="Picture 3" descr="C:\WINDOWS\TEMP\Symbol.gif">
          <a:extLst>
            <a:ext uri="{FF2B5EF4-FFF2-40B4-BE49-F238E27FC236}">
              <a16:creationId xmlns:a16="http://schemas.microsoft.com/office/drawing/2014/main" id="{00000000-0008-0000-1600-00000FE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265</xdr:row>
      <xdr:rowOff>161925</xdr:rowOff>
    </xdr:from>
    <xdr:to>
      <xdr:col>1</xdr:col>
      <xdr:colOff>19050</xdr:colOff>
      <xdr:row>266</xdr:row>
      <xdr:rowOff>200025</xdr:rowOff>
    </xdr:to>
    <xdr:pic>
      <xdr:nvPicPr>
        <xdr:cNvPr id="58896" name="Picture 4" descr="C:\WINDOWS\TEMP\Symbol.gif">
          <a:extLst>
            <a:ext uri="{FF2B5EF4-FFF2-40B4-BE49-F238E27FC236}">
              <a16:creationId xmlns:a16="http://schemas.microsoft.com/office/drawing/2014/main" id="{00000000-0008-0000-1600-000010E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3711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58897" name="Picture 5" descr="C:\WINDOWS\TEMP\~0003946.gif">
          <a:extLst>
            <a:ext uri="{FF2B5EF4-FFF2-40B4-BE49-F238E27FC236}">
              <a16:creationId xmlns:a16="http://schemas.microsoft.com/office/drawing/2014/main" id="{00000000-0008-0000-1600-000011E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58898" name="Picture 6" descr="C:\WINDOWS\TEMP\~0003946.gif">
          <a:extLst>
            <a:ext uri="{FF2B5EF4-FFF2-40B4-BE49-F238E27FC236}">
              <a16:creationId xmlns:a16="http://schemas.microsoft.com/office/drawing/2014/main" id="{00000000-0008-0000-1600-000012E6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58899" name="Picture 7" descr="C:\WINDOWS\TEMP\~0003946.gif">
          <a:extLst>
            <a:ext uri="{FF2B5EF4-FFF2-40B4-BE49-F238E27FC236}">
              <a16:creationId xmlns:a16="http://schemas.microsoft.com/office/drawing/2014/main" id="{00000000-0008-0000-1600-000013E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265</xdr:row>
      <xdr:rowOff>104775</xdr:rowOff>
    </xdr:from>
    <xdr:to>
      <xdr:col>16</xdr:col>
      <xdr:colOff>895350</xdr:colOff>
      <xdr:row>266</xdr:row>
      <xdr:rowOff>133350</xdr:rowOff>
    </xdr:to>
    <xdr:pic>
      <xdr:nvPicPr>
        <xdr:cNvPr id="58900" name="Picture 8" descr="C:\WINDOWS\TEMP\~0003946.gif">
          <a:extLst>
            <a:ext uri="{FF2B5EF4-FFF2-40B4-BE49-F238E27FC236}">
              <a16:creationId xmlns:a16="http://schemas.microsoft.com/office/drawing/2014/main" id="{00000000-0008-0000-1600-000014E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3654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58901" name="Picture 9" descr="logoMTL">
          <a:extLst>
            <a:ext uri="{FF2B5EF4-FFF2-40B4-BE49-F238E27FC236}">
              <a16:creationId xmlns:a16="http://schemas.microsoft.com/office/drawing/2014/main" id="{00000000-0008-0000-1600-000015E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58902" name="Picture 10" descr="logoMTL">
          <a:extLst>
            <a:ext uri="{FF2B5EF4-FFF2-40B4-BE49-F238E27FC236}">
              <a16:creationId xmlns:a16="http://schemas.microsoft.com/office/drawing/2014/main" id="{00000000-0008-0000-1600-000016E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58903" name="Picture 11" descr="logoMTL">
          <a:extLst>
            <a:ext uri="{FF2B5EF4-FFF2-40B4-BE49-F238E27FC236}">
              <a16:creationId xmlns:a16="http://schemas.microsoft.com/office/drawing/2014/main" id="{00000000-0008-0000-1600-000017E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265</xdr:row>
      <xdr:rowOff>0</xdr:rowOff>
    </xdr:from>
    <xdr:to>
      <xdr:col>15</xdr:col>
      <xdr:colOff>1219200</xdr:colOff>
      <xdr:row>266</xdr:row>
      <xdr:rowOff>123825</xdr:rowOff>
    </xdr:to>
    <xdr:pic>
      <xdr:nvPicPr>
        <xdr:cNvPr id="58904" name="Picture 12" descr="logoMTL">
          <a:extLst>
            <a:ext uri="{FF2B5EF4-FFF2-40B4-BE49-F238E27FC236}">
              <a16:creationId xmlns:a16="http://schemas.microsoft.com/office/drawing/2014/main" id="{00000000-0008-0000-1600-000018E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35495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59917" name="Picture 1" descr="C:\WINDOWS\TEMP\Symbol.gif">
          <a:extLst>
            <a:ext uri="{FF2B5EF4-FFF2-40B4-BE49-F238E27FC236}">
              <a16:creationId xmlns:a16="http://schemas.microsoft.com/office/drawing/2014/main" id="{00000000-0008-0000-1700-00000DE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59918" name="Picture 2" descr="C:\WINDOWS\TEMP\Symbol.gif">
          <a:extLst>
            <a:ext uri="{FF2B5EF4-FFF2-40B4-BE49-F238E27FC236}">
              <a16:creationId xmlns:a16="http://schemas.microsoft.com/office/drawing/2014/main" id="{00000000-0008-0000-1700-00000EEA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59919" name="Picture 3" descr="C:\WINDOWS\TEMP\Symbol.gif">
          <a:extLst>
            <a:ext uri="{FF2B5EF4-FFF2-40B4-BE49-F238E27FC236}">
              <a16:creationId xmlns:a16="http://schemas.microsoft.com/office/drawing/2014/main" id="{00000000-0008-0000-1700-00000FE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59920" name="Picture 4" descr="C:\WINDOWS\TEMP\Symbol.gif">
          <a:extLst>
            <a:ext uri="{FF2B5EF4-FFF2-40B4-BE49-F238E27FC236}">
              <a16:creationId xmlns:a16="http://schemas.microsoft.com/office/drawing/2014/main" id="{00000000-0008-0000-1700-000010E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59921" name="Picture 5" descr="C:\WINDOWS\TEMP\~0003946.gif">
          <a:extLst>
            <a:ext uri="{FF2B5EF4-FFF2-40B4-BE49-F238E27FC236}">
              <a16:creationId xmlns:a16="http://schemas.microsoft.com/office/drawing/2014/main" id="{00000000-0008-0000-1700-000011E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59922" name="Picture 6" descr="C:\WINDOWS\TEMP\~0003946.gif">
          <a:extLst>
            <a:ext uri="{FF2B5EF4-FFF2-40B4-BE49-F238E27FC236}">
              <a16:creationId xmlns:a16="http://schemas.microsoft.com/office/drawing/2014/main" id="{00000000-0008-0000-1700-000012EA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59923" name="Picture 7" descr="C:\WINDOWS\TEMP\~0003946.gif">
          <a:extLst>
            <a:ext uri="{FF2B5EF4-FFF2-40B4-BE49-F238E27FC236}">
              <a16:creationId xmlns:a16="http://schemas.microsoft.com/office/drawing/2014/main" id="{00000000-0008-0000-1700-000013E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275</xdr:row>
      <xdr:rowOff>104775</xdr:rowOff>
    </xdr:from>
    <xdr:to>
      <xdr:col>16</xdr:col>
      <xdr:colOff>895350</xdr:colOff>
      <xdr:row>276</xdr:row>
      <xdr:rowOff>133350</xdr:rowOff>
    </xdr:to>
    <xdr:pic>
      <xdr:nvPicPr>
        <xdr:cNvPr id="59924" name="Picture 8" descr="C:\WINDOWS\TEMP\~0003946.gif">
          <a:extLst>
            <a:ext uri="{FF2B5EF4-FFF2-40B4-BE49-F238E27FC236}">
              <a16:creationId xmlns:a16="http://schemas.microsoft.com/office/drawing/2014/main" id="{00000000-0008-0000-1700-000014E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5654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59925" name="Picture 9" descr="logoMTL">
          <a:extLst>
            <a:ext uri="{FF2B5EF4-FFF2-40B4-BE49-F238E27FC236}">
              <a16:creationId xmlns:a16="http://schemas.microsoft.com/office/drawing/2014/main" id="{00000000-0008-0000-1700-000015EA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59926" name="Picture 10" descr="logoMTL">
          <a:extLst>
            <a:ext uri="{FF2B5EF4-FFF2-40B4-BE49-F238E27FC236}">
              <a16:creationId xmlns:a16="http://schemas.microsoft.com/office/drawing/2014/main" id="{00000000-0008-0000-1700-000016E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59927" name="Picture 11" descr="logoMTL">
          <a:extLst>
            <a:ext uri="{FF2B5EF4-FFF2-40B4-BE49-F238E27FC236}">
              <a16:creationId xmlns:a16="http://schemas.microsoft.com/office/drawing/2014/main" id="{00000000-0008-0000-1700-000017E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59928" name="Picture 12" descr="logoMTL">
          <a:extLst>
            <a:ext uri="{FF2B5EF4-FFF2-40B4-BE49-F238E27FC236}">
              <a16:creationId xmlns:a16="http://schemas.microsoft.com/office/drawing/2014/main" id="{00000000-0008-0000-1700-000018E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60941" name="Picture 1" descr="C:\WINDOWS\TEMP\Symbol.gif">
          <a:extLst>
            <a:ext uri="{FF2B5EF4-FFF2-40B4-BE49-F238E27FC236}">
              <a16:creationId xmlns:a16="http://schemas.microsoft.com/office/drawing/2014/main" id="{00000000-0008-0000-1800-00000DE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60942" name="Picture 2" descr="C:\WINDOWS\TEMP\Symbol.gif">
          <a:extLst>
            <a:ext uri="{FF2B5EF4-FFF2-40B4-BE49-F238E27FC236}">
              <a16:creationId xmlns:a16="http://schemas.microsoft.com/office/drawing/2014/main" id="{00000000-0008-0000-1800-00000EEE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60943" name="Picture 3" descr="C:\WINDOWS\TEMP\Symbol.gif">
          <a:extLst>
            <a:ext uri="{FF2B5EF4-FFF2-40B4-BE49-F238E27FC236}">
              <a16:creationId xmlns:a16="http://schemas.microsoft.com/office/drawing/2014/main" id="{00000000-0008-0000-1800-00000FE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60944" name="Picture 4" descr="C:\WINDOWS\TEMP\Symbol.gif">
          <a:extLst>
            <a:ext uri="{FF2B5EF4-FFF2-40B4-BE49-F238E27FC236}">
              <a16:creationId xmlns:a16="http://schemas.microsoft.com/office/drawing/2014/main" id="{00000000-0008-0000-1800-000010E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60945" name="Picture 5" descr="C:\WINDOWS\TEMP\~0003946.gif">
          <a:extLst>
            <a:ext uri="{FF2B5EF4-FFF2-40B4-BE49-F238E27FC236}">
              <a16:creationId xmlns:a16="http://schemas.microsoft.com/office/drawing/2014/main" id="{00000000-0008-0000-1800-000011EE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60946" name="Picture 6" descr="C:\WINDOWS\TEMP\~0003946.gif">
          <a:extLst>
            <a:ext uri="{FF2B5EF4-FFF2-40B4-BE49-F238E27FC236}">
              <a16:creationId xmlns:a16="http://schemas.microsoft.com/office/drawing/2014/main" id="{00000000-0008-0000-1800-000012EE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60947" name="Picture 7" descr="C:\WINDOWS\TEMP\~0003946.gif">
          <a:extLst>
            <a:ext uri="{FF2B5EF4-FFF2-40B4-BE49-F238E27FC236}">
              <a16:creationId xmlns:a16="http://schemas.microsoft.com/office/drawing/2014/main" id="{00000000-0008-0000-1800-000013EE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275</xdr:row>
      <xdr:rowOff>104775</xdr:rowOff>
    </xdr:from>
    <xdr:to>
      <xdr:col>16</xdr:col>
      <xdr:colOff>895350</xdr:colOff>
      <xdr:row>276</xdr:row>
      <xdr:rowOff>133350</xdr:rowOff>
    </xdr:to>
    <xdr:pic>
      <xdr:nvPicPr>
        <xdr:cNvPr id="60948" name="Picture 8" descr="C:\WINDOWS\TEMP\~0003946.gif">
          <a:extLst>
            <a:ext uri="{FF2B5EF4-FFF2-40B4-BE49-F238E27FC236}">
              <a16:creationId xmlns:a16="http://schemas.microsoft.com/office/drawing/2014/main" id="{00000000-0008-0000-1800-000014EE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5654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60949" name="Picture 9" descr="logoMTL">
          <a:extLst>
            <a:ext uri="{FF2B5EF4-FFF2-40B4-BE49-F238E27FC236}">
              <a16:creationId xmlns:a16="http://schemas.microsoft.com/office/drawing/2014/main" id="{00000000-0008-0000-1800-000015E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60950" name="Picture 10" descr="logoMTL">
          <a:extLst>
            <a:ext uri="{FF2B5EF4-FFF2-40B4-BE49-F238E27FC236}">
              <a16:creationId xmlns:a16="http://schemas.microsoft.com/office/drawing/2014/main" id="{00000000-0008-0000-1800-000016E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60951" name="Picture 11" descr="logoMTL">
          <a:extLst>
            <a:ext uri="{FF2B5EF4-FFF2-40B4-BE49-F238E27FC236}">
              <a16:creationId xmlns:a16="http://schemas.microsoft.com/office/drawing/2014/main" id="{00000000-0008-0000-1800-000017E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60952" name="Picture 12" descr="logoMTL">
          <a:extLst>
            <a:ext uri="{FF2B5EF4-FFF2-40B4-BE49-F238E27FC236}">
              <a16:creationId xmlns:a16="http://schemas.microsoft.com/office/drawing/2014/main" id="{00000000-0008-0000-1800-000018E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61965" name="Picture 1" descr="C:\WINDOWS\TEMP\Symbol.gif">
          <a:extLst>
            <a:ext uri="{FF2B5EF4-FFF2-40B4-BE49-F238E27FC236}">
              <a16:creationId xmlns:a16="http://schemas.microsoft.com/office/drawing/2014/main" id="{00000000-0008-0000-1900-00000DF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61966" name="Picture 2" descr="C:\WINDOWS\TEMP\Symbol.gif">
          <a:extLst>
            <a:ext uri="{FF2B5EF4-FFF2-40B4-BE49-F238E27FC236}">
              <a16:creationId xmlns:a16="http://schemas.microsoft.com/office/drawing/2014/main" id="{00000000-0008-0000-1900-00000EF2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61967" name="Picture 3" descr="C:\WINDOWS\TEMP\Symbol.gif">
          <a:extLst>
            <a:ext uri="{FF2B5EF4-FFF2-40B4-BE49-F238E27FC236}">
              <a16:creationId xmlns:a16="http://schemas.microsoft.com/office/drawing/2014/main" id="{00000000-0008-0000-1900-00000FF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61968" name="Picture 4" descr="C:\WINDOWS\TEMP\Symbol.gif">
          <a:extLst>
            <a:ext uri="{FF2B5EF4-FFF2-40B4-BE49-F238E27FC236}">
              <a16:creationId xmlns:a16="http://schemas.microsoft.com/office/drawing/2014/main" id="{00000000-0008-0000-1900-000010F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61969" name="Picture 5" descr="C:\WINDOWS\TEMP\~0003946.gif">
          <a:extLst>
            <a:ext uri="{FF2B5EF4-FFF2-40B4-BE49-F238E27FC236}">
              <a16:creationId xmlns:a16="http://schemas.microsoft.com/office/drawing/2014/main" id="{00000000-0008-0000-1900-000011F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61970" name="Picture 6" descr="C:\WINDOWS\TEMP\~0003946.gif">
          <a:extLst>
            <a:ext uri="{FF2B5EF4-FFF2-40B4-BE49-F238E27FC236}">
              <a16:creationId xmlns:a16="http://schemas.microsoft.com/office/drawing/2014/main" id="{00000000-0008-0000-1900-000012F2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61971" name="Picture 7" descr="C:\WINDOWS\TEMP\~0003946.gif">
          <a:extLst>
            <a:ext uri="{FF2B5EF4-FFF2-40B4-BE49-F238E27FC236}">
              <a16:creationId xmlns:a16="http://schemas.microsoft.com/office/drawing/2014/main" id="{00000000-0008-0000-1900-000013F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275</xdr:row>
      <xdr:rowOff>104775</xdr:rowOff>
    </xdr:from>
    <xdr:to>
      <xdr:col>16</xdr:col>
      <xdr:colOff>895350</xdr:colOff>
      <xdr:row>276</xdr:row>
      <xdr:rowOff>133350</xdr:rowOff>
    </xdr:to>
    <xdr:pic>
      <xdr:nvPicPr>
        <xdr:cNvPr id="61972" name="Picture 8" descr="C:\WINDOWS\TEMP\~0003946.gif">
          <a:extLst>
            <a:ext uri="{FF2B5EF4-FFF2-40B4-BE49-F238E27FC236}">
              <a16:creationId xmlns:a16="http://schemas.microsoft.com/office/drawing/2014/main" id="{00000000-0008-0000-1900-000014F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5654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61973" name="Picture 9" descr="logoMTL">
          <a:extLst>
            <a:ext uri="{FF2B5EF4-FFF2-40B4-BE49-F238E27FC236}">
              <a16:creationId xmlns:a16="http://schemas.microsoft.com/office/drawing/2014/main" id="{00000000-0008-0000-1900-000015F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61974" name="Picture 10" descr="logoMTL">
          <a:extLst>
            <a:ext uri="{FF2B5EF4-FFF2-40B4-BE49-F238E27FC236}">
              <a16:creationId xmlns:a16="http://schemas.microsoft.com/office/drawing/2014/main" id="{00000000-0008-0000-1900-000016F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61975" name="Picture 11" descr="logoMTL">
          <a:extLst>
            <a:ext uri="{FF2B5EF4-FFF2-40B4-BE49-F238E27FC236}">
              <a16:creationId xmlns:a16="http://schemas.microsoft.com/office/drawing/2014/main" id="{00000000-0008-0000-1900-000017F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61976" name="Picture 12" descr="logoMTL">
          <a:extLst>
            <a:ext uri="{FF2B5EF4-FFF2-40B4-BE49-F238E27FC236}">
              <a16:creationId xmlns:a16="http://schemas.microsoft.com/office/drawing/2014/main" id="{00000000-0008-0000-1900-000018F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62929" name="Picture 1" descr="C:\WINDOWS\TEMP\Symbol.gif">
          <a:extLst>
            <a:ext uri="{FF2B5EF4-FFF2-40B4-BE49-F238E27FC236}">
              <a16:creationId xmlns:a16="http://schemas.microsoft.com/office/drawing/2014/main" id="{00000000-0008-0000-1A00-0000D1F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62930" name="Picture 2" descr="C:\WINDOWS\TEMP\Symbol.gif">
          <a:extLst>
            <a:ext uri="{FF2B5EF4-FFF2-40B4-BE49-F238E27FC236}">
              <a16:creationId xmlns:a16="http://schemas.microsoft.com/office/drawing/2014/main" id="{00000000-0008-0000-1A00-0000D2F5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62931" name="Picture 3" descr="C:\WINDOWS\TEMP\Symbol.gif">
          <a:extLst>
            <a:ext uri="{FF2B5EF4-FFF2-40B4-BE49-F238E27FC236}">
              <a16:creationId xmlns:a16="http://schemas.microsoft.com/office/drawing/2014/main" id="{00000000-0008-0000-1A00-0000D3F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62932" name="Picture 4" descr="C:\WINDOWS\TEMP\Symbol.gif">
          <a:extLst>
            <a:ext uri="{FF2B5EF4-FFF2-40B4-BE49-F238E27FC236}">
              <a16:creationId xmlns:a16="http://schemas.microsoft.com/office/drawing/2014/main" id="{00000000-0008-0000-1A00-0000D4F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62933" name="Picture 5" descr="C:\WINDOWS\TEMP\~0003946.gif">
          <a:extLst>
            <a:ext uri="{FF2B5EF4-FFF2-40B4-BE49-F238E27FC236}">
              <a16:creationId xmlns:a16="http://schemas.microsoft.com/office/drawing/2014/main" id="{00000000-0008-0000-1A00-0000D5F5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62934" name="Picture 6" descr="C:\WINDOWS\TEMP\~0003946.gif">
          <a:extLst>
            <a:ext uri="{FF2B5EF4-FFF2-40B4-BE49-F238E27FC236}">
              <a16:creationId xmlns:a16="http://schemas.microsoft.com/office/drawing/2014/main" id="{00000000-0008-0000-1A00-0000D6F50000}"/>
            </a:ext>
          </a:extLst>
        </xdr:cNvPr>
        <xdr:cNvPicPr>
          <a:picLocks noChangeAspect="1" noChangeArrowheads="1"/>
        </xdr:cNvPicPr>
      </xdr:nvPicPr>
      <xdr:blipFill>
        <a:blip xmlns:r="http://schemas.openxmlformats.org/officeDocument/2006/relationships" r:link="rId5">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62935" name="Picture 7" descr="C:\WINDOWS\TEMP\~0003946.gif">
          <a:extLst>
            <a:ext uri="{FF2B5EF4-FFF2-40B4-BE49-F238E27FC236}">
              <a16:creationId xmlns:a16="http://schemas.microsoft.com/office/drawing/2014/main" id="{00000000-0008-0000-1A00-0000D7F5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275</xdr:row>
      <xdr:rowOff>104775</xdr:rowOff>
    </xdr:from>
    <xdr:to>
      <xdr:col>16</xdr:col>
      <xdr:colOff>895350</xdr:colOff>
      <xdr:row>276</xdr:row>
      <xdr:rowOff>133350</xdr:rowOff>
    </xdr:to>
    <xdr:pic>
      <xdr:nvPicPr>
        <xdr:cNvPr id="62936" name="Picture 8" descr="C:\WINDOWS\TEMP\~0003946.gif">
          <a:extLst>
            <a:ext uri="{FF2B5EF4-FFF2-40B4-BE49-F238E27FC236}">
              <a16:creationId xmlns:a16="http://schemas.microsoft.com/office/drawing/2014/main" id="{00000000-0008-0000-1A00-0000D8F5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5654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62937" name="Picture 9" descr="logoMTL">
          <a:extLst>
            <a:ext uri="{FF2B5EF4-FFF2-40B4-BE49-F238E27FC236}">
              <a16:creationId xmlns:a16="http://schemas.microsoft.com/office/drawing/2014/main" id="{00000000-0008-0000-1A00-0000D9F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62938" name="Picture 10" descr="logoMTL">
          <a:extLst>
            <a:ext uri="{FF2B5EF4-FFF2-40B4-BE49-F238E27FC236}">
              <a16:creationId xmlns:a16="http://schemas.microsoft.com/office/drawing/2014/main" id="{00000000-0008-0000-1A00-0000DAF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62939" name="Picture 11" descr="logoMTL">
          <a:extLst>
            <a:ext uri="{FF2B5EF4-FFF2-40B4-BE49-F238E27FC236}">
              <a16:creationId xmlns:a16="http://schemas.microsoft.com/office/drawing/2014/main" id="{00000000-0008-0000-1A00-0000DBF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62940" name="Picture 12" descr="logoMTL">
          <a:extLst>
            <a:ext uri="{FF2B5EF4-FFF2-40B4-BE49-F238E27FC236}">
              <a16:creationId xmlns:a16="http://schemas.microsoft.com/office/drawing/2014/main" id="{00000000-0008-0000-1A00-0000DCF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11705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64941" name="Picture 1" descr="C:\WINDOWS\TEMP\Symbol.gif">
          <a:extLst>
            <a:ext uri="{FF2B5EF4-FFF2-40B4-BE49-F238E27FC236}">
              <a16:creationId xmlns:a16="http://schemas.microsoft.com/office/drawing/2014/main" id="{00000000-0008-0000-1B00-0000ADF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64942" name="Picture 2" descr="C:\WINDOWS\TEMP\Symbol.gif">
          <a:extLst>
            <a:ext uri="{FF2B5EF4-FFF2-40B4-BE49-F238E27FC236}">
              <a16:creationId xmlns:a16="http://schemas.microsoft.com/office/drawing/2014/main" id="{00000000-0008-0000-1B00-0000AEFD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64943" name="Picture 3" descr="C:\WINDOWS\TEMP\Symbol.gif">
          <a:extLst>
            <a:ext uri="{FF2B5EF4-FFF2-40B4-BE49-F238E27FC236}">
              <a16:creationId xmlns:a16="http://schemas.microsoft.com/office/drawing/2014/main" id="{00000000-0008-0000-1B00-0000AFF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64944" name="Picture 4" descr="C:\WINDOWS\TEMP\Symbol.gif">
          <a:extLst>
            <a:ext uri="{FF2B5EF4-FFF2-40B4-BE49-F238E27FC236}">
              <a16:creationId xmlns:a16="http://schemas.microsoft.com/office/drawing/2014/main" id="{00000000-0008-0000-1B00-0000B0F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64945" name="Picture 5" descr="C:\WINDOWS\TEMP\~0003946.gif">
          <a:extLst>
            <a:ext uri="{FF2B5EF4-FFF2-40B4-BE49-F238E27FC236}">
              <a16:creationId xmlns:a16="http://schemas.microsoft.com/office/drawing/2014/main" id="{00000000-0008-0000-1B00-0000B1FD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64946" name="Picture 6" descr="C:\WINDOWS\TEMP\~0003946.gif">
          <a:extLst>
            <a:ext uri="{FF2B5EF4-FFF2-40B4-BE49-F238E27FC236}">
              <a16:creationId xmlns:a16="http://schemas.microsoft.com/office/drawing/2014/main" id="{00000000-0008-0000-1B00-0000B2FD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64947" name="Picture 7" descr="C:\WINDOWS\TEMP\~0003946.gif">
          <a:extLst>
            <a:ext uri="{FF2B5EF4-FFF2-40B4-BE49-F238E27FC236}">
              <a16:creationId xmlns:a16="http://schemas.microsoft.com/office/drawing/2014/main" id="{00000000-0008-0000-1B00-0000B3FD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275</xdr:row>
      <xdr:rowOff>104775</xdr:rowOff>
    </xdr:from>
    <xdr:to>
      <xdr:col>16</xdr:col>
      <xdr:colOff>895350</xdr:colOff>
      <xdr:row>276</xdr:row>
      <xdr:rowOff>133350</xdr:rowOff>
    </xdr:to>
    <xdr:pic>
      <xdr:nvPicPr>
        <xdr:cNvPr id="64948" name="Picture 8" descr="C:\WINDOWS\TEMP\~0003946.gif">
          <a:extLst>
            <a:ext uri="{FF2B5EF4-FFF2-40B4-BE49-F238E27FC236}">
              <a16:creationId xmlns:a16="http://schemas.microsoft.com/office/drawing/2014/main" id="{00000000-0008-0000-1B00-0000B4FD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5654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64949" name="Picture 9" descr="logoMTL">
          <a:extLst>
            <a:ext uri="{FF2B5EF4-FFF2-40B4-BE49-F238E27FC236}">
              <a16:creationId xmlns:a16="http://schemas.microsoft.com/office/drawing/2014/main" id="{00000000-0008-0000-1B00-0000B5F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64950" name="Picture 10" descr="logoMTL">
          <a:extLst>
            <a:ext uri="{FF2B5EF4-FFF2-40B4-BE49-F238E27FC236}">
              <a16:creationId xmlns:a16="http://schemas.microsoft.com/office/drawing/2014/main" id="{00000000-0008-0000-1B00-0000B6F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64951" name="Picture 11" descr="logoMTL">
          <a:extLst>
            <a:ext uri="{FF2B5EF4-FFF2-40B4-BE49-F238E27FC236}">
              <a16:creationId xmlns:a16="http://schemas.microsoft.com/office/drawing/2014/main" id="{00000000-0008-0000-1B00-0000B7F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64952" name="Picture 12" descr="logoMTL">
          <a:extLst>
            <a:ext uri="{FF2B5EF4-FFF2-40B4-BE49-F238E27FC236}">
              <a16:creationId xmlns:a16="http://schemas.microsoft.com/office/drawing/2014/main" id="{00000000-0008-0000-1B00-0000B8F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65941" name="Picture 1" descr="C:\WINDOWS\TEMP\Symbol.gif">
          <a:extLst>
            <a:ext uri="{FF2B5EF4-FFF2-40B4-BE49-F238E27FC236}">
              <a16:creationId xmlns:a16="http://schemas.microsoft.com/office/drawing/2014/main" id="{00000000-0008-0000-1C00-00009501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65942" name="Picture 2" descr="C:\WINDOWS\TEMP\Symbol.gif">
          <a:extLst>
            <a:ext uri="{FF2B5EF4-FFF2-40B4-BE49-F238E27FC236}">
              <a16:creationId xmlns:a16="http://schemas.microsoft.com/office/drawing/2014/main" id="{00000000-0008-0000-1C00-0000960101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65943" name="Picture 3" descr="C:\WINDOWS\TEMP\Symbol.gif">
          <a:extLst>
            <a:ext uri="{FF2B5EF4-FFF2-40B4-BE49-F238E27FC236}">
              <a16:creationId xmlns:a16="http://schemas.microsoft.com/office/drawing/2014/main" id="{00000000-0008-0000-1C00-00009701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65944" name="Picture 4" descr="C:\WINDOWS\TEMP\Symbol.gif">
          <a:extLst>
            <a:ext uri="{FF2B5EF4-FFF2-40B4-BE49-F238E27FC236}">
              <a16:creationId xmlns:a16="http://schemas.microsoft.com/office/drawing/2014/main" id="{00000000-0008-0000-1C00-00009801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65945" name="Picture 5" descr="C:\WINDOWS\TEMP\~0003946.gif">
          <a:extLst>
            <a:ext uri="{FF2B5EF4-FFF2-40B4-BE49-F238E27FC236}">
              <a16:creationId xmlns:a16="http://schemas.microsoft.com/office/drawing/2014/main" id="{00000000-0008-0000-1C00-00009901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65946" name="Picture 6" descr="C:\WINDOWS\TEMP\~0003946.gif">
          <a:extLst>
            <a:ext uri="{FF2B5EF4-FFF2-40B4-BE49-F238E27FC236}">
              <a16:creationId xmlns:a16="http://schemas.microsoft.com/office/drawing/2014/main" id="{00000000-0008-0000-1C00-00009A0101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65947" name="Picture 7" descr="C:\WINDOWS\TEMP\~0003946.gif">
          <a:extLst>
            <a:ext uri="{FF2B5EF4-FFF2-40B4-BE49-F238E27FC236}">
              <a16:creationId xmlns:a16="http://schemas.microsoft.com/office/drawing/2014/main" id="{00000000-0008-0000-1C00-00009B010100}"/>
            </a:ext>
          </a:extLst>
        </xdr:cNvPr>
        <xdr:cNvPicPr>
          <a:picLocks noChangeAspect="1" noChangeArrowheads="1"/>
        </xdr:cNvPicPr>
      </xdr:nvPicPr>
      <xdr:blipFill>
        <a:blip xmlns:r="http://schemas.openxmlformats.org/officeDocument/2006/relationships" r:link="rId5">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275</xdr:row>
      <xdr:rowOff>104775</xdr:rowOff>
    </xdr:from>
    <xdr:to>
      <xdr:col>16</xdr:col>
      <xdr:colOff>895350</xdr:colOff>
      <xdr:row>276</xdr:row>
      <xdr:rowOff>133350</xdr:rowOff>
    </xdr:to>
    <xdr:pic>
      <xdr:nvPicPr>
        <xdr:cNvPr id="65948" name="Picture 8" descr="C:\WINDOWS\TEMP\~0003946.gif">
          <a:extLst>
            <a:ext uri="{FF2B5EF4-FFF2-40B4-BE49-F238E27FC236}">
              <a16:creationId xmlns:a16="http://schemas.microsoft.com/office/drawing/2014/main" id="{00000000-0008-0000-1C00-00009C01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5654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65949" name="Picture 9" descr="logoMTL">
          <a:extLst>
            <a:ext uri="{FF2B5EF4-FFF2-40B4-BE49-F238E27FC236}">
              <a16:creationId xmlns:a16="http://schemas.microsoft.com/office/drawing/2014/main" id="{00000000-0008-0000-1C00-00009D010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65950" name="Picture 10" descr="logoMTL">
          <a:extLst>
            <a:ext uri="{FF2B5EF4-FFF2-40B4-BE49-F238E27FC236}">
              <a16:creationId xmlns:a16="http://schemas.microsoft.com/office/drawing/2014/main" id="{00000000-0008-0000-1C00-00009E01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65951" name="Picture 11" descr="logoMTL">
          <a:extLst>
            <a:ext uri="{FF2B5EF4-FFF2-40B4-BE49-F238E27FC236}">
              <a16:creationId xmlns:a16="http://schemas.microsoft.com/office/drawing/2014/main" id="{00000000-0008-0000-1C00-00009F01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65952" name="Picture 12" descr="logoMTL">
          <a:extLst>
            <a:ext uri="{FF2B5EF4-FFF2-40B4-BE49-F238E27FC236}">
              <a16:creationId xmlns:a16="http://schemas.microsoft.com/office/drawing/2014/main" id="{00000000-0008-0000-1C00-0000A001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8413" name="Picture 1" descr="C:\WINDOWS\TEMP\Symbol.gif">
          <a:extLst>
            <a:ext uri="{FF2B5EF4-FFF2-40B4-BE49-F238E27FC236}">
              <a16:creationId xmlns:a16="http://schemas.microsoft.com/office/drawing/2014/main" id="{00000000-0008-0000-0200-00000D9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58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126</xdr:row>
      <xdr:rowOff>0</xdr:rowOff>
    </xdr:from>
    <xdr:to>
      <xdr:col>1</xdr:col>
      <xdr:colOff>28575</xdr:colOff>
      <xdr:row>126</xdr:row>
      <xdr:rowOff>200025</xdr:rowOff>
    </xdr:to>
    <xdr:pic>
      <xdr:nvPicPr>
        <xdr:cNvPr id="38414" name="Picture 2" descr="C:\WINDOWS\TEMP\Symbol.gif">
          <a:extLst>
            <a:ext uri="{FF2B5EF4-FFF2-40B4-BE49-F238E27FC236}">
              <a16:creationId xmlns:a16="http://schemas.microsoft.com/office/drawing/2014/main" id="{00000000-0008-0000-0200-00000E96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57175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175</xdr:row>
      <xdr:rowOff>171450</xdr:rowOff>
    </xdr:from>
    <xdr:to>
      <xdr:col>1</xdr:col>
      <xdr:colOff>47625</xdr:colOff>
      <xdr:row>176</xdr:row>
      <xdr:rowOff>209550</xdr:rowOff>
    </xdr:to>
    <xdr:pic>
      <xdr:nvPicPr>
        <xdr:cNvPr id="38415" name="Picture 3" descr="C:\WINDOWS\TEMP\Symbol.gif">
          <a:extLst>
            <a:ext uri="{FF2B5EF4-FFF2-40B4-BE49-F238E27FC236}">
              <a16:creationId xmlns:a16="http://schemas.microsoft.com/office/drawing/2014/main" id="{00000000-0008-0000-0200-00000F9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57663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251</xdr:row>
      <xdr:rowOff>161925</xdr:rowOff>
    </xdr:from>
    <xdr:to>
      <xdr:col>1</xdr:col>
      <xdr:colOff>19050</xdr:colOff>
      <xdr:row>252</xdr:row>
      <xdr:rowOff>200025</xdr:rowOff>
    </xdr:to>
    <xdr:pic>
      <xdr:nvPicPr>
        <xdr:cNvPr id="38416" name="Picture 4" descr="C:\WINDOWS\TEMP\Symbol.gif">
          <a:extLst>
            <a:ext uri="{FF2B5EF4-FFF2-40B4-BE49-F238E27FC236}">
              <a16:creationId xmlns:a16="http://schemas.microsoft.com/office/drawing/2014/main" id="{00000000-0008-0000-0200-0000109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10063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62</xdr:row>
      <xdr:rowOff>123825</xdr:rowOff>
    </xdr:from>
    <xdr:to>
      <xdr:col>16</xdr:col>
      <xdr:colOff>885825</xdr:colOff>
      <xdr:row>63</xdr:row>
      <xdr:rowOff>152400</xdr:rowOff>
    </xdr:to>
    <xdr:pic>
      <xdr:nvPicPr>
        <xdr:cNvPr id="38417" name="Picture 5" descr="C:\WINDOWS\TEMP\~0003946.gif">
          <a:extLst>
            <a:ext uri="{FF2B5EF4-FFF2-40B4-BE49-F238E27FC236}">
              <a16:creationId xmlns:a16="http://schemas.microsoft.com/office/drawing/2014/main" id="{00000000-0008-0000-0200-0000119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1212175" y="12592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126</xdr:row>
      <xdr:rowOff>0</xdr:rowOff>
    </xdr:from>
    <xdr:to>
      <xdr:col>16</xdr:col>
      <xdr:colOff>895350</xdr:colOff>
      <xdr:row>126</xdr:row>
      <xdr:rowOff>152400</xdr:rowOff>
    </xdr:to>
    <xdr:pic>
      <xdr:nvPicPr>
        <xdr:cNvPr id="38418" name="Picture 6" descr="C:\WINDOWS\TEMP\~0003946.gif">
          <a:extLst>
            <a:ext uri="{FF2B5EF4-FFF2-40B4-BE49-F238E27FC236}">
              <a16:creationId xmlns:a16="http://schemas.microsoft.com/office/drawing/2014/main" id="{00000000-0008-0000-0200-00001296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1221700" y="257175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175</xdr:row>
      <xdr:rowOff>104775</xdr:rowOff>
    </xdr:from>
    <xdr:to>
      <xdr:col>16</xdr:col>
      <xdr:colOff>809625</xdr:colOff>
      <xdr:row>176</xdr:row>
      <xdr:rowOff>133350</xdr:rowOff>
    </xdr:to>
    <xdr:pic>
      <xdr:nvPicPr>
        <xdr:cNvPr id="38419" name="Picture 7" descr="C:\WINDOWS\TEMP\~0003946.gif">
          <a:extLst>
            <a:ext uri="{FF2B5EF4-FFF2-40B4-BE49-F238E27FC236}">
              <a16:creationId xmlns:a16="http://schemas.microsoft.com/office/drawing/2014/main" id="{00000000-0008-0000-0200-0000139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1135975" y="35699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251</xdr:row>
      <xdr:rowOff>104775</xdr:rowOff>
    </xdr:from>
    <xdr:to>
      <xdr:col>16</xdr:col>
      <xdr:colOff>895350</xdr:colOff>
      <xdr:row>252</xdr:row>
      <xdr:rowOff>133350</xdr:rowOff>
    </xdr:to>
    <xdr:pic>
      <xdr:nvPicPr>
        <xdr:cNvPr id="38420" name="Picture 8" descr="C:\WINDOWS\TEMP\~0003946.gif">
          <a:extLst>
            <a:ext uri="{FF2B5EF4-FFF2-40B4-BE49-F238E27FC236}">
              <a16:creationId xmlns:a16="http://schemas.microsoft.com/office/drawing/2014/main" id="{00000000-0008-0000-0200-0000149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1221700" y="50949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62</xdr:row>
      <xdr:rowOff>38100</xdr:rowOff>
    </xdr:from>
    <xdr:to>
      <xdr:col>15</xdr:col>
      <xdr:colOff>1247775</xdr:colOff>
      <xdr:row>63</xdr:row>
      <xdr:rowOff>161925</xdr:rowOff>
    </xdr:to>
    <xdr:pic>
      <xdr:nvPicPr>
        <xdr:cNvPr id="38421" name="Picture 9" descr="logoMTL">
          <a:extLst>
            <a:ext uri="{FF2B5EF4-FFF2-40B4-BE49-F238E27FC236}">
              <a16:creationId xmlns:a16="http://schemas.microsoft.com/office/drawing/2014/main" id="{00000000-0008-0000-0200-0000159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316825" y="12506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125</xdr:row>
      <xdr:rowOff>28575</xdr:rowOff>
    </xdr:from>
    <xdr:to>
      <xdr:col>15</xdr:col>
      <xdr:colOff>1171575</xdr:colOff>
      <xdr:row>126</xdr:row>
      <xdr:rowOff>152400</xdr:rowOff>
    </xdr:to>
    <xdr:pic>
      <xdr:nvPicPr>
        <xdr:cNvPr id="38422" name="Picture 10" descr="logoMTL">
          <a:extLst>
            <a:ext uri="{FF2B5EF4-FFF2-40B4-BE49-F238E27FC236}">
              <a16:creationId xmlns:a16="http://schemas.microsoft.com/office/drawing/2014/main" id="{00000000-0008-0000-0200-0000169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240625" y="25546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175</xdr:row>
      <xdr:rowOff>28575</xdr:rowOff>
    </xdr:from>
    <xdr:to>
      <xdr:col>15</xdr:col>
      <xdr:colOff>1171575</xdr:colOff>
      <xdr:row>176</xdr:row>
      <xdr:rowOff>152400</xdr:rowOff>
    </xdr:to>
    <xdr:pic>
      <xdr:nvPicPr>
        <xdr:cNvPr id="38423" name="Picture 11" descr="logoMTL">
          <a:extLst>
            <a:ext uri="{FF2B5EF4-FFF2-40B4-BE49-F238E27FC236}">
              <a16:creationId xmlns:a16="http://schemas.microsoft.com/office/drawing/2014/main" id="{00000000-0008-0000-0200-0000179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240625" y="356235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251</xdr:row>
      <xdr:rowOff>0</xdr:rowOff>
    </xdr:from>
    <xdr:to>
      <xdr:col>15</xdr:col>
      <xdr:colOff>1219200</xdr:colOff>
      <xdr:row>252</xdr:row>
      <xdr:rowOff>123825</xdr:rowOff>
    </xdr:to>
    <xdr:pic>
      <xdr:nvPicPr>
        <xdr:cNvPr id="38424" name="Picture 12" descr="logoMTL">
          <a:extLst>
            <a:ext uri="{FF2B5EF4-FFF2-40B4-BE49-F238E27FC236}">
              <a16:creationId xmlns:a16="http://schemas.microsoft.com/office/drawing/2014/main" id="{00000000-0008-0000-0200-0000189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288250" y="508444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66869" name="Picture 1" descr="C:\WINDOWS\TEMP\Symbol.gif">
          <a:extLst>
            <a:ext uri="{FF2B5EF4-FFF2-40B4-BE49-F238E27FC236}">
              <a16:creationId xmlns:a16="http://schemas.microsoft.com/office/drawing/2014/main" id="{00000000-0008-0000-1D00-00003505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66870" name="Picture 2" descr="C:\WINDOWS\TEMP\Symbol.gif">
          <a:extLst>
            <a:ext uri="{FF2B5EF4-FFF2-40B4-BE49-F238E27FC236}">
              <a16:creationId xmlns:a16="http://schemas.microsoft.com/office/drawing/2014/main" id="{00000000-0008-0000-1D00-0000360501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66871" name="Picture 3" descr="C:\WINDOWS\TEMP\Symbol.gif">
          <a:extLst>
            <a:ext uri="{FF2B5EF4-FFF2-40B4-BE49-F238E27FC236}">
              <a16:creationId xmlns:a16="http://schemas.microsoft.com/office/drawing/2014/main" id="{00000000-0008-0000-1D00-00003705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66872" name="Picture 4" descr="C:\WINDOWS\TEMP\Symbol.gif">
          <a:extLst>
            <a:ext uri="{FF2B5EF4-FFF2-40B4-BE49-F238E27FC236}">
              <a16:creationId xmlns:a16="http://schemas.microsoft.com/office/drawing/2014/main" id="{00000000-0008-0000-1D00-00003805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66873" name="Picture 5" descr="C:\WINDOWS\TEMP\~0003946.gif">
          <a:extLst>
            <a:ext uri="{FF2B5EF4-FFF2-40B4-BE49-F238E27FC236}">
              <a16:creationId xmlns:a16="http://schemas.microsoft.com/office/drawing/2014/main" id="{00000000-0008-0000-1D00-00003905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66874" name="Picture 6" descr="C:\WINDOWS\TEMP\~0003946.gif">
          <a:extLst>
            <a:ext uri="{FF2B5EF4-FFF2-40B4-BE49-F238E27FC236}">
              <a16:creationId xmlns:a16="http://schemas.microsoft.com/office/drawing/2014/main" id="{00000000-0008-0000-1D00-00003A0501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66875" name="Picture 7" descr="C:\WINDOWS\TEMP\~0003946.gif">
          <a:extLst>
            <a:ext uri="{FF2B5EF4-FFF2-40B4-BE49-F238E27FC236}">
              <a16:creationId xmlns:a16="http://schemas.microsoft.com/office/drawing/2014/main" id="{00000000-0008-0000-1D00-00003B05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275</xdr:row>
      <xdr:rowOff>104775</xdr:rowOff>
    </xdr:from>
    <xdr:to>
      <xdr:col>16</xdr:col>
      <xdr:colOff>895350</xdr:colOff>
      <xdr:row>276</xdr:row>
      <xdr:rowOff>133350</xdr:rowOff>
    </xdr:to>
    <xdr:pic>
      <xdr:nvPicPr>
        <xdr:cNvPr id="66876" name="Picture 8" descr="C:\WINDOWS\TEMP\~0003946.gif">
          <a:extLst>
            <a:ext uri="{FF2B5EF4-FFF2-40B4-BE49-F238E27FC236}">
              <a16:creationId xmlns:a16="http://schemas.microsoft.com/office/drawing/2014/main" id="{00000000-0008-0000-1D00-00003C05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5654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66877" name="Picture 9" descr="logoMTL">
          <a:extLst>
            <a:ext uri="{FF2B5EF4-FFF2-40B4-BE49-F238E27FC236}">
              <a16:creationId xmlns:a16="http://schemas.microsoft.com/office/drawing/2014/main" id="{00000000-0008-0000-1D00-00003D050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66878" name="Picture 10" descr="logoMTL">
          <a:extLst>
            <a:ext uri="{FF2B5EF4-FFF2-40B4-BE49-F238E27FC236}">
              <a16:creationId xmlns:a16="http://schemas.microsoft.com/office/drawing/2014/main" id="{00000000-0008-0000-1D00-00003E05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66879" name="Picture 11" descr="logoMTL">
          <a:extLst>
            <a:ext uri="{FF2B5EF4-FFF2-40B4-BE49-F238E27FC236}">
              <a16:creationId xmlns:a16="http://schemas.microsoft.com/office/drawing/2014/main" id="{00000000-0008-0000-1D00-00003F05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66880" name="Picture 12" descr="logoMTL">
          <a:extLst>
            <a:ext uri="{FF2B5EF4-FFF2-40B4-BE49-F238E27FC236}">
              <a16:creationId xmlns:a16="http://schemas.microsoft.com/office/drawing/2014/main" id="{00000000-0008-0000-1D00-00004005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68713" name="Picture 1" descr="C:\WINDOWS\TEMP\Symbol.gif">
          <a:extLst>
            <a:ext uri="{FF2B5EF4-FFF2-40B4-BE49-F238E27FC236}">
              <a16:creationId xmlns:a16="http://schemas.microsoft.com/office/drawing/2014/main" id="{00000000-0008-0000-1E00-0000690C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68714" name="Picture 2" descr="C:\WINDOWS\TEMP\Symbol.gif">
          <a:extLst>
            <a:ext uri="{FF2B5EF4-FFF2-40B4-BE49-F238E27FC236}">
              <a16:creationId xmlns:a16="http://schemas.microsoft.com/office/drawing/2014/main" id="{00000000-0008-0000-1E00-00006A0C01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68715" name="Picture 3" descr="C:\WINDOWS\TEMP\Symbol.gif">
          <a:extLst>
            <a:ext uri="{FF2B5EF4-FFF2-40B4-BE49-F238E27FC236}">
              <a16:creationId xmlns:a16="http://schemas.microsoft.com/office/drawing/2014/main" id="{00000000-0008-0000-1E00-00006B0C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68716" name="Picture 4" descr="C:\WINDOWS\TEMP\Symbol.gif">
          <a:extLst>
            <a:ext uri="{FF2B5EF4-FFF2-40B4-BE49-F238E27FC236}">
              <a16:creationId xmlns:a16="http://schemas.microsoft.com/office/drawing/2014/main" id="{00000000-0008-0000-1E00-00006C0C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68717" name="Picture 5" descr="C:\WINDOWS\TEMP\~0003946.gif">
          <a:extLst>
            <a:ext uri="{FF2B5EF4-FFF2-40B4-BE49-F238E27FC236}">
              <a16:creationId xmlns:a16="http://schemas.microsoft.com/office/drawing/2014/main" id="{00000000-0008-0000-1E00-00006D0C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68718" name="Picture 6" descr="C:\WINDOWS\TEMP\~0003946.gif">
          <a:extLst>
            <a:ext uri="{FF2B5EF4-FFF2-40B4-BE49-F238E27FC236}">
              <a16:creationId xmlns:a16="http://schemas.microsoft.com/office/drawing/2014/main" id="{00000000-0008-0000-1E00-00006E0C01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68719" name="Picture 7" descr="C:\WINDOWS\TEMP\~0003946.gif">
          <a:extLst>
            <a:ext uri="{FF2B5EF4-FFF2-40B4-BE49-F238E27FC236}">
              <a16:creationId xmlns:a16="http://schemas.microsoft.com/office/drawing/2014/main" id="{00000000-0008-0000-1E00-00006F0C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275</xdr:row>
      <xdr:rowOff>104775</xdr:rowOff>
    </xdr:from>
    <xdr:to>
      <xdr:col>16</xdr:col>
      <xdr:colOff>895350</xdr:colOff>
      <xdr:row>276</xdr:row>
      <xdr:rowOff>133350</xdr:rowOff>
    </xdr:to>
    <xdr:pic>
      <xdr:nvPicPr>
        <xdr:cNvPr id="68720" name="Picture 8" descr="C:\WINDOWS\TEMP\~0003946.gif">
          <a:extLst>
            <a:ext uri="{FF2B5EF4-FFF2-40B4-BE49-F238E27FC236}">
              <a16:creationId xmlns:a16="http://schemas.microsoft.com/office/drawing/2014/main" id="{00000000-0008-0000-1E00-0000700C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5654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68721" name="Picture 9" descr="logoMTL">
          <a:extLst>
            <a:ext uri="{FF2B5EF4-FFF2-40B4-BE49-F238E27FC236}">
              <a16:creationId xmlns:a16="http://schemas.microsoft.com/office/drawing/2014/main" id="{00000000-0008-0000-1E00-0000710C0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68722" name="Picture 10" descr="logoMTL">
          <a:extLst>
            <a:ext uri="{FF2B5EF4-FFF2-40B4-BE49-F238E27FC236}">
              <a16:creationId xmlns:a16="http://schemas.microsoft.com/office/drawing/2014/main" id="{00000000-0008-0000-1E00-0000720C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68723" name="Picture 11" descr="logoMTL">
          <a:extLst>
            <a:ext uri="{FF2B5EF4-FFF2-40B4-BE49-F238E27FC236}">
              <a16:creationId xmlns:a16="http://schemas.microsoft.com/office/drawing/2014/main" id="{00000000-0008-0000-1E00-0000730C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68724" name="Picture 12" descr="logoMTL">
          <a:extLst>
            <a:ext uri="{FF2B5EF4-FFF2-40B4-BE49-F238E27FC236}">
              <a16:creationId xmlns:a16="http://schemas.microsoft.com/office/drawing/2014/main" id="{00000000-0008-0000-1E00-0000740C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33765" name="Picture 1" descr="C:\WINDOWS\TEMP\Symbol.gif">
          <a:extLst>
            <a:ext uri="{FF2B5EF4-FFF2-40B4-BE49-F238E27FC236}">
              <a16:creationId xmlns:a16="http://schemas.microsoft.com/office/drawing/2014/main" id="{00000000-0008-0000-1F00-0000E58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33766" name="Picture 2" descr="C:\WINDOWS\TEMP\Symbol.gif">
          <a:extLst>
            <a:ext uri="{FF2B5EF4-FFF2-40B4-BE49-F238E27FC236}">
              <a16:creationId xmlns:a16="http://schemas.microsoft.com/office/drawing/2014/main" id="{00000000-0008-0000-1F00-0000E683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33767" name="Picture 3" descr="C:\WINDOWS\TEMP\Symbol.gif">
          <a:extLst>
            <a:ext uri="{FF2B5EF4-FFF2-40B4-BE49-F238E27FC236}">
              <a16:creationId xmlns:a16="http://schemas.microsoft.com/office/drawing/2014/main" id="{00000000-0008-0000-1F00-0000E78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33768" name="Picture 4" descr="C:\WINDOWS\TEMP\Symbol.gif">
          <a:extLst>
            <a:ext uri="{FF2B5EF4-FFF2-40B4-BE49-F238E27FC236}">
              <a16:creationId xmlns:a16="http://schemas.microsoft.com/office/drawing/2014/main" id="{00000000-0008-0000-1F00-0000E88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33769" name="Picture 5" descr="C:\WINDOWS\TEMP\~0003946.gif">
          <a:extLst>
            <a:ext uri="{FF2B5EF4-FFF2-40B4-BE49-F238E27FC236}">
              <a16:creationId xmlns:a16="http://schemas.microsoft.com/office/drawing/2014/main" id="{00000000-0008-0000-1F00-0000E983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131</xdr:row>
      <xdr:rowOff>0</xdr:rowOff>
    </xdr:from>
    <xdr:to>
      <xdr:col>16</xdr:col>
      <xdr:colOff>895350</xdr:colOff>
      <xdr:row>131</xdr:row>
      <xdr:rowOff>152400</xdr:rowOff>
    </xdr:to>
    <xdr:pic>
      <xdr:nvPicPr>
        <xdr:cNvPr id="33770" name="Picture 6" descr="C:\WINDOWS\TEMP\~0003946.gif">
          <a:extLst>
            <a:ext uri="{FF2B5EF4-FFF2-40B4-BE49-F238E27FC236}">
              <a16:creationId xmlns:a16="http://schemas.microsoft.com/office/drawing/2014/main" id="{00000000-0008-0000-1F00-0000EA83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5842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182</xdr:row>
      <xdr:rowOff>104775</xdr:rowOff>
    </xdr:from>
    <xdr:to>
      <xdr:col>16</xdr:col>
      <xdr:colOff>809625</xdr:colOff>
      <xdr:row>183</xdr:row>
      <xdr:rowOff>133350</xdr:rowOff>
    </xdr:to>
    <xdr:pic>
      <xdr:nvPicPr>
        <xdr:cNvPr id="33771" name="Picture 7" descr="C:\WINDOWS\TEMP\~0003946.gif">
          <a:extLst>
            <a:ext uri="{FF2B5EF4-FFF2-40B4-BE49-F238E27FC236}">
              <a16:creationId xmlns:a16="http://schemas.microsoft.com/office/drawing/2014/main" id="{00000000-0008-0000-1F00-0000EB83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966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275</xdr:row>
      <xdr:rowOff>104775</xdr:rowOff>
    </xdr:from>
    <xdr:to>
      <xdr:col>16</xdr:col>
      <xdr:colOff>895350</xdr:colOff>
      <xdr:row>276</xdr:row>
      <xdr:rowOff>133350</xdr:rowOff>
    </xdr:to>
    <xdr:pic>
      <xdr:nvPicPr>
        <xdr:cNvPr id="33772" name="Picture 8" descr="C:\WINDOWS\TEMP\~0003946.gif">
          <a:extLst>
            <a:ext uri="{FF2B5EF4-FFF2-40B4-BE49-F238E27FC236}">
              <a16:creationId xmlns:a16="http://schemas.microsoft.com/office/drawing/2014/main" id="{00000000-0008-0000-1F00-0000EC83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5654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33773" name="Picture 9" descr="logoMTL">
          <a:extLst>
            <a:ext uri="{FF2B5EF4-FFF2-40B4-BE49-F238E27FC236}">
              <a16:creationId xmlns:a16="http://schemas.microsoft.com/office/drawing/2014/main" id="{00000000-0008-0000-1F00-0000ED8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33774" name="Picture 10" descr="logoMTL">
          <a:extLst>
            <a:ext uri="{FF2B5EF4-FFF2-40B4-BE49-F238E27FC236}">
              <a16:creationId xmlns:a16="http://schemas.microsoft.com/office/drawing/2014/main" id="{00000000-0008-0000-1F00-0000EE8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33775" name="Picture 11" descr="logoMTL">
          <a:extLst>
            <a:ext uri="{FF2B5EF4-FFF2-40B4-BE49-F238E27FC236}">
              <a16:creationId xmlns:a16="http://schemas.microsoft.com/office/drawing/2014/main" id="{00000000-0008-0000-1F00-0000EF8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33776" name="Picture 12" descr="logoMTL">
          <a:extLst>
            <a:ext uri="{FF2B5EF4-FFF2-40B4-BE49-F238E27FC236}">
              <a16:creationId xmlns:a16="http://schemas.microsoft.com/office/drawing/2014/main" id="{00000000-0008-0000-1F00-0000F08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34645" name="Picture 1" descr="C:\WINDOWS\TEMP\Symbol.gif">
          <a:extLst>
            <a:ext uri="{FF2B5EF4-FFF2-40B4-BE49-F238E27FC236}">
              <a16:creationId xmlns:a16="http://schemas.microsoft.com/office/drawing/2014/main" id="{00000000-0008-0000-2000-000055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0</xdr:rowOff>
    </xdr:from>
    <xdr:to>
      <xdr:col>1</xdr:col>
      <xdr:colOff>28575</xdr:colOff>
      <xdr:row>131</xdr:row>
      <xdr:rowOff>200025</xdr:rowOff>
    </xdr:to>
    <xdr:pic>
      <xdr:nvPicPr>
        <xdr:cNvPr id="34646" name="Picture 2" descr="C:\WINDOWS\TEMP\Symbol.gif">
          <a:extLst>
            <a:ext uri="{FF2B5EF4-FFF2-40B4-BE49-F238E27FC236}">
              <a16:creationId xmlns:a16="http://schemas.microsoft.com/office/drawing/2014/main" id="{00000000-0008-0000-2000-000056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65842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182</xdr:row>
      <xdr:rowOff>171450</xdr:rowOff>
    </xdr:from>
    <xdr:to>
      <xdr:col>1</xdr:col>
      <xdr:colOff>47625</xdr:colOff>
      <xdr:row>183</xdr:row>
      <xdr:rowOff>209550</xdr:rowOff>
    </xdr:to>
    <xdr:pic>
      <xdr:nvPicPr>
        <xdr:cNvPr id="34647" name="Picture 3" descr="C:\WINDOWS\TEMP\Symbol.gif">
          <a:extLst>
            <a:ext uri="{FF2B5EF4-FFF2-40B4-BE49-F238E27FC236}">
              <a16:creationId xmlns:a16="http://schemas.microsoft.com/office/drawing/2014/main" id="{00000000-0008-0000-2000-000057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70332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34648" name="Picture 4" descr="C:\WINDOWS\TEMP\Symbol.gif">
          <a:extLst>
            <a:ext uri="{FF2B5EF4-FFF2-40B4-BE49-F238E27FC236}">
              <a16:creationId xmlns:a16="http://schemas.microsoft.com/office/drawing/2014/main" id="{00000000-0008-0000-2000-000058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34649" name="Picture 9" descr="logoMTL">
          <a:extLst>
            <a:ext uri="{FF2B5EF4-FFF2-40B4-BE49-F238E27FC236}">
              <a16:creationId xmlns:a16="http://schemas.microsoft.com/office/drawing/2014/main" id="{00000000-0008-0000-2000-0000598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130</xdr:row>
      <xdr:rowOff>28575</xdr:rowOff>
    </xdr:from>
    <xdr:to>
      <xdr:col>15</xdr:col>
      <xdr:colOff>1171575</xdr:colOff>
      <xdr:row>131</xdr:row>
      <xdr:rowOff>152400</xdr:rowOff>
    </xdr:to>
    <xdr:pic>
      <xdr:nvPicPr>
        <xdr:cNvPr id="34650" name="Picture 10" descr="logoMTL">
          <a:extLst>
            <a:ext uri="{FF2B5EF4-FFF2-40B4-BE49-F238E27FC236}">
              <a16:creationId xmlns:a16="http://schemas.microsoft.com/office/drawing/2014/main" id="{00000000-0008-0000-2000-00005A8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26412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182</xdr:row>
      <xdr:rowOff>28575</xdr:rowOff>
    </xdr:from>
    <xdr:to>
      <xdr:col>15</xdr:col>
      <xdr:colOff>1171575</xdr:colOff>
      <xdr:row>183</xdr:row>
      <xdr:rowOff>152400</xdr:rowOff>
    </xdr:to>
    <xdr:pic>
      <xdr:nvPicPr>
        <xdr:cNvPr id="34651" name="Picture 11" descr="logoMTL">
          <a:extLst>
            <a:ext uri="{FF2B5EF4-FFF2-40B4-BE49-F238E27FC236}">
              <a16:creationId xmlns:a16="http://schemas.microsoft.com/office/drawing/2014/main" id="{00000000-0008-0000-2000-00005B8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9425" y="368903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34652" name="Picture 12" descr="logoMTL">
          <a:extLst>
            <a:ext uri="{FF2B5EF4-FFF2-40B4-BE49-F238E27FC236}">
              <a16:creationId xmlns:a16="http://schemas.microsoft.com/office/drawing/2014/main" id="{00000000-0008-0000-2000-00005C8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1705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275</xdr:row>
      <xdr:rowOff>0</xdr:rowOff>
    </xdr:from>
    <xdr:to>
      <xdr:col>16</xdr:col>
      <xdr:colOff>800100</xdr:colOff>
      <xdr:row>276</xdr:row>
      <xdr:rowOff>28575</xdr:rowOff>
    </xdr:to>
    <xdr:pic>
      <xdr:nvPicPr>
        <xdr:cNvPr id="34653" name="Picture 8" descr="C:\WINDOWS\TEMP\~0003946.gif">
          <a:extLst>
            <a:ext uri="{FF2B5EF4-FFF2-40B4-BE49-F238E27FC236}">
              <a16:creationId xmlns:a16="http://schemas.microsoft.com/office/drawing/2014/main" id="{00000000-0008-0000-2000-00005D87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55250" y="55549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182</xdr:row>
      <xdr:rowOff>0</xdr:rowOff>
    </xdr:from>
    <xdr:to>
      <xdr:col>16</xdr:col>
      <xdr:colOff>800100</xdr:colOff>
      <xdr:row>183</xdr:row>
      <xdr:rowOff>28575</xdr:rowOff>
    </xdr:to>
    <xdr:pic>
      <xdr:nvPicPr>
        <xdr:cNvPr id="34654" name="Picture 8" descr="C:\WINDOWS\TEMP\~0003946.gif">
          <a:extLst>
            <a:ext uri="{FF2B5EF4-FFF2-40B4-BE49-F238E27FC236}">
              <a16:creationId xmlns:a16="http://schemas.microsoft.com/office/drawing/2014/main" id="{00000000-0008-0000-2000-00005E87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55250" y="36861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130</xdr:row>
      <xdr:rowOff>0</xdr:rowOff>
    </xdr:from>
    <xdr:to>
      <xdr:col>16</xdr:col>
      <xdr:colOff>800100</xdr:colOff>
      <xdr:row>131</xdr:row>
      <xdr:rowOff>28575</xdr:rowOff>
    </xdr:to>
    <xdr:pic>
      <xdr:nvPicPr>
        <xdr:cNvPr id="34655" name="Picture 8" descr="C:\WINDOWS\TEMP\~0003946.gif">
          <a:extLst>
            <a:ext uri="{FF2B5EF4-FFF2-40B4-BE49-F238E27FC236}">
              <a16:creationId xmlns:a16="http://schemas.microsoft.com/office/drawing/2014/main" id="{00000000-0008-0000-2000-00005F87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55250" y="26384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63</xdr:row>
      <xdr:rowOff>0</xdr:rowOff>
    </xdr:from>
    <xdr:to>
      <xdr:col>16</xdr:col>
      <xdr:colOff>800100</xdr:colOff>
      <xdr:row>64</xdr:row>
      <xdr:rowOff>28575</xdr:rowOff>
    </xdr:to>
    <xdr:pic>
      <xdr:nvPicPr>
        <xdr:cNvPr id="34656" name="Picture 8" descr="C:\WINDOWS\TEMP\~0003946.gif">
          <a:extLst>
            <a:ext uri="{FF2B5EF4-FFF2-40B4-BE49-F238E27FC236}">
              <a16:creationId xmlns:a16="http://schemas.microsoft.com/office/drawing/2014/main" id="{00000000-0008-0000-2000-00006087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55250" y="12734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36501" name="Picture 1" descr="C:\WINDOWS\TEMP\Symbol.gif">
          <a:extLst>
            <a:ext uri="{FF2B5EF4-FFF2-40B4-BE49-F238E27FC236}">
              <a16:creationId xmlns:a16="http://schemas.microsoft.com/office/drawing/2014/main" id="{00000000-0008-0000-2100-0000958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6502" name="Picture 2" descr="C:\WINDOWS\TEMP\Symbol.gif">
          <a:extLst>
            <a:ext uri="{FF2B5EF4-FFF2-40B4-BE49-F238E27FC236}">
              <a16:creationId xmlns:a16="http://schemas.microsoft.com/office/drawing/2014/main" id="{00000000-0008-0000-2100-0000968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36503" name="Picture 3" descr="C:\WINDOWS\TEMP\Symbol.gif">
          <a:extLst>
            <a:ext uri="{FF2B5EF4-FFF2-40B4-BE49-F238E27FC236}">
              <a16:creationId xmlns:a16="http://schemas.microsoft.com/office/drawing/2014/main" id="{00000000-0008-0000-2100-0000978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36504" name="Picture 4" descr="C:\WINDOWS\TEMP\Symbol.gif">
          <a:extLst>
            <a:ext uri="{FF2B5EF4-FFF2-40B4-BE49-F238E27FC236}">
              <a16:creationId xmlns:a16="http://schemas.microsoft.com/office/drawing/2014/main" id="{00000000-0008-0000-2100-0000988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36505" name="Picture 9" descr="logoMTL">
          <a:extLst>
            <a:ext uri="{FF2B5EF4-FFF2-40B4-BE49-F238E27FC236}">
              <a16:creationId xmlns:a16="http://schemas.microsoft.com/office/drawing/2014/main" id="{00000000-0008-0000-2100-0000998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36506" name="Picture 10" descr="logoMTL">
          <a:extLst>
            <a:ext uri="{FF2B5EF4-FFF2-40B4-BE49-F238E27FC236}">
              <a16:creationId xmlns:a16="http://schemas.microsoft.com/office/drawing/2014/main" id="{00000000-0008-0000-2100-00009A8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36507" name="Picture 11" descr="logoMTL">
          <a:extLst>
            <a:ext uri="{FF2B5EF4-FFF2-40B4-BE49-F238E27FC236}">
              <a16:creationId xmlns:a16="http://schemas.microsoft.com/office/drawing/2014/main" id="{00000000-0008-0000-2100-00009B8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06942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36508" name="Picture 12" descr="logoMTL">
          <a:extLst>
            <a:ext uri="{FF2B5EF4-FFF2-40B4-BE49-F238E27FC236}">
              <a16:creationId xmlns:a16="http://schemas.microsoft.com/office/drawing/2014/main" id="{00000000-0008-0000-2100-00009C8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1705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276</xdr:row>
      <xdr:rowOff>0</xdr:rowOff>
    </xdr:from>
    <xdr:to>
      <xdr:col>16</xdr:col>
      <xdr:colOff>800100</xdr:colOff>
      <xdr:row>277</xdr:row>
      <xdr:rowOff>28575</xdr:rowOff>
    </xdr:to>
    <xdr:pic>
      <xdr:nvPicPr>
        <xdr:cNvPr id="36509" name="Picture 8" descr="C:\WINDOWS\TEMP\~0003946.gif">
          <a:extLst>
            <a:ext uri="{FF2B5EF4-FFF2-40B4-BE49-F238E27FC236}">
              <a16:creationId xmlns:a16="http://schemas.microsoft.com/office/drawing/2014/main" id="{00000000-0008-0000-2100-00009D8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2955250" y="55749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183</xdr:row>
      <xdr:rowOff>0</xdr:rowOff>
    </xdr:from>
    <xdr:to>
      <xdr:col>16</xdr:col>
      <xdr:colOff>800100</xdr:colOff>
      <xdr:row>184</xdr:row>
      <xdr:rowOff>28575</xdr:rowOff>
    </xdr:to>
    <xdr:pic>
      <xdr:nvPicPr>
        <xdr:cNvPr id="36510" name="Picture 8" descr="C:\WINDOWS\TEMP\~0003946.gif">
          <a:extLst>
            <a:ext uri="{FF2B5EF4-FFF2-40B4-BE49-F238E27FC236}">
              <a16:creationId xmlns:a16="http://schemas.microsoft.com/office/drawing/2014/main" id="{00000000-0008-0000-2100-00009E8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2955250" y="370617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131</xdr:row>
      <xdr:rowOff>0</xdr:rowOff>
    </xdr:from>
    <xdr:to>
      <xdr:col>16</xdr:col>
      <xdr:colOff>800100</xdr:colOff>
      <xdr:row>132</xdr:row>
      <xdr:rowOff>28575</xdr:rowOff>
    </xdr:to>
    <xdr:pic>
      <xdr:nvPicPr>
        <xdr:cNvPr id="36511" name="Picture 8" descr="C:\WINDOWS\TEMP\~0003946.gif">
          <a:extLst>
            <a:ext uri="{FF2B5EF4-FFF2-40B4-BE49-F238E27FC236}">
              <a16:creationId xmlns:a16="http://schemas.microsoft.com/office/drawing/2014/main" id="{00000000-0008-0000-2100-00009F8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2955250" y="26584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63</xdr:row>
      <xdr:rowOff>0</xdr:rowOff>
    </xdr:from>
    <xdr:to>
      <xdr:col>16</xdr:col>
      <xdr:colOff>800100</xdr:colOff>
      <xdr:row>64</xdr:row>
      <xdr:rowOff>28575</xdr:rowOff>
    </xdr:to>
    <xdr:pic>
      <xdr:nvPicPr>
        <xdr:cNvPr id="36512" name="Picture 8" descr="C:\WINDOWS\TEMP\~0003946.gif">
          <a:extLst>
            <a:ext uri="{FF2B5EF4-FFF2-40B4-BE49-F238E27FC236}">
              <a16:creationId xmlns:a16="http://schemas.microsoft.com/office/drawing/2014/main" id="{00000000-0008-0000-2100-0000A08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22955250" y="12734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63933" name="Picture 1" descr="C:\WINDOWS\TEMP\Symbol.gif">
          <a:extLst>
            <a:ext uri="{FF2B5EF4-FFF2-40B4-BE49-F238E27FC236}">
              <a16:creationId xmlns:a16="http://schemas.microsoft.com/office/drawing/2014/main" id="{00000000-0008-0000-2200-0000BDF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63934" name="Picture 2" descr="C:\WINDOWS\TEMP\Symbol.gif">
          <a:extLst>
            <a:ext uri="{FF2B5EF4-FFF2-40B4-BE49-F238E27FC236}">
              <a16:creationId xmlns:a16="http://schemas.microsoft.com/office/drawing/2014/main" id="{00000000-0008-0000-2200-0000BEF9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63935" name="Picture 3" descr="C:\WINDOWS\TEMP\Symbol.gif">
          <a:extLst>
            <a:ext uri="{FF2B5EF4-FFF2-40B4-BE49-F238E27FC236}">
              <a16:creationId xmlns:a16="http://schemas.microsoft.com/office/drawing/2014/main" id="{00000000-0008-0000-2200-0000BFF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3936" name="Picture 4" descr="C:\WINDOWS\TEMP\Symbol.gif">
          <a:extLst>
            <a:ext uri="{FF2B5EF4-FFF2-40B4-BE49-F238E27FC236}">
              <a16:creationId xmlns:a16="http://schemas.microsoft.com/office/drawing/2014/main" id="{00000000-0008-0000-2200-0000C0F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63937" name="Picture 5" descr="C:\WINDOWS\TEMP\~0003946.gif">
          <a:extLst>
            <a:ext uri="{FF2B5EF4-FFF2-40B4-BE49-F238E27FC236}">
              <a16:creationId xmlns:a16="http://schemas.microsoft.com/office/drawing/2014/main" id="{00000000-0008-0000-2200-0000C1F9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3938" name="Picture 6" descr="C:\WINDOWS\TEMP\~0003946.gif">
          <a:extLst>
            <a:ext uri="{FF2B5EF4-FFF2-40B4-BE49-F238E27FC236}">
              <a16:creationId xmlns:a16="http://schemas.microsoft.com/office/drawing/2014/main" id="{00000000-0008-0000-2200-0000C2F9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63939" name="Picture 7" descr="C:\WINDOWS\TEMP\~0003946.gif">
          <a:extLst>
            <a:ext uri="{FF2B5EF4-FFF2-40B4-BE49-F238E27FC236}">
              <a16:creationId xmlns:a16="http://schemas.microsoft.com/office/drawing/2014/main" id="{00000000-0008-0000-2200-0000C3F9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63940" name="Picture 8" descr="C:\WINDOWS\TEMP\~0003946.gif">
          <a:extLst>
            <a:ext uri="{FF2B5EF4-FFF2-40B4-BE49-F238E27FC236}">
              <a16:creationId xmlns:a16="http://schemas.microsoft.com/office/drawing/2014/main" id="{00000000-0008-0000-2200-0000C4F9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63941" name="Picture 9" descr="logoMTL">
          <a:extLst>
            <a:ext uri="{FF2B5EF4-FFF2-40B4-BE49-F238E27FC236}">
              <a16:creationId xmlns:a16="http://schemas.microsoft.com/office/drawing/2014/main" id="{00000000-0008-0000-2200-0000C5F9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63942" name="Picture 10" descr="logoMTL">
          <a:extLst>
            <a:ext uri="{FF2B5EF4-FFF2-40B4-BE49-F238E27FC236}">
              <a16:creationId xmlns:a16="http://schemas.microsoft.com/office/drawing/2014/main" id="{00000000-0008-0000-2200-0000C6F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63943" name="Picture 11" descr="logoMTL">
          <a:extLst>
            <a:ext uri="{FF2B5EF4-FFF2-40B4-BE49-F238E27FC236}">
              <a16:creationId xmlns:a16="http://schemas.microsoft.com/office/drawing/2014/main" id="{00000000-0008-0000-2200-0000C7F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63944" name="Picture 12" descr="logoMTL">
          <a:extLst>
            <a:ext uri="{FF2B5EF4-FFF2-40B4-BE49-F238E27FC236}">
              <a16:creationId xmlns:a16="http://schemas.microsoft.com/office/drawing/2014/main" id="{00000000-0008-0000-2200-0000C8F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67825" name="Picture 1" descr="C:\WINDOWS\TEMP\Symbol.gif">
          <a:extLst>
            <a:ext uri="{FF2B5EF4-FFF2-40B4-BE49-F238E27FC236}">
              <a16:creationId xmlns:a16="http://schemas.microsoft.com/office/drawing/2014/main" id="{00000000-0008-0000-2300-0000F108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67826" name="Picture 2" descr="C:\WINDOWS\TEMP\Symbol.gif">
          <a:extLst>
            <a:ext uri="{FF2B5EF4-FFF2-40B4-BE49-F238E27FC236}">
              <a16:creationId xmlns:a16="http://schemas.microsoft.com/office/drawing/2014/main" id="{00000000-0008-0000-2300-0000F20801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67827" name="Picture 3" descr="C:\WINDOWS\TEMP\Symbol.gif">
          <a:extLst>
            <a:ext uri="{FF2B5EF4-FFF2-40B4-BE49-F238E27FC236}">
              <a16:creationId xmlns:a16="http://schemas.microsoft.com/office/drawing/2014/main" id="{00000000-0008-0000-2300-0000F308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7828" name="Picture 4" descr="C:\WINDOWS\TEMP\Symbol.gif">
          <a:extLst>
            <a:ext uri="{FF2B5EF4-FFF2-40B4-BE49-F238E27FC236}">
              <a16:creationId xmlns:a16="http://schemas.microsoft.com/office/drawing/2014/main" id="{00000000-0008-0000-2300-0000F408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67829" name="Picture 5" descr="C:\WINDOWS\TEMP\~0003946.gif">
          <a:extLst>
            <a:ext uri="{FF2B5EF4-FFF2-40B4-BE49-F238E27FC236}">
              <a16:creationId xmlns:a16="http://schemas.microsoft.com/office/drawing/2014/main" id="{00000000-0008-0000-2300-0000F508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7830" name="Picture 6" descr="C:\WINDOWS\TEMP\~0003946.gif">
          <a:extLst>
            <a:ext uri="{FF2B5EF4-FFF2-40B4-BE49-F238E27FC236}">
              <a16:creationId xmlns:a16="http://schemas.microsoft.com/office/drawing/2014/main" id="{00000000-0008-0000-2300-0000F60801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67831" name="Picture 7" descr="C:\WINDOWS\TEMP\~0003946.gif">
          <a:extLst>
            <a:ext uri="{FF2B5EF4-FFF2-40B4-BE49-F238E27FC236}">
              <a16:creationId xmlns:a16="http://schemas.microsoft.com/office/drawing/2014/main" id="{00000000-0008-0000-2300-0000F708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67832" name="Picture 8" descr="C:\WINDOWS\TEMP\~0003946.gif">
          <a:extLst>
            <a:ext uri="{FF2B5EF4-FFF2-40B4-BE49-F238E27FC236}">
              <a16:creationId xmlns:a16="http://schemas.microsoft.com/office/drawing/2014/main" id="{00000000-0008-0000-2300-0000F808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67833" name="Picture 9" descr="logoMTL">
          <a:extLst>
            <a:ext uri="{FF2B5EF4-FFF2-40B4-BE49-F238E27FC236}">
              <a16:creationId xmlns:a16="http://schemas.microsoft.com/office/drawing/2014/main" id="{00000000-0008-0000-2300-0000F9080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67834" name="Picture 10" descr="logoMTL">
          <a:extLst>
            <a:ext uri="{FF2B5EF4-FFF2-40B4-BE49-F238E27FC236}">
              <a16:creationId xmlns:a16="http://schemas.microsoft.com/office/drawing/2014/main" id="{00000000-0008-0000-2300-0000FA08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67835" name="Picture 11" descr="logoMTL">
          <a:extLst>
            <a:ext uri="{FF2B5EF4-FFF2-40B4-BE49-F238E27FC236}">
              <a16:creationId xmlns:a16="http://schemas.microsoft.com/office/drawing/2014/main" id="{00000000-0008-0000-2300-0000FB08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67836" name="Picture 12" descr="logoMTL">
          <a:extLst>
            <a:ext uri="{FF2B5EF4-FFF2-40B4-BE49-F238E27FC236}">
              <a16:creationId xmlns:a16="http://schemas.microsoft.com/office/drawing/2014/main" id="{00000000-0008-0000-2300-0000FC08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69717" name="Picture 1" descr="C:\WINDOWS\TEMP\Symbol.gif">
          <a:extLst>
            <a:ext uri="{FF2B5EF4-FFF2-40B4-BE49-F238E27FC236}">
              <a16:creationId xmlns:a16="http://schemas.microsoft.com/office/drawing/2014/main" id="{00000000-0008-0000-2400-0000551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69718" name="Picture 2" descr="C:\WINDOWS\TEMP\Symbol.gif">
          <a:extLst>
            <a:ext uri="{FF2B5EF4-FFF2-40B4-BE49-F238E27FC236}">
              <a16:creationId xmlns:a16="http://schemas.microsoft.com/office/drawing/2014/main" id="{00000000-0008-0000-2400-0000561001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69719" name="Picture 3" descr="C:\WINDOWS\TEMP\Symbol.gif">
          <a:extLst>
            <a:ext uri="{FF2B5EF4-FFF2-40B4-BE49-F238E27FC236}">
              <a16:creationId xmlns:a16="http://schemas.microsoft.com/office/drawing/2014/main" id="{00000000-0008-0000-2400-0000571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69720" name="Picture 4" descr="C:\WINDOWS\TEMP\Symbol.gif">
          <a:extLst>
            <a:ext uri="{FF2B5EF4-FFF2-40B4-BE49-F238E27FC236}">
              <a16:creationId xmlns:a16="http://schemas.microsoft.com/office/drawing/2014/main" id="{00000000-0008-0000-2400-0000581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9721" name="Picture 6" descr="C:\WINDOWS\TEMP\~0003946.gif">
          <a:extLst>
            <a:ext uri="{FF2B5EF4-FFF2-40B4-BE49-F238E27FC236}">
              <a16:creationId xmlns:a16="http://schemas.microsoft.com/office/drawing/2014/main" id="{00000000-0008-0000-2400-0000591001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69722" name="Picture 7" descr="C:\WINDOWS\TEMP\~0003946.gif">
          <a:extLst>
            <a:ext uri="{FF2B5EF4-FFF2-40B4-BE49-F238E27FC236}">
              <a16:creationId xmlns:a16="http://schemas.microsoft.com/office/drawing/2014/main" id="{00000000-0008-0000-2400-00005A1001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96477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69723" name="Picture 8" descr="C:\WINDOWS\TEMP\~0003946.gif">
          <a:extLst>
            <a:ext uri="{FF2B5EF4-FFF2-40B4-BE49-F238E27FC236}">
              <a16:creationId xmlns:a16="http://schemas.microsoft.com/office/drawing/2014/main" id="{00000000-0008-0000-2400-00005B1001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69724" name="Picture 9" descr="logoMTL">
          <a:extLst>
            <a:ext uri="{FF2B5EF4-FFF2-40B4-BE49-F238E27FC236}">
              <a16:creationId xmlns:a16="http://schemas.microsoft.com/office/drawing/2014/main" id="{00000000-0008-0000-2400-00005C100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69725" name="Picture 10" descr="logoMTL">
          <a:extLst>
            <a:ext uri="{FF2B5EF4-FFF2-40B4-BE49-F238E27FC236}">
              <a16:creationId xmlns:a16="http://schemas.microsoft.com/office/drawing/2014/main" id="{00000000-0008-0000-2400-00005D10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69726" name="Picture 11" descr="logoMTL">
          <a:extLst>
            <a:ext uri="{FF2B5EF4-FFF2-40B4-BE49-F238E27FC236}">
              <a16:creationId xmlns:a16="http://schemas.microsoft.com/office/drawing/2014/main" id="{00000000-0008-0000-2400-00005E10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69727" name="Picture 12" descr="logoMTL">
          <a:extLst>
            <a:ext uri="{FF2B5EF4-FFF2-40B4-BE49-F238E27FC236}">
              <a16:creationId xmlns:a16="http://schemas.microsoft.com/office/drawing/2014/main" id="{00000000-0008-0000-2400-00005F10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69728" name="Picture 5" descr="C:\WINDOWS\TEMP\~0003946.gif">
          <a:extLst>
            <a:ext uri="{FF2B5EF4-FFF2-40B4-BE49-F238E27FC236}">
              <a16:creationId xmlns:a16="http://schemas.microsoft.com/office/drawing/2014/main" id="{00000000-0008-0000-2400-0000601001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7907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96477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9" name="Picture 9" descr="logoMTL">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7907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96477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9" name="Picture 9" descr="logoMTL">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7907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39439" name="Picture 1" descr="C:\WINDOWS\TEMP\Symbol.gif">
          <a:extLst>
            <a:ext uri="{FF2B5EF4-FFF2-40B4-BE49-F238E27FC236}">
              <a16:creationId xmlns:a16="http://schemas.microsoft.com/office/drawing/2014/main" id="{00000000-0008-0000-0300-00000F9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127</xdr:row>
      <xdr:rowOff>0</xdr:rowOff>
    </xdr:from>
    <xdr:to>
      <xdr:col>1</xdr:col>
      <xdr:colOff>28575</xdr:colOff>
      <xdr:row>127</xdr:row>
      <xdr:rowOff>200025</xdr:rowOff>
    </xdr:to>
    <xdr:pic>
      <xdr:nvPicPr>
        <xdr:cNvPr id="39440" name="Picture 2" descr="C:\WINDOWS\TEMP\Symbol.gif">
          <a:extLst>
            <a:ext uri="{FF2B5EF4-FFF2-40B4-BE49-F238E27FC236}">
              <a16:creationId xmlns:a16="http://schemas.microsoft.com/office/drawing/2014/main" id="{00000000-0008-0000-0300-0000109A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57841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176</xdr:row>
      <xdr:rowOff>171450</xdr:rowOff>
    </xdr:from>
    <xdr:to>
      <xdr:col>1</xdr:col>
      <xdr:colOff>47625</xdr:colOff>
      <xdr:row>177</xdr:row>
      <xdr:rowOff>209550</xdr:rowOff>
    </xdr:to>
    <xdr:pic>
      <xdr:nvPicPr>
        <xdr:cNvPr id="39441" name="Picture 3" descr="C:\WINDOWS\TEMP\Symbol.gif">
          <a:extLst>
            <a:ext uri="{FF2B5EF4-FFF2-40B4-BE49-F238E27FC236}">
              <a16:creationId xmlns:a16="http://schemas.microsoft.com/office/drawing/2014/main" id="{00000000-0008-0000-0300-0000119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58330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254</xdr:row>
      <xdr:rowOff>161925</xdr:rowOff>
    </xdr:from>
    <xdr:to>
      <xdr:col>1</xdr:col>
      <xdr:colOff>19050</xdr:colOff>
      <xdr:row>255</xdr:row>
      <xdr:rowOff>200025</xdr:rowOff>
    </xdr:to>
    <xdr:pic>
      <xdr:nvPicPr>
        <xdr:cNvPr id="39442" name="Picture 4" descr="C:\WINDOWS\TEMP\Symbol.gif">
          <a:extLst>
            <a:ext uri="{FF2B5EF4-FFF2-40B4-BE49-F238E27FC236}">
              <a16:creationId xmlns:a16="http://schemas.microsoft.com/office/drawing/2014/main" id="{00000000-0008-0000-0300-0000129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1511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39443" name="Picture 5" descr="C:\WINDOWS\TEMP\~0003946.gif">
          <a:extLst>
            <a:ext uri="{FF2B5EF4-FFF2-40B4-BE49-F238E27FC236}">
              <a16:creationId xmlns:a16="http://schemas.microsoft.com/office/drawing/2014/main" id="{00000000-0008-0000-0300-0000139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127</xdr:row>
      <xdr:rowOff>0</xdr:rowOff>
    </xdr:from>
    <xdr:to>
      <xdr:col>16</xdr:col>
      <xdr:colOff>895350</xdr:colOff>
      <xdr:row>127</xdr:row>
      <xdr:rowOff>152400</xdr:rowOff>
    </xdr:to>
    <xdr:pic>
      <xdr:nvPicPr>
        <xdr:cNvPr id="39444" name="Picture 6" descr="C:\WINDOWS\TEMP\~0003946.gif">
          <a:extLst>
            <a:ext uri="{FF2B5EF4-FFF2-40B4-BE49-F238E27FC236}">
              <a16:creationId xmlns:a16="http://schemas.microsoft.com/office/drawing/2014/main" id="{00000000-0008-0000-0300-0000149A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57841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176</xdr:row>
      <xdr:rowOff>104775</xdr:rowOff>
    </xdr:from>
    <xdr:to>
      <xdr:col>16</xdr:col>
      <xdr:colOff>809625</xdr:colOff>
      <xdr:row>177</xdr:row>
      <xdr:rowOff>133350</xdr:rowOff>
    </xdr:to>
    <xdr:pic>
      <xdr:nvPicPr>
        <xdr:cNvPr id="39445" name="Picture 7" descr="C:\WINDOWS\TEMP\~0003946.gif">
          <a:extLst>
            <a:ext uri="{FF2B5EF4-FFF2-40B4-BE49-F238E27FC236}">
              <a16:creationId xmlns:a16="http://schemas.microsoft.com/office/drawing/2014/main" id="{00000000-0008-0000-0300-0000159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576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254</xdr:row>
      <xdr:rowOff>104775</xdr:rowOff>
    </xdr:from>
    <xdr:to>
      <xdr:col>16</xdr:col>
      <xdr:colOff>895350</xdr:colOff>
      <xdr:row>255</xdr:row>
      <xdr:rowOff>133350</xdr:rowOff>
    </xdr:to>
    <xdr:pic>
      <xdr:nvPicPr>
        <xdr:cNvPr id="39446" name="Picture 8" descr="C:\WINDOWS\TEMP\~0003946.gif">
          <a:extLst>
            <a:ext uri="{FF2B5EF4-FFF2-40B4-BE49-F238E27FC236}">
              <a16:creationId xmlns:a16="http://schemas.microsoft.com/office/drawing/2014/main" id="{00000000-0008-0000-0300-0000169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1454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39447" name="Picture 9" descr="logoMTL">
          <a:extLst>
            <a:ext uri="{FF2B5EF4-FFF2-40B4-BE49-F238E27FC236}">
              <a16:creationId xmlns:a16="http://schemas.microsoft.com/office/drawing/2014/main" id="{00000000-0008-0000-0300-0000179A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126</xdr:row>
      <xdr:rowOff>28575</xdr:rowOff>
    </xdr:from>
    <xdr:to>
      <xdr:col>15</xdr:col>
      <xdr:colOff>1171575</xdr:colOff>
      <xdr:row>127</xdr:row>
      <xdr:rowOff>152400</xdr:rowOff>
    </xdr:to>
    <xdr:pic>
      <xdr:nvPicPr>
        <xdr:cNvPr id="39448" name="Picture 10" descr="logoMTL">
          <a:extLst>
            <a:ext uri="{FF2B5EF4-FFF2-40B4-BE49-F238E27FC236}">
              <a16:creationId xmlns:a16="http://schemas.microsoft.com/office/drawing/2014/main" id="{00000000-0008-0000-0300-0000189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5612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176</xdr:row>
      <xdr:rowOff>28575</xdr:rowOff>
    </xdr:from>
    <xdr:to>
      <xdr:col>15</xdr:col>
      <xdr:colOff>1171575</xdr:colOff>
      <xdr:row>177</xdr:row>
      <xdr:rowOff>152400</xdr:rowOff>
    </xdr:to>
    <xdr:pic>
      <xdr:nvPicPr>
        <xdr:cNvPr id="39449" name="Picture 11" descr="logoMTL">
          <a:extLst>
            <a:ext uri="{FF2B5EF4-FFF2-40B4-BE49-F238E27FC236}">
              <a16:creationId xmlns:a16="http://schemas.microsoft.com/office/drawing/2014/main" id="{00000000-0008-0000-0300-0000199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56901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254</xdr:row>
      <xdr:rowOff>0</xdr:rowOff>
    </xdr:from>
    <xdr:to>
      <xdr:col>15</xdr:col>
      <xdr:colOff>1219200</xdr:colOff>
      <xdr:row>255</xdr:row>
      <xdr:rowOff>123825</xdr:rowOff>
    </xdr:to>
    <xdr:pic>
      <xdr:nvPicPr>
        <xdr:cNvPr id="39450" name="Picture 12" descr="logoMTL">
          <a:extLst>
            <a:ext uri="{FF2B5EF4-FFF2-40B4-BE49-F238E27FC236}">
              <a16:creationId xmlns:a16="http://schemas.microsoft.com/office/drawing/2014/main" id="{00000000-0008-0000-0300-00001A9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13492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96477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9" name="Picture 9" descr="logoMTL">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7907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9" name="Picture 9" descr="logoMTL">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9" name="Picture 9" descr="logoMTL">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9" name="Picture 9" descr="logoMTL">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9" name="Picture 9" descr="logoMTL">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2B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2B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2B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9" name="Picture 9" descr="logoMTL">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2C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2D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9" name="Picture 9" descr="logoMTL">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2D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2D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2D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2D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2E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2E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2E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9" name="Picture 9" descr="logoMTL">
          <a:extLst>
            <a:ext uri="{FF2B5EF4-FFF2-40B4-BE49-F238E27FC236}">
              <a16:creationId xmlns:a16="http://schemas.microsoft.com/office/drawing/2014/main" id="{00000000-0008-0000-2E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2E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2E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2E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2E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9" name="Picture 9" descr="logoMTL">
          <a:extLst>
            <a:ext uri="{FF2B5EF4-FFF2-40B4-BE49-F238E27FC236}">
              <a16:creationId xmlns:a16="http://schemas.microsoft.com/office/drawing/2014/main" id="{00000000-0008-0000-2F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2F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2F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2F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2F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30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 name="Picture 4" descr="C:\WINDOWS\TEMP\Symbol.gif">
          <a:extLst>
            <a:ext uri="{FF2B5EF4-FFF2-40B4-BE49-F238E27FC236}">
              <a16:creationId xmlns:a16="http://schemas.microsoft.com/office/drawing/2014/main" id="{00000000-0008-0000-30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30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30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276</xdr:row>
      <xdr:rowOff>104775</xdr:rowOff>
    </xdr:from>
    <xdr:to>
      <xdr:col>16</xdr:col>
      <xdr:colOff>895350</xdr:colOff>
      <xdr:row>277</xdr:row>
      <xdr:rowOff>133350</xdr:rowOff>
    </xdr:to>
    <xdr:pic>
      <xdr:nvPicPr>
        <xdr:cNvPr id="8" name="Picture 8" descr="C:\WINDOWS\TEMP\~0003946.gif">
          <a:extLst>
            <a:ext uri="{FF2B5EF4-FFF2-40B4-BE49-F238E27FC236}">
              <a16:creationId xmlns:a16="http://schemas.microsoft.com/office/drawing/2014/main" id="{00000000-0008-0000-30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1224915</xdr:colOff>
      <xdr:row>64</xdr:row>
      <xdr:rowOff>161925</xdr:rowOff>
    </xdr:to>
    <xdr:pic>
      <xdr:nvPicPr>
        <xdr:cNvPr id="9" name="Picture 9" descr="logoMTL">
          <a:extLst>
            <a:ext uri="{FF2B5EF4-FFF2-40B4-BE49-F238E27FC236}">
              <a16:creationId xmlns:a16="http://schemas.microsoft.com/office/drawing/2014/main" id="{00000000-0008-0000-30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30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30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276</xdr:row>
      <xdr:rowOff>0</xdr:rowOff>
    </xdr:from>
    <xdr:to>
      <xdr:col>15</xdr:col>
      <xdr:colOff>1219200</xdr:colOff>
      <xdr:row>277</xdr:row>
      <xdr:rowOff>123825</xdr:rowOff>
    </xdr:to>
    <xdr:pic>
      <xdr:nvPicPr>
        <xdr:cNvPr id="12" name="Picture 12" descr="logoMTL">
          <a:extLst>
            <a:ext uri="{FF2B5EF4-FFF2-40B4-BE49-F238E27FC236}">
              <a16:creationId xmlns:a16="http://schemas.microsoft.com/office/drawing/2014/main" id="{00000000-0008-0000-30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30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40461" name="Picture 1" descr="C:\WINDOWS\TEMP\Symbol.gif">
          <a:extLst>
            <a:ext uri="{FF2B5EF4-FFF2-40B4-BE49-F238E27FC236}">
              <a16:creationId xmlns:a16="http://schemas.microsoft.com/office/drawing/2014/main" id="{00000000-0008-0000-0400-00000D9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127</xdr:row>
      <xdr:rowOff>0</xdr:rowOff>
    </xdr:from>
    <xdr:to>
      <xdr:col>1</xdr:col>
      <xdr:colOff>28575</xdr:colOff>
      <xdr:row>127</xdr:row>
      <xdr:rowOff>200025</xdr:rowOff>
    </xdr:to>
    <xdr:pic>
      <xdr:nvPicPr>
        <xdr:cNvPr id="40462" name="Picture 2" descr="C:\WINDOWS\TEMP\Symbol.gif">
          <a:extLst>
            <a:ext uri="{FF2B5EF4-FFF2-40B4-BE49-F238E27FC236}">
              <a16:creationId xmlns:a16="http://schemas.microsoft.com/office/drawing/2014/main" id="{00000000-0008-0000-0400-00000E9E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578417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176</xdr:row>
      <xdr:rowOff>171450</xdr:rowOff>
    </xdr:from>
    <xdr:to>
      <xdr:col>1</xdr:col>
      <xdr:colOff>47625</xdr:colOff>
      <xdr:row>177</xdr:row>
      <xdr:rowOff>209550</xdr:rowOff>
    </xdr:to>
    <xdr:pic>
      <xdr:nvPicPr>
        <xdr:cNvPr id="40463" name="Picture 3" descr="C:\WINDOWS\TEMP\Symbol.gif">
          <a:extLst>
            <a:ext uri="{FF2B5EF4-FFF2-40B4-BE49-F238E27FC236}">
              <a16:creationId xmlns:a16="http://schemas.microsoft.com/office/drawing/2014/main" id="{00000000-0008-0000-0400-00000F9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58330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254</xdr:row>
      <xdr:rowOff>161925</xdr:rowOff>
    </xdr:from>
    <xdr:to>
      <xdr:col>1</xdr:col>
      <xdr:colOff>19050</xdr:colOff>
      <xdr:row>255</xdr:row>
      <xdr:rowOff>200025</xdr:rowOff>
    </xdr:to>
    <xdr:pic>
      <xdr:nvPicPr>
        <xdr:cNvPr id="40464" name="Picture 4" descr="C:\WINDOWS\TEMP\Symbol.gif">
          <a:extLst>
            <a:ext uri="{FF2B5EF4-FFF2-40B4-BE49-F238E27FC236}">
              <a16:creationId xmlns:a16="http://schemas.microsoft.com/office/drawing/2014/main" id="{00000000-0008-0000-0400-0000109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1511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40465" name="Picture 5" descr="C:\WINDOWS\TEMP\~0003946.gif">
          <a:extLst>
            <a:ext uri="{FF2B5EF4-FFF2-40B4-BE49-F238E27FC236}">
              <a16:creationId xmlns:a16="http://schemas.microsoft.com/office/drawing/2014/main" id="{00000000-0008-0000-0400-0000119E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127</xdr:row>
      <xdr:rowOff>0</xdr:rowOff>
    </xdr:from>
    <xdr:to>
      <xdr:col>16</xdr:col>
      <xdr:colOff>895350</xdr:colOff>
      <xdr:row>127</xdr:row>
      <xdr:rowOff>152400</xdr:rowOff>
    </xdr:to>
    <xdr:pic>
      <xdr:nvPicPr>
        <xdr:cNvPr id="40466" name="Picture 6" descr="C:\WINDOWS\TEMP\~0003946.gif">
          <a:extLst>
            <a:ext uri="{FF2B5EF4-FFF2-40B4-BE49-F238E27FC236}">
              <a16:creationId xmlns:a16="http://schemas.microsoft.com/office/drawing/2014/main" id="{00000000-0008-0000-0400-0000129E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578417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176</xdr:row>
      <xdr:rowOff>104775</xdr:rowOff>
    </xdr:from>
    <xdr:to>
      <xdr:col>16</xdr:col>
      <xdr:colOff>809625</xdr:colOff>
      <xdr:row>177</xdr:row>
      <xdr:rowOff>133350</xdr:rowOff>
    </xdr:to>
    <xdr:pic>
      <xdr:nvPicPr>
        <xdr:cNvPr id="40467" name="Picture 7" descr="C:\WINDOWS\TEMP\~0003946.gif">
          <a:extLst>
            <a:ext uri="{FF2B5EF4-FFF2-40B4-BE49-F238E27FC236}">
              <a16:creationId xmlns:a16="http://schemas.microsoft.com/office/drawing/2014/main" id="{00000000-0008-0000-0400-0000139E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57663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254</xdr:row>
      <xdr:rowOff>104775</xdr:rowOff>
    </xdr:from>
    <xdr:to>
      <xdr:col>16</xdr:col>
      <xdr:colOff>895350</xdr:colOff>
      <xdr:row>255</xdr:row>
      <xdr:rowOff>133350</xdr:rowOff>
    </xdr:to>
    <xdr:pic>
      <xdr:nvPicPr>
        <xdr:cNvPr id="40468" name="Picture 8" descr="C:\WINDOWS\TEMP\~0003946.gif">
          <a:extLst>
            <a:ext uri="{FF2B5EF4-FFF2-40B4-BE49-F238E27FC236}">
              <a16:creationId xmlns:a16="http://schemas.microsoft.com/office/drawing/2014/main" id="{00000000-0008-0000-0400-0000149E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1454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40469" name="Picture 9" descr="logoMTL">
          <a:extLst>
            <a:ext uri="{FF2B5EF4-FFF2-40B4-BE49-F238E27FC236}">
              <a16:creationId xmlns:a16="http://schemas.microsoft.com/office/drawing/2014/main" id="{00000000-0008-0000-0400-000015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126</xdr:row>
      <xdr:rowOff>28575</xdr:rowOff>
    </xdr:from>
    <xdr:to>
      <xdr:col>15</xdr:col>
      <xdr:colOff>1171575</xdr:colOff>
      <xdr:row>127</xdr:row>
      <xdr:rowOff>152400</xdr:rowOff>
    </xdr:to>
    <xdr:pic>
      <xdr:nvPicPr>
        <xdr:cNvPr id="40470" name="Picture 10" descr="logoMTL">
          <a:extLst>
            <a:ext uri="{FF2B5EF4-FFF2-40B4-BE49-F238E27FC236}">
              <a16:creationId xmlns:a16="http://schemas.microsoft.com/office/drawing/2014/main" id="{00000000-0008-0000-0400-0000169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56127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176</xdr:row>
      <xdr:rowOff>28575</xdr:rowOff>
    </xdr:from>
    <xdr:to>
      <xdr:col>15</xdr:col>
      <xdr:colOff>1171575</xdr:colOff>
      <xdr:row>177</xdr:row>
      <xdr:rowOff>152400</xdr:rowOff>
    </xdr:to>
    <xdr:pic>
      <xdr:nvPicPr>
        <xdr:cNvPr id="40471" name="Picture 11" descr="logoMTL">
          <a:extLst>
            <a:ext uri="{FF2B5EF4-FFF2-40B4-BE49-F238E27FC236}">
              <a16:creationId xmlns:a16="http://schemas.microsoft.com/office/drawing/2014/main" id="{00000000-0008-0000-0400-0000179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56901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254</xdr:row>
      <xdr:rowOff>0</xdr:rowOff>
    </xdr:from>
    <xdr:to>
      <xdr:col>15</xdr:col>
      <xdr:colOff>1219200</xdr:colOff>
      <xdr:row>255</xdr:row>
      <xdr:rowOff>123825</xdr:rowOff>
    </xdr:to>
    <xdr:pic>
      <xdr:nvPicPr>
        <xdr:cNvPr id="40472" name="Picture 12" descr="logoMTL">
          <a:extLst>
            <a:ext uri="{FF2B5EF4-FFF2-40B4-BE49-F238E27FC236}">
              <a16:creationId xmlns:a16="http://schemas.microsoft.com/office/drawing/2014/main" id="{00000000-0008-0000-0400-0000189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13492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5" name="Picture 4" descr="C:\WINDOWS\TEMP\Symbol.gif">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9117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275</xdr:row>
      <xdr:rowOff>104775</xdr:rowOff>
    </xdr:from>
    <xdr:to>
      <xdr:col>16</xdr:col>
      <xdr:colOff>895350</xdr:colOff>
      <xdr:row>276</xdr:row>
      <xdr:rowOff>133350</xdr:rowOff>
    </xdr:to>
    <xdr:pic>
      <xdr:nvPicPr>
        <xdr:cNvPr id="8" name="Picture 8" descr="C:\WINDOWS\TEMP\~0003946.gif">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8546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1224915</xdr:colOff>
      <xdr:row>64</xdr:row>
      <xdr:rowOff>161925</xdr:rowOff>
    </xdr:to>
    <xdr:pic>
      <xdr:nvPicPr>
        <xdr:cNvPr id="9" name="Picture 9" descr="logoMTL">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77724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00000000-0008-0000-31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00000000-0008-0000-31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12" name="Picture 12" descr="logoMTL">
          <a:extLst>
            <a:ext uri="{FF2B5EF4-FFF2-40B4-BE49-F238E27FC236}">
              <a16:creationId xmlns:a16="http://schemas.microsoft.com/office/drawing/2014/main" id="{00000000-0008-0000-31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749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00000000-0008-0000-3100-00000D00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4539D945-D973-4428-AB91-2F8EF325B54B}"/>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0</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2B4310BB-076C-4B71-A206-C3269919D472}"/>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183</xdr:row>
      <xdr:rowOff>171450</xdr:rowOff>
    </xdr:from>
    <xdr:to>
      <xdr:col>1</xdr:col>
      <xdr:colOff>47625</xdr:colOff>
      <xdr:row>184</xdr:row>
      <xdr:rowOff>209550</xdr:rowOff>
    </xdr:to>
    <xdr:pic>
      <xdr:nvPicPr>
        <xdr:cNvPr id="4" name="Picture 3" descr="C:\WINDOWS\TEMP\Symbol.gif">
          <a:extLst>
            <a:ext uri="{FF2B5EF4-FFF2-40B4-BE49-F238E27FC236}">
              <a16:creationId xmlns:a16="http://schemas.microsoft.com/office/drawing/2014/main" id="{7AC44260-2F4E-4CFB-AB6D-45D1FB23B1A8}"/>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5" name="Picture 4" descr="C:\WINDOWS\TEMP\Symbol.gif">
          <a:extLst>
            <a:ext uri="{FF2B5EF4-FFF2-40B4-BE49-F238E27FC236}">
              <a16:creationId xmlns:a16="http://schemas.microsoft.com/office/drawing/2014/main" id="{4656AB3B-A8D9-407F-B464-E36CD7381F2D}"/>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132</xdr:row>
      <xdr:rowOff>0</xdr:rowOff>
    </xdr:from>
    <xdr:to>
      <xdr:col>16</xdr:col>
      <xdr:colOff>895350</xdr:colOff>
      <xdr:row>132</xdr:row>
      <xdr:rowOff>152400</xdr:rowOff>
    </xdr:to>
    <xdr:pic>
      <xdr:nvPicPr>
        <xdr:cNvPr id="6" name="Picture 6" descr="C:\WINDOWS\TEMP\~0003946.gif">
          <a:extLst>
            <a:ext uri="{FF2B5EF4-FFF2-40B4-BE49-F238E27FC236}">
              <a16:creationId xmlns:a16="http://schemas.microsoft.com/office/drawing/2014/main" id="{3E312CC2-3B50-41D4-BC72-25B996D0F178}"/>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183</xdr:row>
      <xdr:rowOff>104775</xdr:rowOff>
    </xdr:from>
    <xdr:to>
      <xdr:col>16</xdr:col>
      <xdr:colOff>809625</xdr:colOff>
      <xdr:row>184</xdr:row>
      <xdr:rowOff>133350</xdr:rowOff>
    </xdr:to>
    <xdr:pic>
      <xdr:nvPicPr>
        <xdr:cNvPr id="7" name="Picture 7" descr="C:\WINDOWS\TEMP\~0003946.gif">
          <a:extLst>
            <a:ext uri="{FF2B5EF4-FFF2-40B4-BE49-F238E27FC236}">
              <a16:creationId xmlns:a16="http://schemas.microsoft.com/office/drawing/2014/main" id="{17A838BA-F7EF-4196-8303-2DE53E9C23CB}"/>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275</xdr:row>
      <xdr:rowOff>104775</xdr:rowOff>
    </xdr:from>
    <xdr:to>
      <xdr:col>16</xdr:col>
      <xdr:colOff>895350</xdr:colOff>
      <xdr:row>276</xdr:row>
      <xdr:rowOff>133350</xdr:rowOff>
    </xdr:to>
    <xdr:pic>
      <xdr:nvPicPr>
        <xdr:cNvPr id="8" name="Picture 8" descr="C:\WINDOWS\TEMP\~0003946.gif">
          <a:extLst>
            <a:ext uri="{FF2B5EF4-FFF2-40B4-BE49-F238E27FC236}">
              <a16:creationId xmlns:a16="http://schemas.microsoft.com/office/drawing/2014/main" id="{13E321AC-F0F3-4F3C-A7C6-469FF123402E}"/>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654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1224915</xdr:colOff>
      <xdr:row>64</xdr:row>
      <xdr:rowOff>161925</xdr:rowOff>
    </xdr:to>
    <xdr:pic>
      <xdr:nvPicPr>
        <xdr:cNvPr id="9" name="Picture 9" descr="logoMTL">
          <a:extLst>
            <a:ext uri="{FF2B5EF4-FFF2-40B4-BE49-F238E27FC236}">
              <a16:creationId xmlns:a16="http://schemas.microsoft.com/office/drawing/2014/main" id="{0B777BE8-5E76-418F-8654-DD234F62319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77724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131</xdr:row>
      <xdr:rowOff>28575</xdr:rowOff>
    </xdr:from>
    <xdr:to>
      <xdr:col>15</xdr:col>
      <xdr:colOff>1171575</xdr:colOff>
      <xdr:row>132</xdr:row>
      <xdr:rowOff>152400</xdr:rowOff>
    </xdr:to>
    <xdr:pic>
      <xdr:nvPicPr>
        <xdr:cNvPr id="10" name="Picture 10" descr="logoMTL">
          <a:extLst>
            <a:ext uri="{FF2B5EF4-FFF2-40B4-BE49-F238E27FC236}">
              <a16:creationId xmlns:a16="http://schemas.microsoft.com/office/drawing/2014/main" id="{74844E89-020D-442C-8BD4-5EF33EC1C0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183</xdr:row>
      <xdr:rowOff>28575</xdr:rowOff>
    </xdr:from>
    <xdr:to>
      <xdr:col>15</xdr:col>
      <xdr:colOff>1171575</xdr:colOff>
      <xdr:row>184</xdr:row>
      <xdr:rowOff>152400</xdr:rowOff>
    </xdr:to>
    <xdr:pic>
      <xdr:nvPicPr>
        <xdr:cNvPr id="11" name="Picture 11" descr="logoMTL">
          <a:extLst>
            <a:ext uri="{FF2B5EF4-FFF2-40B4-BE49-F238E27FC236}">
              <a16:creationId xmlns:a16="http://schemas.microsoft.com/office/drawing/2014/main" id="{8B7405AF-82F2-4E3B-897C-013F1FB479E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275</xdr:row>
      <xdr:rowOff>0</xdr:rowOff>
    </xdr:from>
    <xdr:to>
      <xdr:col>15</xdr:col>
      <xdr:colOff>1219200</xdr:colOff>
      <xdr:row>276</xdr:row>
      <xdr:rowOff>123825</xdr:rowOff>
    </xdr:to>
    <xdr:pic>
      <xdr:nvPicPr>
        <xdr:cNvPr id="12" name="Picture 12" descr="logoMTL">
          <a:extLst>
            <a:ext uri="{FF2B5EF4-FFF2-40B4-BE49-F238E27FC236}">
              <a16:creationId xmlns:a16="http://schemas.microsoft.com/office/drawing/2014/main" id="{544FC032-775B-4372-80F6-F71BF63E82A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BD005618-10C8-464E-A8D2-D20DFA56BFE4}"/>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2" name="Picture 1" descr="C:\WINDOWS\TEMP\Symbol.gif">
          <a:extLst>
            <a:ext uri="{FF2B5EF4-FFF2-40B4-BE49-F238E27FC236}">
              <a16:creationId xmlns:a16="http://schemas.microsoft.com/office/drawing/2014/main" id="{0D580BFD-969B-45C5-96D8-089F643B5A25}"/>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133</xdr:row>
      <xdr:rowOff>0</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17A90BC8-8FC5-4A10-8A81-181168407CF7}"/>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78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185</xdr:row>
      <xdr:rowOff>171450</xdr:rowOff>
    </xdr:from>
    <xdr:to>
      <xdr:col>1</xdr:col>
      <xdr:colOff>47625</xdr:colOff>
      <xdr:row>186</xdr:row>
      <xdr:rowOff>209550</xdr:rowOff>
    </xdr:to>
    <xdr:pic>
      <xdr:nvPicPr>
        <xdr:cNvPr id="4" name="Picture 3" descr="C:\WINDOWS\TEMP\Symbol.gif">
          <a:extLst>
            <a:ext uri="{FF2B5EF4-FFF2-40B4-BE49-F238E27FC236}">
              <a16:creationId xmlns:a16="http://schemas.microsoft.com/office/drawing/2014/main" id="{A8DC87A3-898F-4C5F-B000-F969C64BAA7B}"/>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72332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277</xdr:row>
      <xdr:rowOff>161925</xdr:rowOff>
    </xdr:from>
    <xdr:to>
      <xdr:col>1</xdr:col>
      <xdr:colOff>19050</xdr:colOff>
      <xdr:row>278</xdr:row>
      <xdr:rowOff>200025</xdr:rowOff>
    </xdr:to>
    <xdr:pic>
      <xdr:nvPicPr>
        <xdr:cNvPr id="5" name="Picture 4" descr="C:\WINDOWS\TEMP\Symbol.gif">
          <a:extLst>
            <a:ext uri="{FF2B5EF4-FFF2-40B4-BE49-F238E27FC236}">
              <a16:creationId xmlns:a16="http://schemas.microsoft.com/office/drawing/2014/main" id="{309B8724-D99C-4B90-AE29-F621BC9C6AB9}"/>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7117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133</xdr:row>
      <xdr:rowOff>0</xdr:rowOff>
    </xdr:from>
    <xdr:to>
      <xdr:col>16</xdr:col>
      <xdr:colOff>895350</xdr:colOff>
      <xdr:row>133</xdr:row>
      <xdr:rowOff>152400</xdr:rowOff>
    </xdr:to>
    <xdr:pic>
      <xdr:nvPicPr>
        <xdr:cNvPr id="6" name="Picture 6" descr="C:\WINDOWS\TEMP\~0003946.gif">
          <a:extLst>
            <a:ext uri="{FF2B5EF4-FFF2-40B4-BE49-F238E27FC236}">
              <a16:creationId xmlns:a16="http://schemas.microsoft.com/office/drawing/2014/main" id="{4DA5A344-E165-45EA-A734-6EB739D393FE}"/>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612350" y="26784300"/>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185</xdr:row>
      <xdr:rowOff>104775</xdr:rowOff>
    </xdr:from>
    <xdr:to>
      <xdr:col>16</xdr:col>
      <xdr:colOff>809625</xdr:colOff>
      <xdr:row>186</xdr:row>
      <xdr:rowOff>133350</xdr:rowOff>
    </xdr:to>
    <xdr:pic>
      <xdr:nvPicPr>
        <xdr:cNvPr id="7" name="Picture 7" descr="C:\WINDOWS\TEMP\~0003946.gif">
          <a:extLst>
            <a:ext uri="{FF2B5EF4-FFF2-40B4-BE49-F238E27FC236}">
              <a16:creationId xmlns:a16="http://schemas.microsoft.com/office/drawing/2014/main" id="{55A53300-2AD0-4F5A-8CED-D797C9C68441}"/>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526625" y="37166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277</xdr:row>
      <xdr:rowOff>104775</xdr:rowOff>
    </xdr:from>
    <xdr:to>
      <xdr:col>16</xdr:col>
      <xdr:colOff>895350</xdr:colOff>
      <xdr:row>278</xdr:row>
      <xdr:rowOff>133350</xdr:rowOff>
    </xdr:to>
    <xdr:pic>
      <xdr:nvPicPr>
        <xdr:cNvPr id="8" name="Picture 8" descr="C:\WINDOWS\TEMP\~0003946.gif">
          <a:extLst>
            <a:ext uri="{FF2B5EF4-FFF2-40B4-BE49-F238E27FC236}">
              <a16:creationId xmlns:a16="http://schemas.microsoft.com/office/drawing/2014/main" id="{88109369-DACF-4051-B032-8BE0B93EB417}"/>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12350" y="55654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1205865</xdr:colOff>
      <xdr:row>64</xdr:row>
      <xdr:rowOff>161925</xdr:rowOff>
    </xdr:to>
    <xdr:pic>
      <xdr:nvPicPr>
        <xdr:cNvPr id="9" name="Picture 9" descr="logoMTL">
          <a:extLst>
            <a:ext uri="{FF2B5EF4-FFF2-40B4-BE49-F238E27FC236}">
              <a16:creationId xmlns:a16="http://schemas.microsoft.com/office/drawing/2014/main" id="{F3BE7804-18B7-495D-B692-D50E00625D6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707475" y="12773025"/>
          <a:ext cx="77724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132</xdr:row>
      <xdr:rowOff>28575</xdr:rowOff>
    </xdr:from>
    <xdr:to>
      <xdr:col>15</xdr:col>
      <xdr:colOff>1171575</xdr:colOff>
      <xdr:row>133</xdr:row>
      <xdr:rowOff>152400</xdr:rowOff>
    </xdr:to>
    <xdr:pic>
      <xdr:nvPicPr>
        <xdr:cNvPr id="10" name="Picture 10" descr="logoMTL">
          <a:extLst>
            <a:ext uri="{FF2B5EF4-FFF2-40B4-BE49-F238E27FC236}">
              <a16:creationId xmlns:a16="http://schemas.microsoft.com/office/drawing/2014/main" id="{6139E6D2-4014-4C00-A998-673658690D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26612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185</xdr:row>
      <xdr:rowOff>28575</xdr:rowOff>
    </xdr:from>
    <xdr:to>
      <xdr:col>15</xdr:col>
      <xdr:colOff>1171575</xdr:colOff>
      <xdr:row>186</xdr:row>
      <xdr:rowOff>152400</xdr:rowOff>
    </xdr:to>
    <xdr:pic>
      <xdr:nvPicPr>
        <xdr:cNvPr id="11" name="Picture 11" descr="logoMTL">
          <a:extLst>
            <a:ext uri="{FF2B5EF4-FFF2-40B4-BE49-F238E27FC236}">
              <a16:creationId xmlns:a16="http://schemas.microsoft.com/office/drawing/2014/main" id="{CAF29CEA-1DB2-48CC-B2F6-D3C3B2F55FF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31275" y="370903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277</xdr:row>
      <xdr:rowOff>0</xdr:rowOff>
    </xdr:from>
    <xdr:to>
      <xdr:col>16</xdr:col>
      <xdr:colOff>0</xdr:colOff>
      <xdr:row>278</xdr:row>
      <xdr:rowOff>123825</xdr:rowOff>
    </xdr:to>
    <xdr:pic>
      <xdr:nvPicPr>
        <xdr:cNvPr id="12" name="Picture 12" descr="logoMTL">
          <a:extLst>
            <a:ext uri="{FF2B5EF4-FFF2-40B4-BE49-F238E27FC236}">
              <a16:creationId xmlns:a16="http://schemas.microsoft.com/office/drawing/2014/main" id="{20CB34E0-E302-4E54-9671-FDEF7C3CB6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78900" y="55549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123825</xdr:colOff>
      <xdr:row>63</xdr:row>
      <xdr:rowOff>95250</xdr:rowOff>
    </xdr:from>
    <xdr:to>
      <xdr:col>16</xdr:col>
      <xdr:colOff>923925</xdr:colOff>
      <xdr:row>64</xdr:row>
      <xdr:rowOff>123825</xdr:rowOff>
    </xdr:to>
    <xdr:pic>
      <xdr:nvPicPr>
        <xdr:cNvPr id="13" name="Picture 5" descr="C:\WINDOWS\TEMP\~0003946.gif">
          <a:extLst>
            <a:ext uri="{FF2B5EF4-FFF2-40B4-BE49-F238E27FC236}">
              <a16:creationId xmlns:a16="http://schemas.microsoft.com/office/drawing/2014/main" id="{D8807011-4FB2-46FC-84F3-558478C5E3EA}"/>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2640925" y="12830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41485" name="Picture 1" descr="C:\WINDOWS\TEMP\Symbol.gif">
          <a:extLst>
            <a:ext uri="{FF2B5EF4-FFF2-40B4-BE49-F238E27FC236}">
              <a16:creationId xmlns:a16="http://schemas.microsoft.com/office/drawing/2014/main" id="{00000000-0008-0000-0500-00000DA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129</xdr:row>
      <xdr:rowOff>0</xdr:rowOff>
    </xdr:from>
    <xdr:to>
      <xdr:col>1</xdr:col>
      <xdr:colOff>28575</xdr:colOff>
      <xdr:row>129</xdr:row>
      <xdr:rowOff>200025</xdr:rowOff>
    </xdr:to>
    <xdr:pic>
      <xdr:nvPicPr>
        <xdr:cNvPr id="41486" name="Picture 2" descr="C:\WINDOWS\TEMP\Symbol.gif">
          <a:extLst>
            <a:ext uri="{FF2B5EF4-FFF2-40B4-BE49-F238E27FC236}">
              <a16:creationId xmlns:a16="http://schemas.microsoft.com/office/drawing/2014/main" id="{00000000-0008-0000-0500-00000EA2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18422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178</xdr:row>
      <xdr:rowOff>171450</xdr:rowOff>
    </xdr:from>
    <xdr:to>
      <xdr:col>1</xdr:col>
      <xdr:colOff>47625</xdr:colOff>
      <xdr:row>179</xdr:row>
      <xdr:rowOff>209550</xdr:rowOff>
    </xdr:to>
    <xdr:pic>
      <xdr:nvPicPr>
        <xdr:cNvPr id="41487" name="Picture 3" descr="C:\WINDOWS\TEMP\Symbol.gif">
          <a:extLst>
            <a:ext uri="{FF2B5EF4-FFF2-40B4-BE49-F238E27FC236}">
              <a16:creationId xmlns:a16="http://schemas.microsoft.com/office/drawing/2014/main" id="{00000000-0008-0000-0500-00000FA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2331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259</xdr:row>
      <xdr:rowOff>161925</xdr:rowOff>
    </xdr:from>
    <xdr:to>
      <xdr:col>1</xdr:col>
      <xdr:colOff>19050</xdr:colOff>
      <xdr:row>260</xdr:row>
      <xdr:rowOff>200025</xdr:rowOff>
    </xdr:to>
    <xdr:pic>
      <xdr:nvPicPr>
        <xdr:cNvPr id="41488" name="Picture 4" descr="C:\WINDOWS\TEMP\Symbol.gif">
          <a:extLst>
            <a:ext uri="{FF2B5EF4-FFF2-40B4-BE49-F238E27FC236}">
              <a16:creationId xmlns:a16="http://schemas.microsoft.com/office/drawing/2014/main" id="{00000000-0008-0000-0500-000010A2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251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41489" name="Picture 5" descr="C:\WINDOWS\TEMP\~0003946.gif">
          <a:extLst>
            <a:ext uri="{FF2B5EF4-FFF2-40B4-BE49-F238E27FC236}">
              <a16:creationId xmlns:a16="http://schemas.microsoft.com/office/drawing/2014/main" id="{00000000-0008-0000-0500-000011A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129</xdr:row>
      <xdr:rowOff>0</xdr:rowOff>
    </xdr:from>
    <xdr:to>
      <xdr:col>16</xdr:col>
      <xdr:colOff>895350</xdr:colOff>
      <xdr:row>129</xdr:row>
      <xdr:rowOff>152400</xdr:rowOff>
    </xdr:to>
    <xdr:pic>
      <xdr:nvPicPr>
        <xdr:cNvPr id="41490" name="Picture 6" descr="C:\WINDOWS\TEMP\~0003946.gif">
          <a:extLst>
            <a:ext uri="{FF2B5EF4-FFF2-40B4-BE49-F238E27FC236}">
              <a16:creationId xmlns:a16="http://schemas.microsoft.com/office/drawing/2014/main" id="{00000000-0008-0000-0500-000012A2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18422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178</xdr:row>
      <xdr:rowOff>104775</xdr:rowOff>
    </xdr:from>
    <xdr:to>
      <xdr:col>16</xdr:col>
      <xdr:colOff>809625</xdr:colOff>
      <xdr:row>179</xdr:row>
      <xdr:rowOff>133350</xdr:rowOff>
    </xdr:to>
    <xdr:pic>
      <xdr:nvPicPr>
        <xdr:cNvPr id="41491" name="Picture 7" descr="C:\WINDOWS\TEMP\~0003946.gif">
          <a:extLst>
            <a:ext uri="{FF2B5EF4-FFF2-40B4-BE49-F238E27FC236}">
              <a16:creationId xmlns:a16="http://schemas.microsoft.com/office/drawing/2014/main" id="{00000000-0008-0000-0500-000013A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16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259</xdr:row>
      <xdr:rowOff>104775</xdr:rowOff>
    </xdr:from>
    <xdr:to>
      <xdr:col>16</xdr:col>
      <xdr:colOff>895350</xdr:colOff>
      <xdr:row>260</xdr:row>
      <xdr:rowOff>133350</xdr:rowOff>
    </xdr:to>
    <xdr:pic>
      <xdr:nvPicPr>
        <xdr:cNvPr id="41492" name="Picture 8" descr="C:\WINDOWS\TEMP\~0003946.gif">
          <a:extLst>
            <a:ext uri="{FF2B5EF4-FFF2-40B4-BE49-F238E27FC236}">
              <a16:creationId xmlns:a16="http://schemas.microsoft.com/office/drawing/2014/main" id="{00000000-0008-0000-0500-000014A2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245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41493" name="Picture 9" descr="logoMTL">
          <a:extLst>
            <a:ext uri="{FF2B5EF4-FFF2-40B4-BE49-F238E27FC236}">
              <a16:creationId xmlns:a16="http://schemas.microsoft.com/office/drawing/2014/main" id="{00000000-0008-0000-0500-000015A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128</xdr:row>
      <xdr:rowOff>28575</xdr:rowOff>
    </xdr:from>
    <xdr:to>
      <xdr:col>15</xdr:col>
      <xdr:colOff>1171575</xdr:colOff>
      <xdr:row>129</xdr:row>
      <xdr:rowOff>152400</xdr:rowOff>
    </xdr:to>
    <xdr:pic>
      <xdr:nvPicPr>
        <xdr:cNvPr id="41494" name="Picture 10" descr="logoMTL">
          <a:extLst>
            <a:ext uri="{FF2B5EF4-FFF2-40B4-BE49-F238E27FC236}">
              <a16:creationId xmlns:a16="http://schemas.microsoft.com/office/drawing/2014/main" id="{00000000-0008-0000-0500-000016A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012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178</xdr:row>
      <xdr:rowOff>28575</xdr:rowOff>
    </xdr:from>
    <xdr:to>
      <xdr:col>15</xdr:col>
      <xdr:colOff>1171575</xdr:colOff>
      <xdr:row>179</xdr:row>
      <xdr:rowOff>152400</xdr:rowOff>
    </xdr:to>
    <xdr:pic>
      <xdr:nvPicPr>
        <xdr:cNvPr id="41495" name="Picture 11" descr="logoMTL">
          <a:extLst>
            <a:ext uri="{FF2B5EF4-FFF2-40B4-BE49-F238E27FC236}">
              <a16:creationId xmlns:a16="http://schemas.microsoft.com/office/drawing/2014/main" id="{00000000-0008-0000-0500-000017A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0902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259</xdr:row>
      <xdr:rowOff>0</xdr:rowOff>
    </xdr:from>
    <xdr:to>
      <xdr:col>15</xdr:col>
      <xdr:colOff>1219200</xdr:colOff>
      <xdr:row>260</xdr:row>
      <xdr:rowOff>123825</xdr:rowOff>
    </xdr:to>
    <xdr:pic>
      <xdr:nvPicPr>
        <xdr:cNvPr id="41496" name="Picture 12" descr="logoMTL">
          <a:extLst>
            <a:ext uri="{FF2B5EF4-FFF2-40B4-BE49-F238E27FC236}">
              <a16:creationId xmlns:a16="http://schemas.microsoft.com/office/drawing/2014/main" id="{00000000-0008-0000-0500-000018A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2349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42509" name="Picture 1" descr="C:\WINDOWS\TEMP\Symbol.gif">
          <a:extLst>
            <a:ext uri="{FF2B5EF4-FFF2-40B4-BE49-F238E27FC236}">
              <a16:creationId xmlns:a16="http://schemas.microsoft.com/office/drawing/2014/main" id="{00000000-0008-0000-0600-00000DA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129</xdr:row>
      <xdr:rowOff>0</xdr:rowOff>
    </xdr:from>
    <xdr:to>
      <xdr:col>1</xdr:col>
      <xdr:colOff>28575</xdr:colOff>
      <xdr:row>129</xdr:row>
      <xdr:rowOff>200025</xdr:rowOff>
    </xdr:to>
    <xdr:pic>
      <xdr:nvPicPr>
        <xdr:cNvPr id="42510" name="Picture 2" descr="C:\WINDOWS\TEMP\Symbol.gif">
          <a:extLst>
            <a:ext uri="{FF2B5EF4-FFF2-40B4-BE49-F238E27FC236}">
              <a16:creationId xmlns:a16="http://schemas.microsoft.com/office/drawing/2014/main" id="{00000000-0008-0000-0600-00000EA6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18422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178</xdr:row>
      <xdr:rowOff>171450</xdr:rowOff>
    </xdr:from>
    <xdr:to>
      <xdr:col>1</xdr:col>
      <xdr:colOff>47625</xdr:colOff>
      <xdr:row>179</xdr:row>
      <xdr:rowOff>209550</xdr:rowOff>
    </xdr:to>
    <xdr:pic>
      <xdr:nvPicPr>
        <xdr:cNvPr id="42511" name="Picture 3" descr="C:\WINDOWS\TEMP\Symbol.gif">
          <a:extLst>
            <a:ext uri="{FF2B5EF4-FFF2-40B4-BE49-F238E27FC236}">
              <a16:creationId xmlns:a16="http://schemas.microsoft.com/office/drawing/2014/main" id="{00000000-0008-0000-0600-00000FA6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2331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259</xdr:row>
      <xdr:rowOff>161925</xdr:rowOff>
    </xdr:from>
    <xdr:to>
      <xdr:col>1</xdr:col>
      <xdr:colOff>19050</xdr:colOff>
      <xdr:row>260</xdr:row>
      <xdr:rowOff>200025</xdr:rowOff>
    </xdr:to>
    <xdr:pic>
      <xdr:nvPicPr>
        <xdr:cNvPr id="42512" name="Picture 4" descr="C:\WINDOWS\TEMP\Symbol.gif">
          <a:extLst>
            <a:ext uri="{FF2B5EF4-FFF2-40B4-BE49-F238E27FC236}">
              <a16:creationId xmlns:a16="http://schemas.microsoft.com/office/drawing/2014/main" id="{00000000-0008-0000-0600-000010A6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251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42513" name="Picture 5" descr="C:\WINDOWS\TEMP\~0003946.gif">
          <a:extLst>
            <a:ext uri="{FF2B5EF4-FFF2-40B4-BE49-F238E27FC236}">
              <a16:creationId xmlns:a16="http://schemas.microsoft.com/office/drawing/2014/main" id="{00000000-0008-0000-0600-000011A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129</xdr:row>
      <xdr:rowOff>0</xdr:rowOff>
    </xdr:from>
    <xdr:to>
      <xdr:col>16</xdr:col>
      <xdr:colOff>895350</xdr:colOff>
      <xdr:row>129</xdr:row>
      <xdr:rowOff>152400</xdr:rowOff>
    </xdr:to>
    <xdr:pic>
      <xdr:nvPicPr>
        <xdr:cNvPr id="42514" name="Picture 6" descr="C:\WINDOWS\TEMP\~0003946.gif">
          <a:extLst>
            <a:ext uri="{FF2B5EF4-FFF2-40B4-BE49-F238E27FC236}">
              <a16:creationId xmlns:a16="http://schemas.microsoft.com/office/drawing/2014/main" id="{00000000-0008-0000-0600-000012A6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18422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178</xdr:row>
      <xdr:rowOff>104775</xdr:rowOff>
    </xdr:from>
    <xdr:to>
      <xdr:col>16</xdr:col>
      <xdr:colOff>809625</xdr:colOff>
      <xdr:row>179</xdr:row>
      <xdr:rowOff>133350</xdr:rowOff>
    </xdr:to>
    <xdr:pic>
      <xdr:nvPicPr>
        <xdr:cNvPr id="42515" name="Picture 7" descr="C:\WINDOWS\TEMP\~0003946.gif">
          <a:extLst>
            <a:ext uri="{FF2B5EF4-FFF2-40B4-BE49-F238E27FC236}">
              <a16:creationId xmlns:a16="http://schemas.microsoft.com/office/drawing/2014/main" id="{00000000-0008-0000-0600-000013A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16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259</xdr:row>
      <xdr:rowOff>104775</xdr:rowOff>
    </xdr:from>
    <xdr:to>
      <xdr:col>16</xdr:col>
      <xdr:colOff>895350</xdr:colOff>
      <xdr:row>260</xdr:row>
      <xdr:rowOff>133350</xdr:rowOff>
    </xdr:to>
    <xdr:pic>
      <xdr:nvPicPr>
        <xdr:cNvPr id="42516" name="Picture 8" descr="C:\WINDOWS\TEMP\~0003946.gif">
          <a:extLst>
            <a:ext uri="{FF2B5EF4-FFF2-40B4-BE49-F238E27FC236}">
              <a16:creationId xmlns:a16="http://schemas.microsoft.com/office/drawing/2014/main" id="{00000000-0008-0000-0600-000014A6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245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42517" name="Picture 9" descr="logoMTL">
          <a:extLst>
            <a:ext uri="{FF2B5EF4-FFF2-40B4-BE49-F238E27FC236}">
              <a16:creationId xmlns:a16="http://schemas.microsoft.com/office/drawing/2014/main" id="{00000000-0008-0000-0600-000015A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128</xdr:row>
      <xdr:rowOff>28575</xdr:rowOff>
    </xdr:from>
    <xdr:to>
      <xdr:col>15</xdr:col>
      <xdr:colOff>1171575</xdr:colOff>
      <xdr:row>129</xdr:row>
      <xdr:rowOff>152400</xdr:rowOff>
    </xdr:to>
    <xdr:pic>
      <xdr:nvPicPr>
        <xdr:cNvPr id="42518" name="Picture 10" descr="logoMTL">
          <a:extLst>
            <a:ext uri="{FF2B5EF4-FFF2-40B4-BE49-F238E27FC236}">
              <a16:creationId xmlns:a16="http://schemas.microsoft.com/office/drawing/2014/main" id="{00000000-0008-0000-0600-000016A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012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178</xdr:row>
      <xdr:rowOff>28575</xdr:rowOff>
    </xdr:from>
    <xdr:to>
      <xdr:col>15</xdr:col>
      <xdr:colOff>1171575</xdr:colOff>
      <xdr:row>179</xdr:row>
      <xdr:rowOff>152400</xdr:rowOff>
    </xdr:to>
    <xdr:pic>
      <xdr:nvPicPr>
        <xdr:cNvPr id="42519" name="Picture 11" descr="logoMTL">
          <a:extLst>
            <a:ext uri="{FF2B5EF4-FFF2-40B4-BE49-F238E27FC236}">
              <a16:creationId xmlns:a16="http://schemas.microsoft.com/office/drawing/2014/main" id="{00000000-0008-0000-0600-000017A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0902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259</xdr:row>
      <xdr:rowOff>0</xdr:rowOff>
    </xdr:from>
    <xdr:to>
      <xdr:col>15</xdr:col>
      <xdr:colOff>1219200</xdr:colOff>
      <xdr:row>260</xdr:row>
      <xdr:rowOff>123825</xdr:rowOff>
    </xdr:to>
    <xdr:pic>
      <xdr:nvPicPr>
        <xdr:cNvPr id="42520" name="Picture 12" descr="logoMTL">
          <a:extLst>
            <a:ext uri="{FF2B5EF4-FFF2-40B4-BE49-F238E27FC236}">
              <a16:creationId xmlns:a16="http://schemas.microsoft.com/office/drawing/2014/main" id="{00000000-0008-0000-0600-000018A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2349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43533" name="Picture 1" descr="C:\WINDOWS\TEMP\Symbol.gif">
          <a:extLst>
            <a:ext uri="{FF2B5EF4-FFF2-40B4-BE49-F238E27FC236}">
              <a16:creationId xmlns:a16="http://schemas.microsoft.com/office/drawing/2014/main" id="{00000000-0008-0000-0700-00000DA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129</xdr:row>
      <xdr:rowOff>0</xdr:rowOff>
    </xdr:from>
    <xdr:to>
      <xdr:col>1</xdr:col>
      <xdr:colOff>28575</xdr:colOff>
      <xdr:row>129</xdr:row>
      <xdr:rowOff>200025</xdr:rowOff>
    </xdr:to>
    <xdr:pic>
      <xdr:nvPicPr>
        <xdr:cNvPr id="43534" name="Picture 2" descr="C:\WINDOWS\TEMP\Symbol.gif">
          <a:extLst>
            <a:ext uri="{FF2B5EF4-FFF2-40B4-BE49-F238E27FC236}">
              <a16:creationId xmlns:a16="http://schemas.microsoft.com/office/drawing/2014/main" id="{00000000-0008-0000-0700-00000EAA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18422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178</xdr:row>
      <xdr:rowOff>171450</xdr:rowOff>
    </xdr:from>
    <xdr:to>
      <xdr:col>1</xdr:col>
      <xdr:colOff>47625</xdr:colOff>
      <xdr:row>179</xdr:row>
      <xdr:rowOff>209550</xdr:rowOff>
    </xdr:to>
    <xdr:pic>
      <xdr:nvPicPr>
        <xdr:cNvPr id="43535" name="Picture 3" descr="C:\WINDOWS\TEMP\Symbol.gif">
          <a:extLst>
            <a:ext uri="{FF2B5EF4-FFF2-40B4-BE49-F238E27FC236}">
              <a16:creationId xmlns:a16="http://schemas.microsoft.com/office/drawing/2014/main" id="{00000000-0008-0000-0700-00000FA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62331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259</xdr:row>
      <xdr:rowOff>161925</xdr:rowOff>
    </xdr:from>
    <xdr:to>
      <xdr:col>1</xdr:col>
      <xdr:colOff>19050</xdr:colOff>
      <xdr:row>260</xdr:row>
      <xdr:rowOff>200025</xdr:rowOff>
    </xdr:to>
    <xdr:pic>
      <xdr:nvPicPr>
        <xdr:cNvPr id="43536" name="Picture 4" descr="C:\WINDOWS\TEMP\Symbol.gif">
          <a:extLst>
            <a:ext uri="{FF2B5EF4-FFF2-40B4-BE49-F238E27FC236}">
              <a16:creationId xmlns:a16="http://schemas.microsoft.com/office/drawing/2014/main" id="{00000000-0008-0000-0700-000010A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251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43537" name="Picture 5" descr="C:\WINDOWS\TEMP\~0003946.gif">
          <a:extLst>
            <a:ext uri="{FF2B5EF4-FFF2-40B4-BE49-F238E27FC236}">
              <a16:creationId xmlns:a16="http://schemas.microsoft.com/office/drawing/2014/main" id="{00000000-0008-0000-0700-000011A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129</xdr:row>
      <xdr:rowOff>0</xdr:rowOff>
    </xdr:from>
    <xdr:to>
      <xdr:col>16</xdr:col>
      <xdr:colOff>895350</xdr:colOff>
      <xdr:row>129</xdr:row>
      <xdr:rowOff>152400</xdr:rowOff>
    </xdr:to>
    <xdr:pic>
      <xdr:nvPicPr>
        <xdr:cNvPr id="43538" name="Picture 6" descr="C:\WINDOWS\TEMP\~0003946.gif">
          <a:extLst>
            <a:ext uri="{FF2B5EF4-FFF2-40B4-BE49-F238E27FC236}">
              <a16:creationId xmlns:a16="http://schemas.microsoft.com/office/drawing/2014/main" id="{00000000-0008-0000-0700-000012AA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18422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178</xdr:row>
      <xdr:rowOff>104775</xdr:rowOff>
    </xdr:from>
    <xdr:to>
      <xdr:col>16</xdr:col>
      <xdr:colOff>809625</xdr:colOff>
      <xdr:row>179</xdr:row>
      <xdr:rowOff>133350</xdr:rowOff>
    </xdr:to>
    <xdr:pic>
      <xdr:nvPicPr>
        <xdr:cNvPr id="43539" name="Picture 7" descr="C:\WINDOWS\TEMP\~0003946.gif">
          <a:extLst>
            <a:ext uri="{FF2B5EF4-FFF2-40B4-BE49-F238E27FC236}">
              <a16:creationId xmlns:a16="http://schemas.microsoft.com/office/drawing/2014/main" id="{00000000-0008-0000-0700-000013A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16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259</xdr:row>
      <xdr:rowOff>104775</xdr:rowOff>
    </xdr:from>
    <xdr:to>
      <xdr:col>16</xdr:col>
      <xdr:colOff>895350</xdr:colOff>
      <xdr:row>260</xdr:row>
      <xdr:rowOff>133350</xdr:rowOff>
    </xdr:to>
    <xdr:pic>
      <xdr:nvPicPr>
        <xdr:cNvPr id="43540" name="Picture 8" descr="C:\WINDOWS\TEMP\~0003946.gif">
          <a:extLst>
            <a:ext uri="{FF2B5EF4-FFF2-40B4-BE49-F238E27FC236}">
              <a16:creationId xmlns:a16="http://schemas.microsoft.com/office/drawing/2014/main" id="{00000000-0008-0000-0700-000014AA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245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43541" name="Picture 9" descr="logoMTL">
          <a:extLst>
            <a:ext uri="{FF2B5EF4-FFF2-40B4-BE49-F238E27FC236}">
              <a16:creationId xmlns:a16="http://schemas.microsoft.com/office/drawing/2014/main" id="{00000000-0008-0000-0700-000015AA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128</xdr:row>
      <xdr:rowOff>28575</xdr:rowOff>
    </xdr:from>
    <xdr:to>
      <xdr:col>15</xdr:col>
      <xdr:colOff>1171575</xdr:colOff>
      <xdr:row>129</xdr:row>
      <xdr:rowOff>152400</xdr:rowOff>
    </xdr:to>
    <xdr:pic>
      <xdr:nvPicPr>
        <xdr:cNvPr id="43542" name="Picture 10" descr="logoMTL">
          <a:extLst>
            <a:ext uri="{FF2B5EF4-FFF2-40B4-BE49-F238E27FC236}">
              <a16:creationId xmlns:a16="http://schemas.microsoft.com/office/drawing/2014/main" id="{00000000-0008-0000-0700-000016A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012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178</xdr:row>
      <xdr:rowOff>28575</xdr:rowOff>
    </xdr:from>
    <xdr:to>
      <xdr:col>15</xdr:col>
      <xdr:colOff>1171575</xdr:colOff>
      <xdr:row>179</xdr:row>
      <xdr:rowOff>152400</xdr:rowOff>
    </xdr:to>
    <xdr:pic>
      <xdr:nvPicPr>
        <xdr:cNvPr id="43543" name="Picture 11" descr="logoMTL">
          <a:extLst>
            <a:ext uri="{FF2B5EF4-FFF2-40B4-BE49-F238E27FC236}">
              <a16:creationId xmlns:a16="http://schemas.microsoft.com/office/drawing/2014/main" id="{00000000-0008-0000-0700-000017A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0902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259</xdr:row>
      <xdr:rowOff>0</xdr:rowOff>
    </xdr:from>
    <xdr:to>
      <xdr:col>15</xdr:col>
      <xdr:colOff>1219200</xdr:colOff>
      <xdr:row>260</xdr:row>
      <xdr:rowOff>123825</xdr:rowOff>
    </xdr:to>
    <xdr:pic>
      <xdr:nvPicPr>
        <xdr:cNvPr id="43544" name="Picture 12" descr="logoMTL">
          <a:extLst>
            <a:ext uri="{FF2B5EF4-FFF2-40B4-BE49-F238E27FC236}">
              <a16:creationId xmlns:a16="http://schemas.microsoft.com/office/drawing/2014/main" id="{00000000-0008-0000-0700-000018A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2349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63</xdr:row>
      <xdr:rowOff>190500</xdr:rowOff>
    </xdr:from>
    <xdr:to>
      <xdr:col>1</xdr:col>
      <xdr:colOff>0</xdr:colOff>
      <xdr:row>64</xdr:row>
      <xdr:rowOff>228600</xdr:rowOff>
    </xdr:to>
    <xdr:pic>
      <xdr:nvPicPr>
        <xdr:cNvPr id="44557" name="Picture 1" descr="C:\WINDOWS\TEMP\Symbol.gif">
          <a:extLst>
            <a:ext uri="{FF2B5EF4-FFF2-40B4-BE49-F238E27FC236}">
              <a16:creationId xmlns:a16="http://schemas.microsoft.com/office/drawing/2014/main" id="{00000000-0008-0000-0800-00000DA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925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129</xdr:row>
      <xdr:rowOff>0</xdr:rowOff>
    </xdr:from>
    <xdr:to>
      <xdr:col>1</xdr:col>
      <xdr:colOff>28575</xdr:colOff>
      <xdr:row>129</xdr:row>
      <xdr:rowOff>200025</xdr:rowOff>
    </xdr:to>
    <xdr:pic>
      <xdr:nvPicPr>
        <xdr:cNvPr id="44558" name="Picture 2" descr="C:\WINDOWS\TEMP\Symbol.gif">
          <a:extLst>
            <a:ext uri="{FF2B5EF4-FFF2-40B4-BE49-F238E27FC236}">
              <a16:creationId xmlns:a16="http://schemas.microsoft.com/office/drawing/2014/main" id="{00000000-0008-0000-0800-00000EAE0000}"/>
            </a:ext>
          </a:extLst>
        </xdr:cNvPr>
        <xdr:cNvPicPr>
          <a:picLocks noChangeAspect="1" noChangeArrowheads="1"/>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rcRect/>
        <a:stretch>
          <a:fillRect/>
        </a:stretch>
      </xdr:blipFill>
      <xdr:spPr bwMode="auto">
        <a:xfrm>
          <a:off x="28575" y="26184225"/>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178</xdr:row>
      <xdr:rowOff>171450</xdr:rowOff>
    </xdr:from>
    <xdr:to>
      <xdr:col>1</xdr:col>
      <xdr:colOff>47625</xdr:colOff>
      <xdr:row>179</xdr:row>
      <xdr:rowOff>209550</xdr:rowOff>
    </xdr:to>
    <xdr:pic>
      <xdr:nvPicPr>
        <xdr:cNvPr id="44559" name="Picture 3" descr="C:\WINDOWS\TEMP\Symbol.gif">
          <a:extLst>
            <a:ext uri="{FF2B5EF4-FFF2-40B4-BE49-F238E27FC236}">
              <a16:creationId xmlns:a16="http://schemas.microsoft.com/office/drawing/2014/main" id="{00000000-0008-0000-0800-00000FA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62331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259</xdr:row>
      <xdr:rowOff>161925</xdr:rowOff>
    </xdr:from>
    <xdr:to>
      <xdr:col>1</xdr:col>
      <xdr:colOff>19050</xdr:colOff>
      <xdr:row>260</xdr:row>
      <xdr:rowOff>200025</xdr:rowOff>
    </xdr:to>
    <xdr:pic>
      <xdr:nvPicPr>
        <xdr:cNvPr id="44560" name="Picture 4" descr="C:\WINDOWS\TEMP\Symbol.gif">
          <a:extLst>
            <a:ext uri="{FF2B5EF4-FFF2-40B4-BE49-F238E27FC236}">
              <a16:creationId xmlns:a16="http://schemas.microsoft.com/office/drawing/2014/main" id="{00000000-0008-0000-0800-000010A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25113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63</xdr:row>
      <xdr:rowOff>123825</xdr:rowOff>
    </xdr:from>
    <xdr:to>
      <xdr:col>16</xdr:col>
      <xdr:colOff>885825</xdr:colOff>
      <xdr:row>64</xdr:row>
      <xdr:rowOff>152400</xdr:rowOff>
    </xdr:to>
    <xdr:pic>
      <xdr:nvPicPr>
        <xdr:cNvPr id="44561" name="Picture 5" descr="C:\WINDOWS\TEMP\~0003946.gif">
          <a:extLst>
            <a:ext uri="{FF2B5EF4-FFF2-40B4-BE49-F238E27FC236}">
              <a16:creationId xmlns:a16="http://schemas.microsoft.com/office/drawing/2014/main" id="{00000000-0008-0000-0800-000011AE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40975" y="128587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129</xdr:row>
      <xdr:rowOff>0</xdr:rowOff>
    </xdr:from>
    <xdr:to>
      <xdr:col>16</xdr:col>
      <xdr:colOff>895350</xdr:colOff>
      <xdr:row>129</xdr:row>
      <xdr:rowOff>152400</xdr:rowOff>
    </xdr:to>
    <xdr:pic>
      <xdr:nvPicPr>
        <xdr:cNvPr id="44562" name="Picture 6" descr="C:\WINDOWS\TEMP\~0003946.gif">
          <a:extLst>
            <a:ext uri="{FF2B5EF4-FFF2-40B4-BE49-F238E27FC236}">
              <a16:creationId xmlns:a16="http://schemas.microsoft.com/office/drawing/2014/main" id="{00000000-0008-0000-0800-000012AE0000}"/>
            </a:ext>
          </a:extLst>
        </xdr:cNvPr>
        <xdr:cNvPicPr>
          <a:picLocks noChangeAspect="1" noChangeArrowheads="1"/>
        </xdr:cNvPicPr>
      </xdr:nvPicPr>
      <xdr:blipFill>
        <a:blip xmlns:r="http://schemas.openxmlformats.org/officeDocument/2006/relationships" r:embed="rId6" r:link="rId5" cstate="print">
          <a:extLst>
            <a:ext uri="{28A0092B-C50C-407E-A947-70E740481C1C}">
              <a14:useLocalDpi xmlns:a14="http://schemas.microsoft.com/office/drawing/2010/main" val="0"/>
            </a:ext>
          </a:extLst>
        </a:blip>
        <a:srcRect/>
        <a:stretch>
          <a:fillRect/>
        </a:stretch>
      </xdr:blipFill>
      <xdr:spPr bwMode="auto">
        <a:xfrm>
          <a:off x="23050500" y="26184225"/>
          <a:ext cx="800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xdr:colOff>
      <xdr:row>178</xdr:row>
      <xdr:rowOff>104775</xdr:rowOff>
    </xdr:from>
    <xdr:to>
      <xdr:col>16</xdr:col>
      <xdr:colOff>809625</xdr:colOff>
      <xdr:row>179</xdr:row>
      <xdr:rowOff>133350</xdr:rowOff>
    </xdr:to>
    <xdr:pic>
      <xdr:nvPicPr>
        <xdr:cNvPr id="44563" name="Picture 7" descr="C:\WINDOWS\TEMP\~0003946.gif">
          <a:extLst>
            <a:ext uri="{FF2B5EF4-FFF2-40B4-BE49-F238E27FC236}">
              <a16:creationId xmlns:a16="http://schemas.microsoft.com/office/drawing/2014/main" id="{00000000-0008-0000-0800-000013AE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2964775" y="361664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259</xdr:row>
      <xdr:rowOff>104775</xdr:rowOff>
    </xdr:from>
    <xdr:to>
      <xdr:col>16</xdr:col>
      <xdr:colOff>895350</xdr:colOff>
      <xdr:row>260</xdr:row>
      <xdr:rowOff>133350</xdr:rowOff>
    </xdr:to>
    <xdr:pic>
      <xdr:nvPicPr>
        <xdr:cNvPr id="44564" name="Picture 8" descr="C:\WINDOWS\TEMP\~0003946.gif">
          <a:extLst>
            <a:ext uri="{FF2B5EF4-FFF2-40B4-BE49-F238E27FC236}">
              <a16:creationId xmlns:a16="http://schemas.microsoft.com/office/drawing/2014/main" id="{00000000-0008-0000-0800-000014AE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23050500" y="52454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447675</xdr:colOff>
      <xdr:row>63</xdr:row>
      <xdr:rowOff>38100</xdr:rowOff>
    </xdr:from>
    <xdr:to>
      <xdr:col>15</xdr:col>
      <xdr:colOff>1247775</xdr:colOff>
      <xdr:row>64</xdr:row>
      <xdr:rowOff>161925</xdr:rowOff>
    </xdr:to>
    <xdr:pic>
      <xdr:nvPicPr>
        <xdr:cNvPr id="44565" name="Picture 9" descr="logoMTL">
          <a:extLst>
            <a:ext uri="{FF2B5EF4-FFF2-40B4-BE49-F238E27FC236}">
              <a16:creationId xmlns:a16="http://schemas.microsoft.com/office/drawing/2014/main" id="{00000000-0008-0000-0800-000015A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45625" y="12773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128</xdr:row>
      <xdr:rowOff>28575</xdr:rowOff>
    </xdr:from>
    <xdr:to>
      <xdr:col>15</xdr:col>
      <xdr:colOff>1171575</xdr:colOff>
      <xdr:row>129</xdr:row>
      <xdr:rowOff>152400</xdr:rowOff>
    </xdr:to>
    <xdr:pic>
      <xdr:nvPicPr>
        <xdr:cNvPr id="44566" name="Picture 10" descr="logoMTL">
          <a:extLst>
            <a:ext uri="{FF2B5EF4-FFF2-40B4-BE49-F238E27FC236}">
              <a16:creationId xmlns:a16="http://schemas.microsoft.com/office/drawing/2014/main" id="{00000000-0008-0000-0800-000016A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26012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178</xdr:row>
      <xdr:rowOff>28575</xdr:rowOff>
    </xdr:from>
    <xdr:to>
      <xdr:col>15</xdr:col>
      <xdr:colOff>1171575</xdr:colOff>
      <xdr:row>179</xdr:row>
      <xdr:rowOff>152400</xdr:rowOff>
    </xdr:to>
    <xdr:pic>
      <xdr:nvPicPr>
        <xdr:cNvPr id="44567" name="Picture 11" descr="logoMTL">
          <a:extLst>
            <a:ext uri="{FF2B5EF4-FFF2-40B4-BE49-F238E27FC236}">
              <a16:creationId xmlns:a16="http://schemas.microsoft.com/office/drawing/2014/main" id="{00000000-0008-0000-0800-000017A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69425" y="360902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419100</xdr:colOff>
      <xdr:row>259</xdr:row>
      <xdr:rowOff>0</xdr:rowOff>
    </xdr:from>
    <xdr:to>
      <xdr:col>15</xdr:col>
      <xdr:colOff>1219200</xdr:colOff>
      <xdr:row>260</xdr:row>
      <xdr:rowOff>123825</xdr:rowOff>
    </xdr:to>
    <xdr:pic>
      <xdr:nvPicPr>
        <xdr:cNvPr id="44568" name="Picture 12" descr="logoMTL">
          <a:extLst>
            <a:ext uri="{FF2B5EF4-FFF2-40B4-BE49-F238E27FC236}">
              <a16:creationId xmlns:a16="http://schemas.microsoft.com/office/drawing/2014/main" id="{00000000-0008-0000-0800-000018A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17050" y="523494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23"/>
  </sheetPr>
  <dimension ref="A1:S226"/>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14.453125" style="1" bestFit="1" customWidth="1"/>
    <col min="7" max="7" width="2.1796875" style="1" customWidth="1"/>
    <col min="8" max="8" width="14.90625" style="1" customWidth="1"/>
    <col min="9" max="9" width="2.36328125" style="1" customWidth="1"/>
    <col min="10" max="10" width="15.5429687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36328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4"/>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5.6" x14ac:dyDescent="0.3">
      <c r="A9" s="6"/>
      <c r="B9" s="12"/>
      <c r="C9" s="8"/>
      <c r="D9" s="8"/>
      <c r="E9" s="8"/>
      <c r="F9" s="8"/>
      <c r="G9" s="8"/>
      <c r="H9" s="8"/>
      <c r="I9" s="8"/>
      <c r="J9" s="8"/>
      <c r="K9" s="8"/>
      <c r="L9" s="8"/>
      <c r="M9" s="8"/>
      <c r="N9" s="8"/>
      <c r="O9" s="8"/>
      <c r="P9" s="8"/>
      <c r="Q9" s="8"/>
      <c r="R9" s="5"/>
    </row>
    <row r="10" spans="1:18" ht="15.6" x14ac:dyDescent="0.3">
      <c r="A10" s="6"/>
      <c r="B10" s="11"/>
      <c r="C10" s="13"/>
      <c r="D10" s="8"/>
      <c r="E10" s="8"/>
      <c r="F10" s="8"/>
      <c r="G10" s="8"/>
      <c r="H10" s="8"/>
      <c r="I10" s="8"/>
      <c r="J10" s="8"/>
      <c r="K10" s="8"/>
      <c r="L10" s="8"/>
      <c r="M10" s="8"/>
      <c r="N10" s="8"/>
      <c r="O10" s="8"/>
      <c r="P10" s="8"/>
      <c r="Q10" s="8"/>
      <c r="R10" s="5"/>
    </row>
    <row r="11" spans="1:18" ht="15.6" x14ac:dyDescent="0.3">
      <c r="A11" s="6"/>
      <c r="B11" s="14" t="s">
        <v>0</v>
      </c>
      <c r="C11" s="8"/>
      <c r="D11" s="8"/>
      <c r="E11" s="8"/>
      <c r="F11" s="8"/>
      <c r="G11" s="8"/>
      <c r="H11" s="8"/>
      <c r="I11" s="8"/>
      <c r="J11" s="8"/>
      <c r="K11" s="8"/>
      <c r="L11" s="8"/>
      <c r="M11" s="8"/>
      <c r="N11" s="8"/>
      <c r="O11" s="8"/>
      <c r="P11" s="8"/>
      <c r="Q11" s="8"/>
      <c r="R11" s="5"/>
    </row>
    <row r="12" spans="1:18" ht="16.2" thickBot="1" x14ac:dyDescent="0.35">
      <c r="A12" s="6"/>
      <c r="B12" s="13"/>
      <c r="C12" s="8"/>
      <c r="D12" s="8"/>
      <c r="E12" s="8"/>
      <c r="F12" s="8"/>
      <c r="G12" s="8"/>
      <c r="H12" s="8"/>
      <c r="I12" s="8"/>
      <c r="J12" s="8"/>
      <c r="K12" s="8"/>
      <c r="L12" s="8"/>
      <c r="M12" s="8"/>
      <c r="N12" s="8"/>
      <c r="O12" s="8"/>
      <c r="P12" s="8"/>
      <c r="Q12" s="8"/>
      <c r="R12" s="5"/>
    </row>
    <row r="13" spans="1:18" ht="15.6" x14ac:dyDescent="0.3">
      <c r="A13" s="2"/>
      <c r="B13" s="4"/>
      <c r="C13" s="4"/>
      <c r="D13" s="4"/>
      <c r="E13" s="4"/>
      <c r="F13" s="4"/>
      <c r="G13" s="4"/>
      <c r="H13" s="4"/>
      <c r="I13" s="4"/>
      <c r="J13" s="4"/>
      <c r="K13" s="4"/>
      <c r="L13" s="4"/>
      <c r="M13" s="4"/>
      <c r="N13" s="4"/>
      <c r="O13" s="4"/>
      <c r="P13" s="4"/>
      <c r="Q13" s="4"/>
      <c r="R13" s="5"/>
    </row>
    <row r="14" spans="1:18" ht="15.6" x14ac:dyDescent="0.3">
      <c r="A14" s="6"/>
      <c r="B14" s="14" t="s">
        <v>1</v>
      </c>
      <c r="C14" s="15"/>
      <c r="D14" s="15"/>
      <c r="E14" s="15"/>
      <c r="F14" s="15"/>
      <c r="G14" s="15"/>
      <c r="H14" s="15"/>
      <c r="I14" s="15"/>
      <c r="J14" s="15"/>
      <c r="K14" s="15"/>
      <c r="L14" s="15"/>
      <c r="M14" s="15"/>
      <c r="N14" s="15"/>
      <c r="O14" s="15"/>
      <c r="P14" s="16" t="s">
        <v>167</v>
      </c>
      <c r="Q14" s="15"/>
      <c r="R14" s="5"/>
    </row>
    <row r="15" spans="1:18" ht="15.6" x14ac:dyDescent="0.3">
      <c r="A15" s="6"/>
      <c r="B15" s="14" t="s">
        <v>2</v>
      </c>
      <c r="C15" s="15"/>
      <c r="D15" s="15"/>
      <c r="E15" s="15"/>
      <c r="F15" s="18"/>
      <c r="G15" s="18"/>
      <c r="H15" s="18"/>
      <c r="I15" s="18"/>
      <c r="J15" s="18"/>
      <c r="K15" s="18"/>
      <c r="L15" s="18" t="s">
        <v>115</v>
      </c>
      <c r="M15" s="138">
        <v>0.91859999999999997</v>
      </c>
      <c r="N15" s="17" t="s">
        <v>173</v>
      </c>
      <c r="O15" s="138">
        <v>8.14E-2</v>
      </c>
      <c r="P15" s="16"/>
      <c r="Q15" s="15"/>
      <c r="R15" s="5"/>
    </row>
    <row r="16" spans="1:18" ht="15.6" x14ac:dyDescent="0.3">
      <c r="A16" s="6"/>
      <c r="B16" s="14" t="s">
        <v>3</v>
      </c>
      <c r="C16" s="15"/>
      <c r="D16" s="15"/>
      <c r="E16" s="15"/>
      <c r="F16" s="18"/>
      <c r="G16" s="18"/>
      <c r="H16" s="18"/>
      <c r="I16" s="18"/>
      <c r="J16" s="18"/>
      <c r="K16" s="18"/>
      <c r="L16" s="18" t="s">
        <v>115</v>
      </c>
      <c r="M16" s="138">
        <v>0.93689999999999996</v>
      </c>
      <c r="N16" s="17" t="s">
        <v>173</v>
      </c>
      <c r="O16" s="138">
        <v>6.3100000000000003E-2</v>
      </c>
      <c r="P16" s="16"/>
      <c r="Q16" s="15"/>
      <c r="R16" s="5"/>
    </row>
    <row r="17" spans="1:18" ht="15.6" x14ac:dyDescent="0.3">
      <c r="A17" s="6"/>
      <c r="B17" s="14" t="s">
        <v>4</v>
      </c>
      <c r="C17" s="15"/>
      <c r="D17" s="15"/>
      <c r="E17" s="15"/>
      <c r="F17" s="15"/>
      <c r="G17" s="15"/>
      <c r="H17" s="15"/>
      <c r="I17" s="15"/>
      <c r="J17" s="15"/>
      <c r="K17" s="15"/>
      <c r="L17" s="15"/>
      <c r="M17" s="15"/>
      <c r="N17" s="15"/>
      <c r="O17" s="15"/>
      <c r="P17" s="19">
        <v>38133</v>
      </c>
      <c r="Q17" s="15"/>
      <c r="R17" s="5"/>
    </row>
    <row r="18" spans="1:18" ht="15.6" x14ac:dyDescent="0.3">
      <c r="A18" s="6"/>
      <c r="B18" s="14" t="s">
        <v>5</v>
      </c>
      <c r="C18" s="15"/>
      <c r="D18" s="15"/>
      <c r="E18" s="15"/>
      <c r="F18" s="15"/>
      <c r="G18" s="15"/>
      <c r="H18" s="15"/>
      <c r="I18" s="15"/>
      <c r="J18" s="15"/>
      <c r="K18" s="15"/>
      <c r="L18" s="15"/>
      <c r="M18" s="15"/>
      <c r="N18" s="15"/>
      <c r="O18" s="15"/>
      <c r="P18" s="19">
        <v>38308</v>
      </c>
      <c r="Q18" s="15"/>
      <c r="R18" s="5"/>
    </row>
    <row r="19" spans="1:18" ht="15.6" x14ac:dyDescent="0.3">
      <c r="A19" s="6"/>
      <c r="B19" s="8"/>
      <c r="C19" s="8"/>
      <c r="D19" s="8"/>
      <c r="E19" s="8"/>
      <c r="F19" s="8"/>
      <c r="G19" s="8"/>
      <c r="H19" s="8"/>
      <c r="I19" s="8"/>
      <c r="J19" s="8"/>
      <c r="K19" s="8"/>
      <c r="L19" s="8"/>
      <c r="M19" s="8"/>
      <c r="N19" s="8"/>
      <c r="O19" s="8"/>
      <c r="P19" s="20"/>
      <c r="Q19" s="8"/>
      <c r="R19" s="5"/>
    </row>
    <row r="20" spans="1:18" ht="15.6" x14ac:dyDescent="0.3">
      <c r="A20" s="6"/>
      <c r="B20" s="21" t="s">
        <v>6</v>
      </c>
      <c r="C20" s="8"/>
      <c r="D20" s="8"/>
      <c r="E20" s="8"/>
      <c r="F20" s="8"/>
      <c r="G20" s="8"/>
      <c r="H20" s="8"/>
      <c r="I20" s="8"/>
      <c r="J20" s="8"/>
      <c r="K20" s="8"/>
      <c r="L20" s="8"/>
      <c r="M20" s="8"/>
      <c r="N20" s="20" t="s">
        <v>116</v>
      </c>
      <c r="O20" s="8"/>
      <c r="P20" s="12"/>
      <c r="Q20" s="8"/>
      <c r="R20" s="5"/>
    </row>
    <row r="21" spans="1:18" ht="15.6" x14ac:dyDescent="0.3">
      <c r="A21" s="6"/>
      <c r="B21" s="8"/>
      <c r="C21" s="8"/>
      <c r="D21" s="8"/>
      <c r="E21" s="8"/>
      <c r="F21" s="8"/>
      <c r="G21" s="8"/>
      <c r="H21" s="8"/>
      <c r="I21" s="8"/>
      <c r="J21" s="8"/>
      <c r="K21" s="8"/>
      <c r="L21" s="8"/>
      <c r="M21" s="8"/>
      <c r="N21" s="8"/>
      <c r="O21" s="8"/>
      <c r="P21" s="22"/>
      <c r="Q21" s="8"/>
      <c r="R21" s="5"/>
    </row>
    <row r="22" spans="1:18" ht="15.6" x14ac:dyDescent="0.3">
      <c r="A22" s="6"/>
      <c r="B22" s="8"/>
      <c r="C22" s="112"/>
      <c r="D22" s="112" t="s">
        <v>168</v>
      </c>
      <c r="E22" s="112"/>
      <c r="F22" s="112" t="s">
        <v>169</v>
      </c>
      <c r="G22" s="112"/>
      <c r="H22" s="112" t="s">
        <v>174</v>
      </c>
      <c r="I22" s="112"/>
      <c r="J22" s="112" t="s">
        <v>133</v>
      </c>
      <c r="K22" s="112"/>
      <c r="L22" s="112" t="s">
        <v>134</v>
      </c>
      <c r="M22" s="113"/>
      <c r="N22" s="23"/>
      <c r="O22" s="12"/>
      <c r="P22" s="12"/>
      <c r="Q22" s="8"/>
      <c r="R22" s="5"/>
    </row>
    <row r="23" spans="1:18" ht="15.6" x14ac:dyDescent="0.3">
      <c r="A23" s="24"/>
      <c r="B23" s="25" t="s">
        <v>7</v>
      </c>
      <c r="C23" s="26"/>
      <c r="D23" s="26" t="s">
        <v>175</v>
      </c>
      <c r="E23" s="26"/>
      <c r="F23" s="26" t="s">
        <v>175</v>
      </c>
      <c r="G23" s="26"/>
      <c r="H23" s="26" t="s">
        <v>175</v>
      </c>
      <c r="I23" s="26"/>
      <c r="J23" s="26" t="s">
        <v>176</v>
      </c>
      <c r="K23" s="26"/>
      <c r="L23" s="26" t="s">
        <v>176</v>
      </c>
      <c r="M23" s="26"/>
      <c r="N23" s="26"/>
      <c r="O23" s="27"/>
      <c r="P23" s="27"/>
      <c r="Q23" s="25"/>
      <c r="R23" s="5"/>
    </row>
    <row r="24" spans="1:18" ht="15.6" x14ac:dyDescent="0.3">
      <c r="A24" s="24"/>
      <c r="B24" s="25" t="s">
        <v>8</v>
      </c>
      <c r="C24" s="26"/>
      <c r="D24" s="26" t="s">
        <v>177</v>
      </c>
      <c r="E24" s="26"/>
      <c r="F24" s="26" t="s">
        <v>177</v>
      </c>
      <c r="G24" s="26"/>
      <c r="H24" s="26" t="s">
        <v>177</v>
      </c>
      <c r="I24" s="26"/>
      <c r="J24" s="26" t="s">
        <v>178</v>
      </c>
      <c r="K24" s="26"/>
      <c r="L24" s="26" t="s">
        <v>178</v>
      </c>
      <c r="M24" s="26"/>
      <c r="N24" s="26"/>
      <c r="O24" s="27"/>
      <c r="P24" s="27"/>
      <c r="Q24" s="25"/>
      <c r="R24" s="5"/>
    </row>
    <row r="25" spans="1:18" ht="15.6" x14ac:dyDescent="0.3">
      <c r="A25" s="24"/>
      <c r="B25" s="25" t="s">
        <v>135</v>
      </c>
      <c r="C25" s="26"/>
      <c r="D25" s="26" t="s">
        <v>177</v>
      </c>
      <c r="E25" s="26"/>
      <c r="F25" s="26" t="s">
        <v>177</v>
      </c>
      <c r="G25" s="26"/>
      <c r="H25" s="26" t="s">
        <v>177</v>
      </c>
      <c r="I25" s="26"/>
      <c r="J25" s="26" t="s">
        <v>178</v>
      </c>
      <c r="K25" s="26"/>
      <c r="L25" s="26" t="s">
        <v>178</v>
      </c>
      <c r="M25" s="26"/>
      <c r="N25" s="26"/>
      <c r="O25" s="27"/>
      <c r="P25" s="27"/>
      <c r="Q25" s="25"/>
      <c r="R25" s="5"/>
    </row>
    <row r="26" spans="1:18" ht="15.6" x14ac:dyDescent="0.3">
      <c r="A26" s="28"/>
      <c r="B26" s="29" t="s">
        <v>9</v>
      </c>
      <c r="C26" s="123"/>
      <c r="D26" s="123" t="s">
        <v>175</v>
      </c>
      <c r="E26" s="123"/>
      <c r="F26" s="123" t="s">
        <v>175</v>
      </c>
      <c r="G26" s="123"/>
      <c r="H26" s="123" t="s">
        <v>175</v>
      </c>
      <c r="I26" s="123"/>
      <c r="J26" s="123" t="s">
        <v>176</v>
      </c>
      <c r="K26" s="123"/>
      <c r="L26" s="123" t="s">
        <v>176</v>
      </c>
      <c r="M26" s="123"/>
      <c r="N26" s="26"/>
      <c r="O26" s="27"/>
      <c r="P26" s="27"/>
      <c r="Q26" s="25"/>
      <c r="R26" s="5"/>
    </row>
    <row r="27" spans="1:18" ht="15.6" x14ac:dyDescent="0.3">
      <c r="A27" s="28"/>
      <c r="B27" s="29" t="s">
        <v>10</v>
      </c>
      <c r="C27" s="123"/>
      <c r="D27" s="123" t="s">
        <v>177</v>
      </c>
      <c r="E27" s="123"/>
      <c r="F27" s="123" t="s">
        <v>177</v>
      </c>
      <c r="G27" s="123"/>
      <c r="H27" s="123" t="s">
        <v>177</v>
      </c>
      <c r="I27" s="123"/>
      <c r="J27" s="123" t="s">
        <v>178</v>
      </c>
      <c r="K27" s="123"/>
      <c r="L27" s="123" t="s">
        <v>178</v>
      </c>
      <c r="M27" s="123"/>
      <c r="N27" s="26"/>
      <c r="O27" s="27"/>
      <c r="P27" s="27"/>
      <c r="Q27" s="25"/>
      <c r="R27" s="5"/>
    </row>
    <row r="28" spans="1:18" ht="15.6" x14ac:dyDescent="0.3">
      <c r="A28" s="28"/>
      <c r="B28" s="29" t="s">
        <v>136</v>
      </c>
      <c r="C28" s="123"/>
      <c r="D28" s="123" t="s">
        <v>177</v>
      </c>
      <c r="E28" s="123"/>
      <c r="F28" s="123" t="s">
        <v>177</v>
      </c>
      <c r="G28" s="123"/>
      <c r="H28" s="123" t="s">
        <v>177</v>
      </c>
      <c r="I28" s="123"/>
      <c r="J28" s="123" t="s">
        <v>178</v>
      </c>
      <c r="K28" s="123"/>
      <c r="L28" s="123" t="s">
        <v>178</v>
      </c>
      <c r="M28" s="123"/>
      <c r="N28" s="26"/>
      <c r="O28" s="27"/>
      <c r="P28" s="27"/>
      <c r="Q28" s="25"/>
      <c r="R28" s="5"/>
    </row>
    <row r="29" spans="1:18" ht="15.6" x14ac:dyDescent="0.3">
      <c r="A29" s="24"/>
      <c r="B29" s="25" t="s">
        <v>11</v>
      </c>
      <c r="C29" s="26"/>
      <c r="D29" s="30" t="s">
        <v>181</v>
      </c>
      <c r="E29" s="26"/>
      <c r="F29" s="26" t="s">
        <v>183</v>
      </c>
      <c r="G29" s="26"/>
      <c r="H29" s="26" t="s">
        <v>184</v>
      </c>
      <c r="I29" s="26"/>
      <c r="J29" s="26" t="s">
        <v>185</v>
      </c>
      <c r="K29" s="26"/>
      <c r="L29" s="26" t="s">
        <v>189</v>
      </c>
      <c r="M29" s="26"/>
      <c r="N29" s="30"/>
      <c r="O29" s="27"/>
      <c r="P29" s="27"/>
      <c r="Q29" s="25"/>
      <c r="R29" s="5"/>
    </row>
    <row r="30" spans="1:18" ht="15.6" x14ac:dyDescent="0.3">
      <c r="A30" s="24"/>
      <c r="B30" s="25" t="s">
        <v>11</v>
      </c>
      <c r="C30" s="26"/>
      <c r="D30" s="30" t="s">
        <v>182</v>
      </c>
      <c r="E30" s="26"/>
      <c r="F30" s="30" t="s">
        <v>137</v>
      </c>
      <c r="G30" s="26"/>
      <c r="H30" s="30" t="s">
        <v>137</v>
      </c>
      <c r="I30" s="26"/>
      <c r="J30" s="30" t="s">
        <v>186</v>
      </c>
      <c r="K30" s="26"/>
      <c r="L30" s="30" t="s">
        <v>137</v>
      </c>
      <c r="M30" s="26"/>
      <c r="N30" s="30"/>
      <c r="O30" s="27"/>
      <c r="P30" s="27"/>
      <c r="Q30" s="25"/>
      <c r="R30" s="5"/>
    </row>
    <row r="31" spans="1:18" ht="15.6" x14ac:dyDescent="0.3">
      <c r="A31" s="24"/>
      <c r="B31" s="25"/>
      <c r="C31" s="26"/>
      <c r="D31" s="26"/>
      <c r="E31" s="26"/>
      <c r="F31" s="26"/>
      <c r="G31" s="26"/>
      <c r="H31" s="26"/>
      <c r="I31" s="26"/>
      <c r="J31" s="26"/>
      <c r="K31" s="26"/>
      <c r="L31" s="26"/>
      <c r="M31" s="26"/>
      <c r="N31" s="26"/>
      <c r="O31" s="27"/>
      <c r="P31" s="27"/>
      <c r="Q31" s="25"/>
      <c r="R31" s="5"/>
    </row>
    <row r="32" spans="1:18" ht="15.6" x14ac:dyDescent="0.3">
      <c r="A32" s="24"/>
      <c r="B32" s="25" t="s">
        <v>157</v>
      </c>
      <c r="C32" s="32"/>
      <c r="D32" s="130">
        <v>450000</v>
      </c>
      <c r="E32" s="31"/>
      <c r="F32" s="131">
        <v>220000</v>
      </c>
      <c r="G32" s="31"/>
      <c r="H32" s="124">
        <v>500000</v>
      </c>
      <c r="I32" s="31"/>
      <c r="J32" s="130">
        <v>82500</v>
      </c>
      <c r="K32" s="31"/>
      <c r="L32" s="124">
        <v>65000</v>
      </c>
      <c r="M32" s="31"/>
      <c r="N32" s="31"/>
      <c r="O32" s="33"/>
      <c r="P32" s="31"/>
      <c r="Q32" s="34"/>
      <c r="R32" s="5"/>
    </row>
    <row r="33" spans="1:18" ht="15.6" x14ac:dyDescent="0.3">
      <c r="A33" s="24"/>
      <c r="B33" s="25" t="s">
        <v>156</v>
      </c>
      <c r="C33" s="32"/>
      <c r="D33" s="130">
        <v>450000</v>
      </c>
      <c r="E33" s="31"/>
      <c r="F33" s="131">
        <v>220000</v>
      </c>
      <c r="G33" s="31"/>
      <c r="H33" s="124">
        <v>500000</v>
      </c>
      <c r="I33" s="31"/>
      <c r="J33" s="130">
        <v>82500</v>
      </c>
      <c r="K33" s="31"/>
      <c r="L33" s="124">
        <v>65000</v>
      </c>
      <c r="M33" s="31"/>
      <c r="N33" s="31"/>
      <c r="O33" s="33"/>
      <c r="P33" s="31"/>
      <c r="Q33" s="34"/>
      <c r="R33" s="5"/>
    </row>
    <row r="34" spans="1:18" ht="15.6" x14ac:dyDescent="0.3">
      <c r="A34" s="28"/>
      <c r="B34" s="29" t="s">
        <v>158</v>
      </c>
      <c r="C34" s="36"/>
      <c r="D34" s="129">
        <f>+D32*D38</f>
        <v>429923.69999999995</v>
      </c>
      <c r="E34" s="35"/>
      <c r="F34" s="132">
        <f>+F32*F38</f>
        <v>210182.94</v>
      </c>
      <c r="G34" s="35"/>
      <c r="H34" s="125">
        <f>+H32*H38</f>
        <v>477694</v>
      </c>
      <c r="I34" s="35"/>
      <c r="J34" s="129">
        <v>82500</v>
      </c>
      <c r="K34" s="35"/>
      <c r="L34" s="125">
        <v>65000</v>
      </c>
      <c r="M34" s="35"/>
      <c r="N34" s="35"/>
      <c r="O34" s="37"/>
      <c r="P34" s="35"/>
      <c r="Q34" s="34"/>
      <c r="R34" s="5"/>
    </row>
    <row r="35" spans="1:18" ht="15.6" x14ac:dyDescent="0.3">
      <c r="A35" s="24"/>
      <c r="B35" s="25" t="s">
        <v>279</v>
      </c>
      <c r="C35" s="32"/>
      <c r="D35" s="31">
        <v>252951</v>
      </c>
      <c r="E35" s="31"/>
      <c r="F35" s="31">
        <v>220000</v>
      </c>
      <c r="G35" s="31"/>
      <c r="H35" s="31">
        <v>337500</v>
      </c>
      <c r="I35" s="31"/>
      <c r="J35" s="31">
        <v>46374</v>
      </c>
      <c r="K35" s="31"/>
      <c r="L35" s="31">
        <v>43875</v>
      </c>
      <c r="M35" s="31"/>
      <c r="N35" s="31"/>
      <c r="O35" s="33"/>
      <c r="P35" s="31">
        <f>SUM(C35:L35)</f>
        <v>900700</v>
      </c>
      <c r="Q35" s="34"/>
      <c r="R35" s="5"/>
    </row>
    <row r="36" spans="1:18" ht="15.6" x14ac:dyDescent="0.3">
      <c r="A36" s="24"/>
      <c r="B36" s="25" t="s">
        <v>280</v>
      </c>
      <c r="C36" s="32"/>
      <c r="D36" s="31">
        <v>252951</v>
      </c>
      <c r="E36" s="31"/>
      <c r="F36" s="31">
        <v>220000</v>
      </c>
      <c r="G36" s="31"/>
      <c r="H36" s="31">
        <v>337500</v>
      </c>
      <c r="I36" s="31"/>
      <c r="J36" s="31">
        <v>46374</v>
      </c>
      <c r="K36" s="31"/>
      <c r="L36" s="31">
        <v>43875</v>
      </c>
      <c r="M36" s="31"/>
      <c r="N36" s="31"/>
      <c r="O36" s="33"/>
      <c r="P36" s="31">
        <f>SUM(C36:L36)</f>
        <v>900700</v>
      </c>
      <c r="Q36" s="34"/>
      <c r="R36" s="5"/>
    </row>
    <row r="37" spans="1:18" ht="15.6" x14ac:dyDescent="0.3">
      <c r="A37" s="28"/>
      <c r="B37" s="29" t="s">
        <v>281</v>
      </c>
      <c r="C37" s="36"/>
      <c r="D37" s="35">
        <f>D34/1.779</f>
        <v>241665.93591905563</v>
      </c>
      <c r="E37" s="35"/>
      <c r="F37" s="35">
        <f>+F34</f>
        <v>210182.94</v>
      </c>
      <c r="G37" s="35"/>
      <c r="H37" s="35">
        <f>H34/1.481481</f>
        <v>322443.55479415529</v>
      </c>
      <c r="I37" s="35"/>
      <c r="J37" s="35">
        <v>46374</v>
      </c>
      <c r="K37" s="35"/>
      <c r="L37" s="35">
        <v>43875</v>
      </c>
      <c r="M37" s="35"/>
      <c r="N37" s="35"/>
      <c r="O37" s="37"/>
      <c r="P37" s="35">
        <f>SUM(D37:L37)+1</f>
        <v>864542.43071321095</v>
      </c>
      <c r="Q37" s="34"/>
      <c r="R37" s="5"/>
    </row>
    <row r="38" spans="1:18" ht="15.6" x14ac:dyDescent="0.3">
      <c r="A38" s="28"/>
      <c r="B38" s="122" t="s">
        <v>154</v>
      </c>
      <c r="C38" s="126"/>
      <c r="D38" s="139">
        <v>0.95538599999999996</v>
      </c>
      <c r="E38" s="139"/>
      <c r="F38" s="139">
        <v>0.95537700000000003</v>
      </c>
      <c r="G38" s="139"/>
      <c r="H38" s="139">
        <v>0.95538800000000001</v>
      </c>
      <c r="I38" s="139"/>
      <c r="J38" s="139">
        <v>1</v>
      </c>
      <c r="K38" s="139"/>
      <c r="L38" s="139">
        <v>1</v>
      </c>
      <c r="M38" s="31"/>
      <c r="N38" s="31"/>
      <c r="O38" s="33"/>
      <c r="P38" s="31"/>
      <c r="Q38" s="34"/>
      <c r="R38" s="5"/>
    </row>
    <row r="39" spans="1:18" ht="15.6" x14ac:dyDescent="0.3">
      <c r="A39" s="28"/>
      <c r="B39" s="122" t="s">
        <v>155</v>
      </c>
      <c r="C39" s="126"/>
      <c r="D39" s="139">
        <v>1</v>
      </c>
      <c r="E39" s="139"/>
      <c r="F39" s="139">
        <v>1</v>
      </c>
      <c r="G39" s="139"/>
      <c r="H39" s="139">
        <v>1</v>
      </c>
      <c r="I39" s="139"/>
      <c r="J39" s="139">
        <v>1</v>
      </c>
      <c r="K39" s="139"/>
      <c r="L39" s="139">
        <v>1</v>
      </c>
      <c r="M39" s="128"/>
      <c r="N39" s="128"/>
      <c r="O39" s="33"/>
      <c r="P39" s="31"/>
      <c r="Q39" s="34"/>
      <c r="R39" s="5"/>
    </row>
    <row r="40" spans="1:18" ht="15.6" x14ac:dyDescent="0.3">
      <c r="A40" s="24"/>
      <c r="B40" s="25" t="s">
        <v>12</v>
      </c>
      <c r="C40" s="25"/>
      <c r="D40" s="30" t="s">
        <v>179</v>
      </c>
      <c r="E40" s="30"/>
      <c r="F40" s="30" t="s">
        <v>179</v>
      </c>
      <c r="G40" s="30"/>
      <c r="H40" s="30" t="s">
        <v>179</v>
      </c>
      <c r="I40" s="30"/>
      <c r="J40" s="30" t="s">
        <v>187</v>
      </c>
      <c r="K40" s="30"/>
      <c r="L40" s="30" t="s">
        <v>187</v>
      </c>
      <c r="M40" s="30"/>
      <c r="N40" s="30"/>
      <c r="O40" s="27"/>
      <c r="P40" s="27"/>
      <c r="Q40" s="25"/>
      <c r="R40" s="5"/>
    </row>
    <row r="41" spans="1:18" ht="15.6" x14ac:dyDescent="0.3">
      <c r="A41" s="24"/>
      <c r="B41" s="25" t="s">
        <v>13</v>
      </c>
      <c r="C41" s="25"/>
      <c r="D41" s="38">
        <v>1.76452E-2</v>
      </c>
      <c r="E41" s="39"/>
      <c r="F41" s="38">
        <v>5.02569E-2</v>
      </c>
      <c r="G41" s="39"/>
      <c r="H41" s="38">
        <v>2.3570000000000001E-2</v>
      </c>
      <c r="I41" s="39"/>
      <c r="J41" s="38">
        <v>2.3045199999999998E-2</v>
      </c>
      <c r="K41" s="39"/>
      <c r="L41" s="38">
        <v>2.8969999999999999E-2</v>
      </c>
      <c r="M41" s="39"/>
      <c r="N41" s="38"/>
      <c r="O41" s="27"/>
      <c r="P41" s="39"/>
      <c r="Q41" s="25"/>
      <c r="R41" s="5"/>
    </row>
    <row r="42" spans="1:18" ht="15.6" x14ac:dyDescent="0.3">
      <c r="A42" s="24"/>
      <c r="B42" s="25" t="s">
        <v>14</v>
      </c>
      <c r="C42" s="25"/>
      <c r="D42" s="38">
        <v>0</v>
      </c>
      <c r="E42" s="39"/>
      <c r="F42" s="38">
        <v>0</v>
      </c>
      <c r="G42" s="38"/>
      <c r="H42" s="38">
        <v>0</v>
      </c>
      <c r="I42" s="38"/>
      <c r="J42" s="38">
        <v>0</v>
      </c>
      <c r="K42" s="38"/>
      <c r="L42" s="38">
        <v>0</v>
      </c>
      <c r="M42" s="39"/>
      <c r="N42" s="38"/>
      <c r="O42" s="27"/>
      <c r="P42" s="27"/>
      <c r="Q42" s="25"/>
      <c r="R42" s="5"/>
    </row>
    <row r="43" spans="1:18" ht="15.6" x14ac:dyDescent="0.3">
      <c r="A43" s="24"/>
      <c r="B43" s="25" t="s">
        <v>282</v>
      </c>
      <c r="C43" s="25"/>
      <c r="D43" s="30" t="s">
        <v>204</v>
      </c>
      <c r="E43" s="30"/>
      <c r="F43" s="30" t="s">
        <v>179</v>
      </c>
      <c r="G43" s="30"/>
      <c r="H43" s="30" t="s">
        <v>205</v>
      </c>
      <c r="I43" s="30"/>
      <c r="J43" s="30" t="s">
        <v>206</v>
      </c>
      <c r="K43" s="30"/>
      <c r="L43" s="30" t="s">
        <v>206</v>
      </c>
      <c r="M43" s="39"/>
      <c r="N43" s="38"/>
      <c r="O43" s="27"/>
      <c r="P43" s="39"/>
      <c r="Q43" s="25"/>
      <c r="R43" s="5"/>
    </row>
    <row r="44" spans="1:18" ht="15.6" x14ac:dyDescent="0.3">
      <c r="A44" s="24"/>
      <c r="B44" s="25" t="s">
        <v>285</v>
      </c>
      <c r="C44" s="25"/>
      <c r="D44" s="38">
        <v>5.1201900000000002E-2</v>
      </c>
      <c r="E44" s="39"/>
      <c r="F44" s="38">
        <v>5.02569E-2</v>
      </c>
      <c r="G44" s="39"/>
      <c r="H44" s="38">
        <v>5.10819E-2</v>
      </c>
      <c r="I44" s="39"/>
      <c r="J44" s="38">
        <v>5.7331899999999998E-2</v>
      </c>
      <c r="K44" s="39"/>
      <c r="L44" s="38">
        <v>5.7331899999999998E-2</v>
      </c>
      <c r="M44" s="39"/>
      <c r="N44" s="38"/>
      <c r="O44" s="27"/>
      <c r="P44" s="39">
        <f>SUMPRODUCT(D44:L44,D35:L35)/P35</f>
        <v>5.1540332741201282E-2</v>
      </c>
      <c r="Q44" s="25"/>
      <c r="R44" s="5"/>
    </row>
    <row r="45" spans="1:18" ht="15.6" x14ac:dyDescent="0.3">
      <c r="A45" s="24"/>
      <c r="B45" s="25" t="s">
        <v>283</v>
      </c>
      <c r="C45" s="25"/>
      <c r="D45" s="38">
        <v>0</v>
      </c>
      <c r="E45" s="39"/>
      <c r="F45" s="38">
        <v>0</v>
      </c>
      <c r="G45" s="39"/>
      <c r="H45" s="38">
        <v>0</v>
      </c>
      <c r="I45" s="39"/>
      <c r="J45" s="38">
        <v>0</v>
      </c>
      <c r="K45" s="39"/>
      <c r="L45" s="38">
        <v>0</v>
      </c>
      <c r="M45" s="39"/>
      <c r="N45" s="38"/>
      <c r="O45" s="27"/>
      <c r="P45" s="27"/>
      <c r="Q45" s="25"/>
      <c r="R45" s="5"/>
    </row>
    <row r="46" spans="1:18" ht="15.6" x14ac:dyDescent="0.3">
      <c r="A46" s="24"/>
      <c r="B46" s="25" t="s">
        <v>15</v>
      </c>
      <c r="C46" s="110"/>
      <c r="D46" s="110">
        <v>39583</v>
      </c>
      <c r="E46" s="110"/>
      <c r="F46" s="110">
        <v>39583</v>
      </c>
      <c r="G46" s="110"/>
      <c r="H46" s="110">
        <v>39583</v>
      </c>
      <c r="I46" s="110"/>
      <c r="J46" s="110">
        <v>39583</v>
      </c>
      <c r="K46" s="110"/>
      <c r="L46" s="110">
        <v>39583</v>
      </c>
      <c r="M46" s="30"/>
      <c r="N46" s="30"/>
      <c r="O46" s="27"/>
      <c r="P46" s="27"/>
      <c r="Q46" s="25"/>
      <c r="R46" s="5"/>
    </row>
    <row r="47" spans="1:18" ht="15.6" x14ac:dyDescent="0.3">
      <c r="A47" s="24"/>
      <c r="B47" s="25" t="s">
        <v>16</v>
      </c>
      <c r="C47" s="110"/>
      <c r="D47" s="110">
        <v>40313</v>
      </c>
      <c r="E47" s="110"/>
      <c r="F47" s="110">
        <v>40313</v>
      </c>
      <c r="G47" s="30"/>
      <c r="H47" s="110">
        <v>40313</v>
      </c>
      <c r="I47" s="30"/>
      <c r="J47" s="110">
        <v>40313</v>
      </c>
      <c r="K47" s="30"/>
      <c r="L47" s="110">
        <v>40313</v>
      </c>
      <c r="M47" s="30"/>
      <c r="N47" s="30"/>
      <c r="O47" s="27"/>
      <c r="P47" s="27"/>
      <c r="Q47" s="25"/>
      <c r="R47" s="5"/>
    </row>
    <row r="48" spans="1:18" ht="15.6" x14ac:dyDescent="0.3">
      <c r="A48" s="24"/>
      <c r="B48" s="25" t="s">
        <v>140</v>
      </c>
      <c r="C48" s="25"/>
      <c r="D48" s="30" t="s">
        <v>180</v>
      </c>
      <c r="E48" s="30"/>
      <c r="F48" s="30" t="s">
        <v>180</v>
      </c>
      <c r="G48" s="30"/>
      <c r="H48" s="30" t="s">
        <v>180</v>
      </c>
      <c r="I48" s="30"/>
      <c r="J48" s="30" t="s">
        <v>188</v>
      </c>
      <c r="K48" s="30"/>
      <c r="L48" s="30" t="s">
        <v>188</v>
      </c>
      <c r="M48" s="30"/>
      <c r="N48" s="30"/>
      <c r="O48" s="27"/>
      <c r="P48" s="27"/>
      <c r="Q48" s="25"/>
      <c r="R48" s="5"/>
    </row>
    <row r="49" spans="1:18" ht="15.6" x14ac:dyDescent="0.3">
      <c r="A49" s="24"/>
      <c r="B49" s="25" t="s">
        <v>284</v>
      </c>
      <c r="C49" s="25"/>
      <c r="D49" s="30" t="s">
        <v>207</v>
      </c>
      <c r="E49" s="30"/>
      <c r="F49" s="30" t="s">
        <v>180</v>
      </c>
      <c r="G49" s="30"/>
      <c r="H49" s="30" t="s">
        <v>208</v>
      </c>
      <c r="I49" s="30"/>
      <c r="J49" s="30" t="s">
        <v>209</v>
      </c>
      <c r="K49" s="30"/>
      <c r="L49" s="30" t="s">
        <v>209</v>
      </c>
      <c r="M49" s="30"/>
      <c r="N49" s="30"/>
      <c r="O49" s="27"/>
      <c r="P49" s="27"/>
      <c r="Q49" s="25"/>
      <c r="R49" s="5"/>
    </row>
    <row r="50" spans="1:18" ht="15.6" x14ac:dyDescent="0.3">
      <c r="A50" s="24"/>
      <c r="B50" s="25"/>
      <c r="C50" s="25"/>
      <c r="D50" s="30"/>
      <c r="E50" s="30"/>
      <c r="F50" s="40"/>
      <c r="G50" s="40"/>
      <c r="H50" s="40"/>
      <c r="I50" s="40"/>
      <c r="J50" s="40"/>
      <c r="K50" s="40"/>
      <c r="L50" s="40"/>
      <c r="M50" s="40"/>
      <c r="N50" s="40"/>
      <c r="O50" s="40"/>
      <c r="P50" s="40"/>
      <c r="Q50" s="25"/>
      <c r="R50" s="5"/>
    </row>
    <row r="51" spans="1:18" ht="15.6" x14ac:dyDescent="0.3">
      <c r="A51" s="24"/>
      <c r="B51" s="25" t="s">
        <v>17</v>
      </c>
      <c r="C51" s="25"/>
      <c r="D51" s="41"/>
      <c r="E51" s="25"/>
      <c r="F51" s="25"/>
      <c r="G51" s="25"/>
      <c r="H51" s="25"/>
      <c r="I51" s="25"/>
      <c r="J51" s="25"/>
      <c r="K51" s="25"/>
      <c r="L51" s="25"/>
      <c r="M51" s="25"/>
      <c r="N51" s="25"/>
      <c r="O51" s="25"/>
      <c r="P51" s="39">
        <f>SUM(J35:L35)/SUM(D35:H35)</f>
        <v>0.11135651631005453</v>
      </c>
      <c r="Q51" s="25"/>
      <c r="R51" s="5"/>
    </row>
    <row r="52" spans="1:18" ht="15.6" x14ac:dyDescent="0.3">
      <c r="A52" s="24"/>
      <c r="B52" s="25" t="s">
        <v>18</v>
      </c>
      <c r="C52" s="25"/>
      <c r="D52" s="41"/>
      <c r="E52" s="25"/>
      <c r="F52" s="25"/>
      <c r="G52" s="25"/>
      <c r="H52" s="25"/>
      <c r="I52" s="25"/>
      <c r="J52" s="25"/>
      <c r="K52" s="25"/>
      <c r="L52" s="25"/>
      <c r="M52" s="25"/>
      <c r="N52" s="25"/>
      <c r="O52" s="25"/>
      <c r="P52" s="39">
        <f>SUM(J37:L37)/SUM(D37:H37)</f>
        <v>0.11655673802321748</v>
      </c>
      <c r="Q52" s="25"/>
      <c r="R52" s="5"/>
    </row>
    <row r="53" spans="1:18" ht="15.6" x14ac:dyDescent="0.3">
      <c r="A53" s="24"/>
      <c r="B53" s="25" t="s">
        <v>19</v>
      </c>
      <c r="C53" s="25"/>
      <c r="D53" s="25"/>
      <c r="E53" s="25"/>
      <c r="F53" s="25"/>
      <c r="G53" s="25"/>
      <c r="H53" s="25"/>
      <c r="I53" s="25"/>
      <c r="J53" s="25"/>
      <c r="K53" s="25"/>
      <c r="L53" s="25"/>
      <c r="M53" s="25"/>
      <c r="N53" s="30" t="s">
        <v>117</v>
      </c>
      <c r="O53" s="30" t="s">
        <v>124</v>
      </c>
      <c r="P53" s="31">
        <f>+P35/2-SUM(J35:L35)</f>
        <v>360101</v>
      </c>
      <c r="Q53" s="25"/>
      <c r="R53" s="5"/>
    </row>
    <row r="54" spans="1:18" ht="15.6" x14ac:dyDescent="0.3">
      <c r="A54" s="24"/>
      <c r="B54" s="25"/>
      <c r="C54" s="25"/>
      <c r="D54" s="25"/>
      <c r="E54" s="25"/>
      <c r="F54" s="25"/>
      <c r="G54" s="25"/>
      <c r="H54" s="25"/>
      <c r="I54" s="25"/>
      <c r="J54" s="25"/>
      <c r="K54" s="25"/>
      <c r="L54" s="25"/>
      <c r="M54" s="25"/>
      <c r="N54" s="25" t="s">
        <v>275</v>
      </c>
      <c r="O54" s="25"/>
      <c r="P54" s="42"/>
      <c r="Q54" s="25"/>
      <c r="R54" s="5"/>
    </row>
    <row r="55" spans="1:18" ht="15.6" x14ac:dyDescent="0.3">
      <c r="A55" s="24"/>
      <c r="B55" s="25" t="s">
        <v>193</v>
      </c>
      <c r="C55" s="25"/>
      <c r="D55" s="25"/>
      <c r="E55" s="25"/>
      <c r="F55" s="25"/>
      <c r="G55" s="25"/>
      <c r="H55" s="25"/>
      <c r="I55" s="25"/>
      <c r="J55" s="25"/>
      <c r="K55" s="25"/>
      <c r="L55" s="25"/>
      <c r="M55" s="25"/>
      <c r="N55" s="30"/>
      <c r="O55" s="30"/>
      <c r="P55" s="30" t="s">
        <v>126</v>
      </c>
      <c r="Q55" s="25"/>
      <c r="R55" s="5"/>
    </row>
    <row r="56" spans="1:18" ht="15.6" x14ac:dyDescent="0.3">
      <c r="A56" s="24"/>
      <c r="B56" s="29" t="s">
        <v>194</v>
      </c>
      <c r="C56" s="29"/>
      <c r="D56" s="29"/>
      <c r="E56" s="29"/>
      <c r="F56" s="29"/>
      <c r="G56" s="29"/>
      <c r="H56" s="29"/>
      <c r="I56" s="29"/>
      <c r="J56" s="29"/>
      <c r="K56" s="29"/>
      <c r="L56" s="29"/>
      <c r="M56" s="29"/>
      <c r="N56" s="43"/>
      <c r="O56" s="43"/>
      <c r="P56" s="44">
        <v>38306</v>
      </c>
      <c r="Q56" s="25"/>
      <c r="R56" s="5"/>
    </row>
    <row r="57" spans="1:18" ht="15.6" x14ac:dyDescent="0.3">
      <c r="A57" s="24"/>
      <c r="B57" s="25" t="s">
        <v>142</v>
      </c>
      <c r="C57" s="25"/>
      <c r="D57" s="25"/>
      <c r="E57" s="25"/>
      <c r="F57" s="58"/>
      <c r="G57" s="58"/>
      <c r="H57" s="58"/>
      <c r="I57" s="58"/>
      <c r="J57" s="58"/>
      <c r="K57" s="58"/>
      <c r="L57" s="58"/>
      <c r="M57" s="58"/>
      <c r="N57" s="45"/>
      <c r="O57" s="46"/>
      <c r="P57" s="45"/>
      <c r="Q57" s="25"/>
      <c r="R57" s="5"/>
    </row>
    <row r="58" spans="1:18" ht="15.6" x14ac:dyDescent="0.3">
      <c r="A58" s="24"/>
      <c r="B58" s="25" t="s">
        <v>143</v>
      </c>
      <c r="C58" s="25"/>
      <c r="D58" s="25"/>
      <c r="E58" s="25"/>
      <c r="F58" s="25"/>
      <c r="G58" s="25"/>
      <c r="H58" s="25"/>
      <c r="I58" s="25"/>
      <c r="J58" s="25"/>
      <c r="K58" s="25"/>
      <c r="L58" s="25">
        <f>+P58-N58+1</f>
        <v>173</v>
      </c>
      <c r="M58" s="25"/>
      <c r="N58" s="45">
        <v>38133</v>
      </c>
      <c r="O58" s="46"/>
      <c r="P58" s="45">
        <v>38305</v>
      </c>
      <c r="Q58" s="25"/>
      <c r="R58" s="5"/>
    </row>
    <row r="59" spans="1:18" ht="15.6" x14ac:dyDescent="0.3">
      <c r="A59" s="24"/>
      <c r="B59" s="25" t="s">
        <v>216</v>
      </c>
      <c r="C59" s="25"/>
      <c r="D59" s="25"/>
      <c r="E59" s="25"/>
      <c r="F59" s="25"/>
      <c r="G59" s="25"/>
      <c r="H59" s="25"/>
      <c r="I59" s="25"/>
      <c r="J59" s="25"/>
      <c r="K59" s="25"/>
      <c r="L59" s="25"/>
      <c r="M59" s="25"/>
      <c r="N59" s="45"/>
      <c r="O59" s="46"/>
      <c r="P59" s="45" t="s">
        <v>141</v>
      </c>
      <c r="Q59" s="25"/>
      <c r="R59" s="5"/>
    </row>
    <row r="60" spans="1:18" ht="15.6" x14ac:dyDescent="0.3">
      <c r="A60" s="24"/>
      <c r="B60" s="25" t="s">
        <v>213</v>
      </c>
      <c r="C60" s="25"/>
      <c r="D60" s="25"/>
      <c r="E60" s="25"/>
      <c r="F60" s="25"/>
      <c r="G60" s="25"/>
      <c r="H60" s="25"/>
      <c r="I60" s="25"/>
      <c r="J60" s="25"/>
      <c r="K60" s="25"/>
      <c r="L60" s="25"/>
      <c r="M60" s="25"/>
      <c r="N60" s="45"/>
      <c r="O60" s="46"/>
      <c r="P60" s="45" t="s">
        <v>190</v>
      </c>
      <c r="Q60" s="25"/>
      <c r="R60" s="5"/>
    </row>
    <row r="61" spans="1:18" ht="15.6" x14ac:dyDescent="0.3">
      <c r="A61" s="24"/>
      <c r="B61" s="25" t="s">
        <v>20</v>
      </c>
      <c r="C61" s="25"/>
      <c r="D61" s="25"/>
      <c r="E61" s="25"/>
      <c r="F61" s="25"/>
      <c r="G61" s="25"/>
      <c r="H61" s="25"/>
      <c r="I61" s="25"/>
      <c r="J61" s="25"/>
      <c r="K61" s="25"/>
      <c r="L61" s="25"/>
      <c r="M61" s="25"/>
      <c r="N61" s="45"/>
      <c r="O61" s="46"/>
      <c r="P61" s="45">
        <v>38294</v>
      </c>
      <c r="Q61" s="25"/>
      <c r="R61" s="5"/>
    </row>
    <row r="62" spans="1:18" ht="15.6" x14ac:dyDescent="0.3">
      <c r="A62" s="24"/>
      <c r="B62" s="25"/>
      <c r="C62" s="25"/>
      <c r="D62" s="25"/>
      <c r="E62" s="25"/>
      <c r="F62" s="25"/>
      <c r="G62" s="25"/>
      <c r="H62" s="25"/>
      <c r="I62" s="25"/>
      <c r="J62" s="25"/>
      <c r="K62" s="25"/>
      <c r="L62" s="25"/>
      <c r="M62" s="25"/>
      <c r="N62" s="45"/>
      <c r="O62" s="46"/>
      <c r="P62" s="45"/>
      <c r="Q62" s="25"/>
      <c r="R62" s="5"/>
    </row>
    <row r="63" spans="1:18" ht="15.6" x14ac:dyDescent="0.3">
      <c r="A63" s="6"/>
      <c r="B63" s="8"/>
      <c r="C63" s="8"/>
      <c r="D63" s="8"/>
      <c r="E63" s="8"/>
      <c r="F63" s="8"/>
      <c r="G63" s="8"/>
      <c r="H63" s="8"/>
      <c r="I63" s="8"/>
      <c r="J63" s="8"/>
      <c r="K63" s="8"/>
      <c r="L63" s="8"/>
      <c r="M63" s="8"/>
      <c r="N63" s="47"/>
      <c r="O63" s="48"/>
      <c r="P63" s="47"/>
      <c r="Q63" s="8"/>
      <c r="R63" s="5"/>
    </row>
    <row r="64" spans="1:18" ht="18" thickBot="1" x14ac:dyDescent="0.35">
      <c r="A64" s="101"/>
      <c r="B64" s="102" t="s">
        <v>191</v>
      </c>
      <c r="C64" s="103"/>
      <c r="D64" s="103"/>
      <c r="E64" s="103"/>
      <c r="F64" s="103"/>
      <c r="G64" s="103"/>
      <c r="H64" s="103"/>
      <c r="I64" s="103"/>
      <c r="J64" s="103"/>
      <c r="K64" s="103"/>
      <c r="L64" s="103"/>
      <c r="M64" s="103"/>
      <c r="N64" s="103"/>
      <c r="O64" s="103"/>
      <c r="P64" s="104"/>
      <c r="Q64" s="105"/>
      <c r="R64" s="5"/>
    </row>
    <row r="65" spans="1:18" ht="15.6" x14ac:dyDescent="0.3">
      <c r="A65" s="2"/>
      <c r="B65" s="4"/>
      <c r="C65" s="4"/>
      <c r="D65" s="4"/>
      <c r="E65" s="4"/>
      <c r="F65" s="4"/>
      <c r="G65" s="4"/>
      <c r="H65" s="4"/>
      <c r="I65" s="4"/>
      <c r="J65" s="4"/>
      <c r="K65" s="4"/>
      <c r="L65" s="4"/>
      <c r="M65" s="4"/>
      <c r="N65" s="4"/>
      <c r="O65" s="4"/>
      <c r="P65" s="50"/>
      <c r="Q65" s="4"/>
      <c r="R65" s="5"/>
    </row>
    <row r="66" spans="1:18" ht="15.6" x14ac:dyDescent="0.3">
      <c r="A66" s="6"/>
      <c r="B66" s="51" t="s">
        <v>21</v>
      </c>
      <c r="C66" s="8"/>
      <c r="D66" s="8"/>
      <c r="E66" s="8"/>
      <c r="F66" s="8"/>
      <c r="G66" s="8"/>
      <c r="H66" s="8"/>
      <c r="I66" s="8"/>
      <c r="J66" s="8"/>
      <c r="K66" s="8"/>
      <c r="L66" s="8"/>
      <c r="M66" s="8"/>
      <c r="N66" s="8"/>
      <c r="O66" s="8"/>
      <c r="P66" s="52"/>
      <c r="Q66" s="8"/>
      <c r="R66" s="5"/>
    </row>
    <row r="67" spans="1:18" ht="15.6" x14ac:dyDescent="0.3">
      <c r="A67" s="6"/>
      <c r="B67" s="13"/>
      <c r="C67" s="8"/>
      <c r="D67" s="8"/>
      <c r="E67" s="8"/>
      <c r="F67" s="8"/>
      <c r="G67" s="8"/>
      <c r="H67" s="8"/>
      <c r="I67" s="8"/>
      <c r="J67" s="8"/>
      <c r="K67" s="8"/>
      <c r="L67" s="8"/>
      <c r="M67" s="8"/>
      <c r="N67" s="8"/>
      <c r="O67" s="8"/>
      <c r="P67" s="52"/>
      <c r="Q67" s="8"/>
      <c r="R67" s="5"/>
    </row>
    <row r="68" spans="1:18" ht="46.8" x14ac:dyDescent="0.3">
      <c r="A68" s="6"/>
      <c r="B68" s="114" t="s">
        <v>22</v>
      </c>
      <c r="C68" s="115"/>
      <c r="D68" s="115"/>
      <c r="E68" s="115"/>
      <c r="F68" s="115" t="s">
        <v>105</v>
      </c>
      <c r="G68" s="115"/>
      <c r="H68" s="115" t="s">
        <v>107</v>
      </c>
      <c r="I68" s="115"/>
      <c r="J68" s="115" t="s">
        <v>109</v>
      </c>
      <c r="K68" s="115"/>
      <c r="L68" s="115" t="s">
        <v>111</v>
      </c>
      <c r="M68" s="115"/>
      <c r="N68" s="115" t="s">
        <v>118</v>
      </c>
      <c r="O68" s="115"/>
      <c r="P68" s="116" t="s">
        <v>127</v>
      </c>
      <c r="Q68" s="117"/>
      <c r="R68" s="5"/>
    </row>
    <row r="69" spans="1:18" ht="15.6" x14ac:dyDescent="0.3">
      <c r="A69" s="24"/>
      <c r="B69" s="25" t="s">
        <v>23</v>
      </c>
      <c r="C69" s="34"/>
      <c r="D69" s="34"/>
      <c r="E69" s="34"/>
      <c r="F69" s="34">
        <v>690290</v>
      </c>
      <c r="G69" s="34"/>
      <c r="H69" s="53">
        <v>690290</v>
      </c>
      <c r="I69" s="34"/>
      <c r="J69" s="34">
        <f>34138+40+5423+11151+1600+179</f>
        <v>52531</v>
      </c>
      <c r="K69" s="34"/>
      <c r="L69" s="34">
        <f>179+40+5423+11151+209990</f>
        <v>226783</v>
      </c>
      <c r="M69" s="34"/>
      <c r="N69" s="34">
        <v>0</v>
      </c>
      <c r="O69" s="34"/>
      <c r="P69" s="53">
        <f>+H69-J69+L69-N69</f>
        <v>864542</v>
      </c>
      <c r="Q69" s="25"/>
      <c r="R69" s="5"/>
    </row>
    <row r="70" spans="1:18" ht="15.6" x14ac:dyDescent="0.3">
      <c r="A70" s="24"/>
      <c r="B70" s="25" t="s">
        <v>24</v>
      </c>
      <c r="C70" s="34"/>
      <c r="D70" s="34"/>
      <c r="E70" s="34"/>
      <c r="F70" s="34">
        <v>201</v>
      </c>
      <c r="G70" s="34"/>
      <c r="H70" s="53">
        <v>201</v>
      </c>
      <c r="I70" s="34"/>
      <c r="J70" s="34">
        <f>201+10</f>
        <v>211</v>
      </c>
      <c r="K70" s="34"/>
      <c r="L70" s="34">
        <v>10</v>
      </c>
      <c r="M70" s="34"/>
      <c r="N70" s="34">
        <v>0</v>
      </c>
      <c r="O70" s="34"/>
      <c r="P70" s="53">
        <f>+H70-J70+L70</f>
        <v>0</v>
      </c>
      <c r="Q70" s="25"/>
      <c r="R70" s="5"/>
    </row>
    <row r="71" spans="1:18" ht="15.6" x14ac:dyDescent="0.3">
      <c r="A71" s="24"/>
      <c r="B71" s="25"/>
      <c r="C71" s="34"/>
      <c r="D71" s="34"/>
      <c r="E71" s="34"/>
      <c r="F71" s="34"/>
      <c r="G71" s="34"/>
      <c r="H71" s="53"/>
      <c r="I71" s="34"/>
      <c r="J71" s="34"/>
      <c r="K71" s="34"/>
      <c r="L71" s="34"/>
      <c r="M71" s="34"/>
      <c r="N71" s="34"/>
      <c r="O71" s="34"/>
      <c r="P71" s="53"/>
      <c r="Q71" s="25"/>
      <c r="R71" s="5"/>
    </row>
    <row r="72" spans="1:18" ht="15.6" x14ac:dyDescent="0.3">
      <c r="A72" s="24"/>
      <c r="B72" s="25" t="s">
        <v>25</v>
      </c>
      <c r="C72" s="34"/>
      <c r="D72" s="34"/>
      <c r="E72" s="34"/>
      <c r="F72" s="34">
        <f>SUM(F69:F71)</f>
        <v>690491</v>
      </c>
      <c r="G72" s="34"/>
      <c r="H72" s="54">
        <f>H69+H70</f>
        <v>690491</v>
      </c>
      <c r="I72" s="34"/>
      <c r="J72" s="34">
        <f>SUM(J69:J71)</f>
        <v>52742</v>
      </c>
      <c r="K72" s="34"/>
      <c r="L72" s="34">
        <f>SUM(L69:L71)</f>
        <v>226793</v>
      </c>
      <c r="M72" s="34"/>
      <c r="N72" s="34">
        <f>SUM(N69:N71)</f>
        <v>0</v>
      </c>
      <c r="O72" s="34"/>
      <c r="P72" s="54">
        <f>SUM(P69:P71)</f>
        <v>864542</v>
      </c>
      <c r="Q72" s="25"/>
      <c r="R72" s="5"/>
    </row>
    <row r="73" spans="1:18" ht="15.6" x14ac:dyDescent="0.3">
      <c r="A73" s="24"/>
      <c r="B73" s="25"/>
      <c r="C73" s="34"/>
      <c r="D73" s="34"/>
      <c r="E73" s="34"/>
      <c r="F73" s="34"/>
      <c r="G73" s="34"/>
      <c r="H73" s="34"/>
      <c r="I73" s="34"/>
      <c r="J73" s="34"/>
      <c r="K73" s="34"/>
      <c r="L73" s="34"/>
      <c r="M73" s="34"/>
      <c r="N73" s="34"/>
      <c r="O73" s="34"/>
      <c r="P73" s="54"/>
      <c r="Q73" s="25"/>
      <c r="R73" s="5"/>
    </row>
    <row r="74" spans="1:18" ht="15.6" x14ac:dyDescent="0.3">
      <c r="A74" s="6"/>
      <c r="B74" s="111" t="s">
        <v>26</v>
      </c>
      <c r="C74" s="55"/>
      <c r="D74" s="55"/>
      <c r="E74" s="55"/>
      <c r="F74" s="55"/>
      <c r="G74" s="55"/>
      <c r="H74" s="55"/>
      <c r="I74" s="55"/>
      <c r="J74" s="55"/>
      <c r="K74" s="55"/>
      <c r="L74" s="55"/>
      <c r="M74" s="55"/>
      <c r="N74" s="55"/>
      <c r="O74" s="55"/>
      <c r="P74" s="56"/>
      <c r="Q74" s="8"/>
      <c r="R74" s="5"/>
    </row>
    <row r="75" spans="1:18" ht="15.6" x14ac:dyDescent="0.3">
      <c r="A75" s="6"/>
      <c r="B75" s="8"/>
      <c r="C75" s="55"/>
      <c r="D75" s="55"/>
      <c r="E75" s="55"/>
      <c r="F75" s="55"/>
      <c r="G75" s="55"/>
      <c r="H75" s="55"/>
      <c r="I75" s="55"/>
      <c r="J75" s="55"/>
      <c r="K75" s="55"/>
      <c r="L75" s="55"/>
      <c r="M75" s="55"/>
      <c r="N75" s="55"/>
      <c r="O75" s="55"/>
      <c r="P75" s="56"/>
      <c r="Q75" s="8"/>
      <c r="R75" s="5"/>
    </row>
    <row r="76" spans="1:18" ht="15.6" x14ac:dyDescent="0.3">
      <c r="A76" s="24"/>
      <c r="B76" s="25" t="s">
        <v>23</v>
      </c>
      <c r="C76" s="34"/>
      <c r="D76" s="34"/>
      <c r="E76" s="34"/>
      <c r="F76" s="34"/>
      <c r="G76" s="34"/>
      <c r="H76" s="34"/>
      <c r="I76" s="34"/>
      <c r="J76" s="34"/>
      <c r="K76" s="34"/>
      <c r="L76" s="34"/>
      <c r="M76" s="34"/>
      <c r="N76" s="34"/>
      <c r="O76" s="34"/>
      <c r="P76" s="54"/>
      <c r="Q76" s="25"/>
      <c r="R76" s="5"/>
    </row>
    <row r="77" spans="1:18" ht="15.6" x14ac:dyDescent="0.3">
      <c r="A77" s="24"/>
      <c r="B77" s="25" t="s">
        <v>24</v>
      </c>
      <c r="C77" s="34"/>
      <c r="D77" s="34"/>
      <c r="E77" s="34"/>
      <c r="F77" s="34"/>
      <c r="G77" s="34"/>
      <c r="H77" s="34"/>
      <c r="I77" s="34"/>
      <c r="J77" s="34"/>
      <c r="K77" s="34"/>
      <c r="L77" s="34"/>
      <c r="M77" s="34"/>
      <c r="N77" s="34"/>
      <c r="O77" s="34"/>
      <c r="P77" s="54"/>
      <c r="Q77" s="25"/>
      <c r="R77" s="5"/>
    </row>
    <row r="78" spans="1:18" ht="15.6" x14ac:dyDescent="0.3">
      <c r="A78" s="24"/>
      <c r="B78" s="25"/>
      <c r="C78" s="34"/>
      <c r="D78" s="34"/>
      <c r="E78" s="34"/>
      <c r="F78" s="34"/>
      <c r="G78" s="34"/>
      <c r="H78" s="34"/>
      <c r="I78" s="34"/>
      <c r="J78" s="34"/>
      <c r="K78" s="34"/>
      <c r="L78" s="34"/>
      <c r="M78" s="34"/>
      <c r="N78" s="34"/>
      <c r="O78" s="34"/>
      <c r="P78" s="54"/>
      <c r="Q78" s="25"/>
      <c r="R78" s="5"/>
    </row>
    <row r="79" spans="1:18" ht="15.6" x14ac:dyDescent="0.3">
      <c r="A79" s="24"/>
      <c r="B79" s="25" t="s">
        <v>25</v>
      </c>
      <c r="C79" s="34"/>
      <c r="D79" s="34"/>
      <c r="E79" s="34"/>
      <c r="F79" s="34"/>
      <c r="G79" s="34"/>
      <c r="H79" s="34"/>
      <c r="I79" s="34"/>
      <c r="J79" s="34"/>
      <c r="K79" s="34"/>
      <c r="L79" s="34"/>
      <c r="M79" s="34"/>
      <c r="N79" s="34"/>
      <c r="O79" s="34"/>
      <c r="P79" s="34"/>
      <c r="Q79" s="25"/>
      <c r="R79" s="5"/>
    </row>
    <row r="80" spans="1:18" ht="15.6" x14ac:dyDescent="0.3">
      <c r="A80" s="24"/>
      <c r="B80" s="25"/>
      <c r="C80" s="34"/>
      <c r="D80" s="34"/>
      <c r="E80" s="34"/>
      <c r="F80" s="34"/>
      <c r="G80" s="34"/>
      <c r="H80" s="34"/>
      <c r="I80" s="34"/>
      <c r="J80" s="34"/>
      <c r="K80" s="34"/>
      <c r="L80" s="34"/>
      <c r="M80" s="34"/>
      <c r="N80" s="34"/>
      <c r="O80" s="34"/>
      <c r="P80" s="34"/>
      <c r="Q80" s="25"/>
      <c r="R80" s="5"/>
    </row>
    <row r="81" spans="1:18" ht="15.6" x14ac:dyDescent="0.3">
      <c r="A81" s="24"/>
      <c r="B81" s="25" t="s">
        <v>27</v>
      </c>
      <c r="C81" s="34"/>
      <c r="D81" s="34"/>
      <c r="E81" s="34"/>
      <c r="F81" s="34">
        <v>0</v>
      </c>
      <c r="G81" s="34"/>
      <c r="H81" s="34">
        <v>0</v>
      </c>
      <c r="I81" s="34"/>
      <c r="J81" s="34"/>
      <c r="K81" s="34"/>
      <c r="L81" s="34"/>
      <c r="M81" s="34"/>
      <c r="N81" s="34"/>
      <c r="O81" s="34"/>
      <c r="P81" s="53">
        <v>0</v>
      </c>
      <c r="Q81" s="25"/>
      <c r="R81" s="5"/>
    </row>
    <row r="82" spans="1:18" ht="15.6" x14ac:dyDescent="0.3">
      <c r="A82" s="24"/>
      <c r="B82" s="25" t="s">
        <v>132</v>
      </c>
      <c r="C82" s="34"/>
      <c r="D82" s="34"/>
      <c r="E82" s="34"/>
      <c r="F82" s="34">
        <v>210000</v>
      </c>
      <c r="G82" s="34"/>
      <c r="H82" s="34">
        <v>210000</v>
      </c>
      <c r="I82" s="34"/>
      <c r="J82" s="34"/>
      <c r="K82" s="34"/>
      <c r="L82" s="34">
        <v>-210000</v>
      </c>
      <c r="M82" s="34"/>
      <c r="N82" s="34"/>
      <c r="O82" s="34"/>
      <c r="P82" s="54">
        <f>SUM(H82:L82)</f>
        <v>0</v>
      </c>
      <c r="Q82" s="25"/>
      <c r="R82" s="5"/>
    </row>
    <row r="83" spans="1:18" ht="15.6" x14ac:dyDescent="0.3">
      <c r="A83" s="24"/>
      <c r="B83" s="25" t="s">
        <v>210</v>
      </c>
      <c r="C83" s="34"/>
      <c r="D83" s="34"/>
      <c r="E83" s="34"/>
      <c r="F83" s="34">
        <v>209</v>
      </c>
      <c r="G83" s="34"/>
      <c r="H83" s="34">
        <v>209</v>
      </c>
      <c r="I83" s="34"/>
      <c r="J83" s="34"/>
      <c r="K83" s="34"/>
      <c r="L83" s="34">
        <v>-209</v>
      </c>
      <c r="M83" s="34"/>
      <c r="N83" s="34"/>
      <c r="O83" s="34"/>
      <c r="P83" s="54">
        <f>SUM(H83:L83)</f>
        <v>0</v>
      </c>
      <c r="Q83" s="25"/>
      <c r="R83" s="5"/>
    </row>
    <row r="84" spans="1:18" ht="15.6" x14ac:dyDescent="0.3">
      <c r="A84" s="24"/>
      <c r="B84" s="25" t="s">
        <v>29</v>
      </c>
      <c r="C84" s="34"/>
      <c r="D84" s="34"/>
      <c r="E84" s="34"/>
      <c r="F84" s="34">
        <v>0</v>
      </c>
      <c r="G84" s="34"/>
      <c r="H84" s="34">
        <v>0</v>
      </c>
      <c r="I84" s="34"/>
      <c r="J84" s="34"/>
      <c r="K84" s="34"/>
      <c r="L84" s="34"/>
      <c r="M84" s="34"/>
      <c r="N84" s="34"/>
      <c r="O84" s="34"/>
      <c r="P84" s="54">
        <v>0</v>
      </c>
      <c r="Q84" s="25"/>
      <c r="R84" s="5"/>
    </row>
    <row r="85" spans="1:18" ht="15.6" x14ac:dyDescent="0.3">
      <c r="A85" s="24"/>
      <c r="B85" s="25" t="s">
        <v>30</v>
      </c>
      <c r="C85" s="34"/>
      <c r="D85" s="54"/>
      <c r="E85" s="34"/>
      <c r="F85" s="54">
        <f>SUM(F72:F84)</f>
        <v>900700</v>
      </c>
      <c r="G85" s="54"/>
      <c r="H85" s="54">
        <f>SUM(H72:H84)</f>
        <v>900700</v>
      </c>
      <c r="I85" s="34"/>
      <c r="J85" s="34"/>
      <c r="K85" s="34"/>
      <c r="L85" s="34"/>
      <c r="M85" s="34"/>
      <c r="N85" s="54"/>
      <c r="O85" s="34"/>
      <c r="P85" s="54">
        <f>SUM(P72:P84)</f>
        <v>864542</v>
      </c>
      <c r="Q85" s="25"/>
      <c r="R85" s="5"/>
    </row>
    <row r="86" spans="1:18" ht="15.6" x14ac:dyDescent="0.3">
      <c r="A86" s="24"/>
      <c r="B86" s="25"/>
      <c r="C86" s="34"/>
      <c r="D86" s="34"/>
      <c r="E86" s="34"/>
      <c r="F86" s="34"/>
      <c r="G86" s="34"/>
      <c r="H86" s="34"/>
      <c r="I86" s="34"/>
      <c r="J86" s="34"/>
      <c r="K86" s="34"/>
      <c r="L86" s="34"/>
      <c r="M86" s="34"/>
      <c r="N86" s="34"/>
      <c r="O86" s="34"/>
      <c r="P86" s="54"/>
      <c r="Q86" s="25"/>
      <c r="R86" s="5"/>
    </row>
    <row r="87" spans="1:18" ht="15.6" x14ac:dyDescent="0.3">
      <c r="A87" s="6"/>
      <c r="B87" s="8"/>
      <c r="C87" s="8"/>
      <c r="D87" s="8"/>
      <c r="E87" s="8"/>
      <c r="F87" s="8"/>
      <c r="G87" s="8"/>
      <c r="H87" s="8"/>
      <c r="I87" s="8"/>
      <c r="J87" s="8"/>
      <c r="K87" s="8"/>
      <c r="L87" s="8"/>
      <c r="M87" s="8"/>
      <c r="N87" s="8"/>
      <c r="O87" s="8"/>
      <c r="P87" s="8"/>
      <c r="Q87" s="8"/>
      <c r="R87" s="5"/>
    </row>
    <row r="88" spans="1:18" ht="15.6" x14ac:dyDescent="0.3">
      <c r="A88" s="6"/>
      <c r="B88" s="51" t="s">
        <v>31</v>
      </c>
      <c r="C88" s="14"/>
      <c r="D88" s="14"/>
      <c r="E88" s="14"/>
      <c r="F88" s="17"/>
      <c r="G88" s="17"/>
      <c r="H88" s="17"/>
      <c r="I88" s="17"/>
      <c r="J88" s="17"/>
      <c r="K88" s="17"/>
      <c r="L88" s="17"/>
      <c r="M88" s="17"/>
      <c r="N88" s="17" t="s">
        <v>119</v>
      </c>
      <c r="O88" s="17"/>
      <c r="P88" s="17" t="s">
        <v>128</v>
      </c>
      <c r="Q88" s="8"/>
      <c r="R88" s="5"/>
    </row>
    <row r="89" spans="1:18" ht="15.6" x14ac:dyDescent="0.3">
      <c r="A89" s="24"/>
      <c r="B89" s="25" t="s">
        <v>32</v>
      </c>
      <c r="C89" s="25"/>
      <c r="D89" s="25"/>
      <c r="E89" s="25"/>
      <c r="F89" s="25"/>
      <c r="G89" s="25"/>
      <c r="H89" s="25"/>
      <c r="I89" s="25"/>
      <c r="J89" s="25"/>
      <c r="K89" s="25"/>
      <c r="L89" s="25"/>
      <c r="M89" s="25"/>
      <c r="N89" s="34">
        <v>209</v>
      </c>
      <c r="O89" s="25"/>
      <c r="P89" s="53">
        <v>0</v>
      </c>
      <c r="Q89" s="25"/>
      <c r="R89" s="5"/>
    </row>
    <row r="90" spans="1:18" ht="15.6" x14ac:dyDescent="0.3">
      <c r="A90" s="24"/>
      <c r="B90" s="25" t="s">
        <v>33</v>
      </c>
      <c r="C90" s="25"/>
      <c r="D90" s="25"/>
      <c r="E90" s="25"/>
      <c r="F90" s="40" t="s">
        <v>106</v>
      </c>
      <c r="G90" s="57"/>
      <c r="H90" s="127">
        <v>38289</v>
      </c>
      <c r="I90" s="25"/>
      <c r="J90" s="25"/>
      <c r="K90" s="25"/>
      <c r="L90" s="25"/>
      <c r="M90" s="25"/>
      <c r="N90" s="34">
        <v>52531</v>
      </c>
      <c r="O90" s="25"/>
      <c r="P90" s="53"/>
      <c r="Q90" s="25"/>
      <c r="R90" s="5"/>
    </row>
    <row r="91" spans="1:18" ht="15.6" x14ac:dyDescent="0.3">
      <c r="A91" s="24"/>
      <c r="B91" s="25" t="s">
        <v>34</v>
      </c>
      <c r="C91" s="25"/>
      <c r="D91" s="25"/>
      <c r="E91" s="25"/>
      <c r="F91" s="25"/>
      <c r="G91" s="25"/>
      <c r="H91" s="25"/>
      <c r="I91" s="25"/>
      <c r="J91" s="25"/>
      <c r="K91" s="25"/>
      <c r="L91" s="25"/>
      <c r="M91" s="25"/>
      <c r="N91" s="34"/>
      <c r="O91" s="25"/>
      <c r="P91" s="53">
        <f>27231-51</f>
        <v>27180</v>
      </c>
      <c r="Q91" s="25"/>
      <c r="R91" s="5"/>
    </row>
    <row r="92" spans="1:18" ht="15.6" x14ac:dyDescent="0.3">
      <c r="A92" s="24"/>
      <c r="B92" s="25" t="s">
        <v>160</v>
      </c>
      <c r="C92" s="25"/>
      <c r="D92" s="25"/>
      <c r="E92" s="25"/>
      <c r="F92" s="25"/>
      <c r="G92" s="25"/>
      <c r="H92" s="25"/>
      <c r="I92" s="25"/>
      <c r="J92" s="25"/>
      <c r="K92" s="25"/>
      <c r="L92" s="25"/>
      <c r="M92" s="25"/>
      <c r="N92" s="34"/>
      <c r="O92" s="25"/>
      <c r="P92" s="53">
        <v>0</v>
      </c>
      <c r="Q92" s="25"/>
      <c r="R92" s="5"/>
    </row>
    <row r="93" spans="1:18" ht="15.6" x14ac:dyDescent="0.3">
      <c r="A93" s="24"/>
      <c r="B93" s="25" t="s">
        <v>192</v>
      </c>
      <c r="C93" s="25"/>
      <c r="D93" s="25"/>
      <c r="E93" s="25"/>
      <c r="F93" s="25"/>
      <c r="G93" s="25"/>
      <c r="H93" s="25"/>
      <c r="I93" s="25"/>
      <c r="J93" s="25"/>
      <c r="K93" s="25"/>
      <c r="L93" s="25"/>
      <c r="M93" s="25"/>
      <c r="N93" s="34"/>
      <c r="O93" s="25"/>
      <c r="P93" s="53">
        <v>0</v>
      </c>
      <c r="Q93" s="25"/>
      <c r="R93" s="5"/>
    </row>
    <row r="94" spans="1:18" ht="15.6" x14ac:dyDescent="0.3">
      <c r="A94" s="24"/>
      <c r="B94" s="25" t="s">
        <v>35</v>
      </c>
      <c r="C94" s="25"/>
      <c r="D94" s="25"/>
      <c r="E94" s="25"/>
      <c r="F94" s="25"/>
      <c r="G94" s="25"/>
      <c r="H94" s="25"/>
      <c r="I94" s="25"/>
      <c r="J94" s="25"/>
      <c r="K94" s="25"/>
      <c r="L94" s="25"/>
      <c r="M94" s="25"/>
      <c r="N94" s="34">
        <f>SUM(N89:N93)</f>
        <v>52740</v>
      </c>
      <c r="O94" s="25"/>
      <c r="P94" s="54">
        <f>SUM(P89:P93)</f>
        <v>27180</v>
      </c>
      <c r="Q94" s="25"/>
      <c r="R94" s="5"/>
    </row>
    <row r="95" spans="1:18" ht="15.6" x14ac:dyDescent="0.3">
      <c r="A95" s="24"/>
      <c r="B95" s="25" t="s">
        <v>36</v>
      </c>
      <c r="C95" s="25"/>
      <c r="D95" s="25"/>
      <c r="E95" s="25"/>
      <c r="F95" s="25"/>
      <c r="G95" s="25"/>
      <c r="H95" s="25"/>
      <c r="I95" s="25"/>
      <c r="J95" s="25"/>
      <c r="K95" s="25"/>
      <c r="L95" s="25"/>
      <c r="M95" s="25"/>
      <c r="N95" s="34">
        <f>-P95</f>
        <v>211</v>
      </c>
      <c r="O95" s="25"/>
      <c r="P95" s="53">
        <v>-211</v>
      </c>
      <c r="Q95" s="25"/>
      <c r="R95" s="5"/>
    </row>
    <row r="96" spans="1:18" ht="15.6" x14ac:dyDescent="0.3">
      <c r="A96" s="24"/>
      <c r="B96" s="25" t="s">
        <v>37</v>
      </c>
      <c r="C96" s="25"/>
      <c r="D96" s="25"/>
      <c r="E96" s="25"/>
      <c r="F96" s="25"/>
      <c r="G96" s="25"/>
      <c r="H96" s="25"/>
      <c r="I96" s="25"/>
      <c r="J96" s="25"/>
      <c r="K96" s="25"/>
      <c r="L96" s="25"/>
      <c r="M96" s="25"/>
      <c r="N96" s="34">
        <f>N94+N95</f>
        <v>52951</v>
      </c>
      <c r="O96" s="25"/>
      <c r="P96" s="54">
        <f>P94+P95</f>
        <v>26969</v>
      </c>
      <c r="Q96" s="25"/>
      <c r="R96" s="5"/>
    </row>
    <row r="97" spans="1:19" ht="15.6" x14ac:dyDescent="0.3">
      <c r="A97" s="24"/>
      <c r="B97" s="118" t="s">
        <v>38</v>
      </c>
      <c r="C97" s="25"/>
      <c r="D97" s="25"/>
      <c r="E97" s="25"/>
      <c r="F97" s="25"/>
      <c r="G97" s="25"/>
      <c r="H97" s="25"/>
      <c r="I97" s="25"/>
      <c r="J97" s="25"/>
      <c r="K97" s="25"/>
      <c r="L97" s="25"/>
      <c r="M97" s="25"/>
      <c r="N97" s="34"/>
      <c r="O97" s="25"/>
      <c r="P97" s="53"/>
      <c r="Q97" s="25"/>
      <c r="R97" s="5"/>
    </row>
    <row r="98" spans="1:19" ht="15.6" x14ac:dyDescent="0.3">
      <c r="A98" s="24">
        <v>1</v>
      </c>
      <c r="B98" s="25" t="s">
        <v>39</v>
      </c>
      <c r="C98" s="25"/>
      <c r="D98" s="25"/>
      <c r="E98" s="25"/>
      <c r="F98" s="25"/>
      <c r="G98" s="25"/>
      <c r="H98" s="25"/>
      <c r="I98" s="25"/>
      <c r="J98" s="25"/>
      <c r="K98" s="25"/>
      <c r="L98" s="25"/>
      <c r="M98" s="25"/>
      <c r="N98" s="25"/>
      <c r="O98" s="25"/>
      <c r="P98" s="53">
        <v>-3175</v>
      </c>
      <c r="Q98" s="25"/>
      <c r="R98" s="5"/>
    </row>
    <row r="99" spans="1:19" ht="15.6" x14ac:dyDescent="0.3">
      <c r="A99" s="24">
        <f>+A98+1</f>
        <v>2</v>
      </c>
      <c r="B99" s="25" t="s">
        <v>40</v>
      </c>
      <c r="C99" s="25"/>
      <c r="D99" s="25"/>
      <c r="E99" s="25"/>
      <c r="F99" s="25"/>
      <c r="G99" s="25"/>
      <c r="H99" s="25"/>
      <c r="I99" s="25"/>
      <c r="J99" s="25"/>
      <c r="K99" s="25"/>
      <c r="L99" s="25"/>
      <c r="M99" s="25"/>
      <c r="N99" s="25"/>
      <c r="O99" s="25"/>
      <c r="P99" s="53">
        <v>-2</v>
      </c>
      <c r="Q99" s="25"/>
      <c r="R99" s="5"/>
    </row>
    <row r="100" spans="1:19" ht="15.6" x14ac:dyDescent="0.3">
      <c r="A100" s="24">
        <f>+A99+1</f>
        <v>3</v>
      </c>
      <c r="B100" s="25" t="s">
        <v>220</v>
      </c>
      <c r="C100" s="25"/>
      <c r="D100" s="25"/>
      <c r="E100" s="25"/>
      <c r="F100" s="25"/>
      <c r="G100" s="25"/>
      <c r="H100" s="25"/>
      <c r="I100" s="25"/>
      <c r="J100" s="25"/>
      <c r="K100" s="25"/>
      <c r="L100" s="25"/>
      <c r="M100" s="25"/>
      <c r="N100" s="25"/>
      <c r="O100" s="25"/>
      <c r="P100" s="53">
        <f>-297-25</f>
        <v>-322</v>
      </c>
      <c r="Q100" s="25"/>
      <c r="R100" s="5"/>
    </row>
    <row r="101" spans="1:19" ht="15.6" x14ac:dyDescent="0.3">
      <c r="A101" s="24" t="s">
        <v>151</v>
      </c>
      <c r="B101" s="25" t="s">
        <v>131</v>
      </c>
      <c r="C101" s="25"/>
      <c r="D101" s="25"/>
      <c r="E101" s="25"/>
      <c r="F101" s="25"/>
      <c r="G101" s="25"/>
      <c r="H101" s="25"/>
      <c r="I101" s="25"/>
      <c r="J101" s="25"/>
      <c r="K101" s="25"/>
      <c r="L101" s="25"/>
      <c r="M101" s="25"/>
      <c r="N101" s="25"/>
      <c r="O101" s="25"/>
      <c r="P101" s="53">
        <v>-331</v>
      </c>
      <c r="Q101" s="25"/>
      <c r="R101" s="5"/>
    </row>
    <row r="102" spans="1:19" ht="15.6" x14ac:dyDescent="0.3">
      <c r="A102" s="24" t="s">
        <v>152</v>
      </c>
      <c r="B102" s="25" t="s">
        <v>195</v>
      </c>
      <c r="C102" s="25"/>
      <c r="D102" s="25"/>
      <c r="E102" s="25"/>
      <c r="F102" s="25"/>
      <c r="G102" s="25"/>
      <c r="H102" s="25"/>
      <c r="I102" s="25"/>
      <c r="J102" s="25"/>
      <c r="K102" s="25"/>
      <c r="L102" s="25"/>
      <c r="M102" s="25"/>
      <c r="N102" s="25"/>
      <c r="O102" s="25"/>
      <c r="P102" s="53">
        <v>-6139</v>
      </c>
      <c r="Q102" s="25"/>
      <c r="R102" s="5"/>
    </row>
    <row r="103" spans="1:19" ht="15.6" x14ac:dyDescent="0.3">
      <c r="A103" s="24" t="s">
        <v>217</v>
      </c>
      <c r="B103" s="25" t="s">
        <v>196</v>
      </c>
      <c r="C103" s="25"/>
      <c r="D103" s="25"/>
      <c r="E103" s="25"/>
      <c r="F103" s="25"/>
      <c r="G103" s="25"/>
      <c r="H103" s="25"/>
      <c r="I103" s="25"/>
      <c r="J103" s="25"/>
      <c r="K103" s="25"/>
      <c r="L103" s="25"/>
      <c r="M103" s="25"/>
      <c r="N103" s="25"/>
      <c r="O103" s="25"/>
      <c r="P103" s="53">
        <v>-5226</v>
      </c>
      <c r="Q103" s="25"/>
      <c r="R103" s="5"/>
    </row>
    <row r="104" spans="1:19" ht="15.6" x14ac:dyDescent="0.3">
      <c r="A104" s="24" t="s">
        <v>218</v>
      </c>
      <c r="B104" s="25" t="s">
        <v>197</v>
      </c>
      <c r="C104" s="25"/>
      <c r="D104" s="25"/>
      <c r="E104" s="25"/>
      <c r="F104" s="25"/>
      <c r="G104" s="25"/>
      <c r="H104" s="25"/>
      <c r="I104" s="25"/>
      <c r="J104" s="25"/>
      <c r="K104" s="25"/>
      <c r="L104" s="25"/>
      <c r="M104" s="25"/>
      <c r="N104" s="25"/>
      <c r="O104" s="25"/>
      <c r="P104" s="53">
        <v>-8171</v>
      </c>
      <c r="Q104" s="25"/>
      <c r="R104" s="5"/>
      <c r="S104" s="109"/>
    </row>
    <row r="105" spans="1:19" ht="15.6" x14ac:dyDescent="0.3">
      <c r="A105" s="24" t="s">
        <v>147</v>
      </c>
      <c r="B105" s="25" t="s">
        <v>146</v>
      </c>
      <c r="C105" s="25"/>
      <c r="D105" s="25"/>
      <c r="E105" s="25"/>
      <c r="F105" s="25"/>
      <c r="G105" s="25"/>
      <c r="H105" s="25"/>
      <c r="I105" s="25"/>
      <c r="J105" s="25"/>
      <c r="K105" s="25"/>
      <c r="L105" s="25"/>
      <c r="M105" s="25"/>
      <c r="N105" s="25"/>
      <c r="O105" s="25"/>
      <c r="P105" s="53">
        <v>-1260</v>
      </c>
      <c r="Q105" s="25"/>
      <c r="R105" s="5"/>
    </row>
    <row r="106" spans="1:19" ht="15.6" x14ac:dyDescent="0.3">
      <c r="A106" s="24" t="s">
        <v>148</v>
      </c>
      <c r="B106" s="25" t="s">
        <v>198</v>
      </c>
      <c r="C106" s="25"/>
      <c r="D106" s="25"/>
      <c r="E106" s="25"/>
      <c r="F106" s="25"/>
      <c r="G106" s="25"/>
      <c r="H106" s="25"/>
      <c r="I106" s="25"/>
      <c r="J106" s="25"/>
      <c r="K106" s="25"/>
      <c r="L106" s="25"/>
      <c r="M106" s="25"/>
      <c r="N106" s="25"/>
      <c r="O106" s="25"/>
      <c r="P106" s="53">
        <v>-1192</v>
      </c>
      <c r="Q106" s="25"/>
      <c r="R106" s="5"/>
      <c r="S106" s="109"/>
    </row>
    <row r="107" spans="1:19" ht="15.6" x14ac:dyDescent="0.3">
      <c r="A107" s="24">
        <v>6</v>
      </c>
      <c r="B107" s="25" t="s">
        <v>41</v>
      </c>
      <c r="C107" s="25"/>
      <c r="D107" s="25"/>
      <c r="E107" s="25"/>
      <c r="F107" s="25"/>
      <c r="G107" s="25"/>
      <c r="H107" s="25"/>
      <c r="I107" s="25"/>
      <c r="J107" s="25"/>
      <c r="K107" s="25"/>
      <c r="L107" s="25"/>
      <c r="M107" s="25"/>
      <c r="N107" s="25"/>
      <c r="O107" s="25"/>
      <c r="P107" s="53">
        <v>-10</v>
      </c>
      <c r="Q107" s="25"/>
      <c r="R107" s="5"/>
    </row>
    <row r="108" spans="1:19" ht="15.6" x14ac:dyDescent="0.3">
      <c r="A108" s="24">
        <f t="shared" ref="A108:A113" si="0">+A107+1</f>
        <v>7</v>
      </c>
      <c r="B108" s="25" t="s">
        <v>53</v>
      </c>
      <c r="C108" s="25"/>
      <c r="D108" s="25"/>
      <c r="E108" s="25"/>
      <c r="F108" s="25"/>
      <c r="G108" s="25"/>
      <c r="H108" s="25"/>
      <c r="I108" s="25"/>
      <c r="J108" s="25"/>
      <c r="K108" s="25"/>
      <c r="L108" s="25"/>
      <c r="M108" s="25"/>
      <c r="N108" s="25"/>
      <c r="O108" s="25"/>
      <c r="P108" s="53">
        <v>0</v>
      </c>
      <c r="Q108" s="25"/>
      <c r="R108" s="5"/>
    </row>
    <row r="109" spans="1:19" ht="15.6" x14ac:dyDescent="0.3">
      <c r="A109" s="24">
        <f t="shared" si="0"/>
        <v>8</v>
      </c>
      <c r="B109" s="25" t="s">
        <v>149</v>
      </c>
      <c r="C109" s="25"/>
      <c r="D109" s="25"/>
      <c r="E109" s="25"/>
      <c r="F109" s="25"/>
      <c r="G109" s="25"/>
      <c r="H109" s="25"/>
      <c r="I109" s="25"/>
      <c r="J109" s="25"/>
      <c r="K109" s="25"/>
      <c r="L109" s="25"/>
      <c r="M109" s="25"/>
      <c r="N109" s="25"/>
      <c r="O109" s="25"/>
      <c r="P109" s="53">
        <v>0</v>
      </c>
      <c r="Q109" s="25"/>
      <c r="R109" s="5"/>
    </row>
    <row r="110" spans="1:19" ht="15.6" x14ac:dyDescent="0.3">
      <c r="A110" s="24">
        <f t="shared" si="0"/>
        <v>9</v>
      </c>
      <c r="B110" s="25" t="s">
        <v>42</v>
      </c>
      <c r="C110" s="25"/>
      <c r="D110" s="25"/>
      <c r="E110" s="25"/>
      <c r="F110" s="25"/>
      <c r="G110" s="25"/>
      <c r="H110" s="25"/>
      <c r="I110" s="25"/>
      <c r="J110" s="25"/>
      <c r="K110" s="25"/>
      <c r="L110" s="25"/>
      <c r="M110" s="25"/>
      <c r="N110" s="25"/>
      <c r="O110" s="25"/>
      <c r="P110" s="53">
        <v>0</v>
      </c>
      <c r="Q110" s="25"/>
      <c r="R110" s="5"/>
    </row>
    <row r="111" spans="1:19" ht="15.6" x14ac:dyDescent="0.3">
      <c r="A111" s="24">
        <f t="shared" si="0"/>
        <v>10</v>
      </c>
      <c r="B111" s="25" t="s">
        <v>43</v>
      </c>
      <c r="C111" s="25"/>
      <c r="D111" s="25"/>
      <c r="E111" s="25"/>
      <c r="F111" s="25"/>
      <c r="G111" s="25"/>
      <c r="H111" s="25"/>
      <c r="I111" s="25"/>
      <c r="J111" s="25"/>
      <c r="K111" s="25"/>
      <c r="L111" s="25"/>
      <c r="M111" s="25"/>
      <c r="N111" s="25"/>
      <c r="O111" s="25"/>
      <c r="P111" s="53">
        <v>0</v>
      </c>
      <c r="Q111" s="25"/>
      <c r="R111" s="5"/>
    </row>
    <row r="112" spans="1:19" ht="15.6" x14ac:dyDescent="0.3">
      <c r="A112" s="24">
        <f t="shared" si="0"/>
        <v>11</v>
      </c>
      <c r="B112" s="25" t="s">
        <v>215</v>
      </c>
      <c r="C112" s="25"/>
      <c r="D112" s="25"/>
      <c r="E112" s="25"/>
      <c r="F112" s="25"/>
      <c r="G112" s="25"/>
      <c r="H112" s="25"/>
      <c r="I112" s="25"/>
      <c r="J112" s="25"/>
      <c r="K112" s="25"/>
      <c r="L112" s="25"/>
      <c r="M112" s="25"/>
      <c r="N112" s="25"/>
      <c r="O112" s="25"/>
      <c r="P112" s="53">
        <v>-603</v>
      </c>
      <c r="Q112" s="25"/>
      <c r="R112" s="5"/>
    </row>
    <row r="113" spans="1:18" ht="15.6" x14ac:dyDescent="0.3">
      <c r="A113" s="24">
        <f t="shared" si="0"/>
        <v>12</v>
      </c>
      <c r="B113" s="25" t="s">
        <v>150</v>
      </c>
      <c r="C113" s="25"/>
      <c r="D113" s="25"/>
      <c r="E113" s="25"/>
      <c r="F113" s="25"/>
      <c r="G113" s="25"/>
      <c r="H113" s="25"/>
      <c r="I113" s="25"/>
      <c r="J113" s="25"/>
      <c r="K113" s="25"/>
      <c r="L113" s="25"/>
      <c r="M113" s="25"/>
      <c r="N113" s="25"/>
      <c r="O113" s="25"/>
      <c r="P113" s="53">
        <f>-P96-SUM(P98:P112)</f>
        <v>-538</v>
      </c>
      <c r="Q113" s="25"/>
      <c r="R113" s="5"/>
    </row>
    <row r="114" spans="1:18" ht="15.6" x14ac:dyDescent="0.3">
      <c r="A114" s="24"/>
      <c r="B114" s="118" t="s">
        <v>44</v>
      </c>
      <c r="C114" s="25"/>
      <c r="D114" s="25"/>
      <c r="E114" s="25"/>
      <c r="F114" s="25"/>
      <c r="G114" s="25"/>
      <c r="H114" s="25"/>
      <c r="I114" s="25"/>
      <c r="J114" s="25"/>
      <c r="K114" s="25"/>
      <c r="L114" s="25"/>
      <c r="M114" s="25"/>
      <c r="N114" s="25"/>
      <c r="O114" s="25"/>
      <c r="P114" s="59"/>
      <c r="Q114" s="25"/>
      <c r="R114" s="5"/>
    </row>
    <row r="115" spans="1:18" ht="15.6" x14ac:dyDescent="0.3">
      <c r="A115" s="24"/>
      <c r="B115" s="25" t="s">
        <v>45</v>
      </c>
      <c r="C115" s="25"/>
      <c r="D115" s="25"/>
      <c r="E115" s="25"/>
      <c r="F115" s="25"/>
      <c r="G115" s="25"/>
      <c r="H115" s="25"/>
      <c r="I115" s="25"/>
      <c r="J115" s="25"/>
      <c r="K115" s="25"/>
      <c r="L115" s="25"/>
      <c r="M115" s="25"/>
      <c r="N115" s="34">
        <f>-N163</f>
        <v>-5423</v>
      </c>
      <c r="O115" s="34"/>
      <c r="P115" s="53"/>
      <c r="Q115" s="25"/>
      <c r="R115" s="5"/>
    </row>
    <row r="116" spans="1:18" ht="15.6" x14ac:dyDescent="0.3">
      <c r="A116" s="24"/>
      <c r="B116" s="25" t="s">
        <v>46</v>
      </c>
      <c r="C116" s="25"/>
      <c r="D116" s="25"/>
      <c r="E116" s="25"/>
      <c r="F116" s="25"/>
      <c r="G116" s="25"/>
      <c r="H116" s="25"/>
      <c r="I116" s="25"/>
      <c r="J116" s="25"/>
      <c r="K116" s="25"/>
      <c r="L116" s="25"/>
      <c r="M116" s="25"/>
      <c r="N116" s="34">
        <f>-M163</f>
        <v>-11370</v>
      </c>
      <c r="O116" s="34"/>
      <c r="P116" s="53"/>
      <c r="Q116" s="25"/>
      <c r="R116" s="5"/>
    </row>
    <row r="117" spans="1:18" ht="15.6" x14ac:dyDescent="0.3">
      <c r="A117" s="24"/>
      <c r="B117" s="25" t="s">
        <v>199</v>
      </c>
      <c r="C117" s="25"/>
      <c r="D117" s="25"/>
      <c r="E117" s="25"/>
      <c r="F117" s="25"/>
      <c r="G117" s="25"/>
      <c r="H117" s="25"/>
      <c r="I117" s="25"/>
      <c r="J117" s="25"/>
      <c r="K117" s="25"/>
      <c r="L117" s="25"/>
      <c r="M117" s="25"/>
      <c r="N117" s="34">
        <v>-11285</v>
      </c>
      <c r="O117" s="34"/>
      <c r="P117" s="53"/>
      <c r="Q117" s="25"/>
      <c r="R117" s="5"/>
    </row>
    <row r="118" spans="1:18" ht="15.6" x14ac:dyDescent="0.3">
      <c r="A118" s="24"/>
      <c r="B118" s="25" t="s">
        <v>200</v>
      </c>
      <c r="C118" s="25"/>
      <c r="D118" s="25"/>
      <c r="E118" s="25"/>
      <c r="F118" s="25"/>
      <c r="G118" s="25"/>
      <c r="H118" s="25"/>
      <c r="I118" s="25"/>
      <c r="J118" s="25"/>
      <c r="K118" s="25"/>
      <c r="L118" s="25"/>
      <c r="M118" s="25"/>
      <c r="N118" s="34">
        <v>-9817</v>
      </c>
      <c r="O118" s="34"/>
      <c r="P118" s="53"/>
      <c r="Q118" s="25"/>
      <c r="R118" s="5"/>
    </row>
    <row r="119" spans="1:18" ht="15.6" x14ac:dyDescent="0.3">
      <c r="A119" s="24"/>
      <c r="B119" s="25" t="s">
        <v>201</v>
      </c>
      <c r="C119" s="25"/>
      <c r="D119" s="25"/>
      <c r="E119" s="25"/>
      <c r="F119" s="25"/>
      <c r="G119" s="25"/>
      <c r="H119" s="25"/>
      <c r="I119" s="25"/>
      <c r="J119" s="25"/>
      <c r="K119" s="25"/>
      <c r="L119" s="25"/>
      <c r="M119" s="25"/>
      <c r="N119" s="34">
        <v>-15056</v>
      </c>
      <c r="O119" s="34"/>
      <c r="P119" s="53"/>
      <c r="Q119" s="25"/>
      <c r="R119" s="5"/>
    </row>
    <row r="120" spans="1:18" ht="15.6" x14ac:dyDescent="0.3">
      <c r="A120" s="24"/>
      <c r="B120" s="25" t="s">
        <v>159</v>
      </c>
      <c r="C120" s="25"/>
      <c r="D120" s="25"/>
      <c r="E120" s="25"/>
      <c r="F120" s="25"/>
      <c r="G120" s="25"/>
      <c r="H120" s="25"/>
      <c r="I120" s="25"/>
      <c r="J120" s="25"/>
      <c r="K120" s="25"/>
      <c r="L120" s="25"/>
      <c r="M120" s="25"/>
      <c r="N120" s="34">
        <v>0</v>
      </c>
      <c r="O120" s="34"/>
      <c r="P120" s="53"/>
      <c r="Q120" s="25"/>
      <c r="R120" s="5"/>
    </row>
    <row r="121" spans="1:18" ht="15.6" x14ac:dyDescent="0.3">
      <c r="A121" s="24"/>
      <c r="B121" s="25" t="s">
        <v>214</v>
      </c>
      <c r="C121" s="25"/>
      <c r="D121" s="25"/>
      <c r="E121" s="25"/>
      <c r="F121" s="25"/>
      <c r="G121" s="25"/>
      <c r="H121" s="25"/>
      <c r="I121" s="25"/>
      <c r="J121" s="25"/>
      <c r="K121" s="25"/>
      <c r="L121" s="25"/>
      <c r="M121" s="25"/>
      <c r="N121" s="34">
        <v>0</v>
      </c>
      <c r="O121" s="34"/>
      <c r="P121" s="53"/>
      <c r="Q121" s="25"/>
      <c r="R121" s="5"/>
    </row>
    <row r="122" spans="1:18" ht="15.6" x14ac:dyDescent="0.3">
      <c r="A122" s="24"/>
      <c r="B122" s="25" t="s">
        <v>47</v>
      </c>
      <c r="C122" s="25"/>
      <c r="D122" s="25"/>
      <c r="E122" s="25"/>
      <c r="F122" s="25"/>
      <c r="G122" s="25"/>
      <c r="H122" s="25"/>
      <c r="I122" s="25"/>
      <c r="J122" s="25"/>
      <c r="K122" s="25"/>
      <c r="L122" s="25"/>
      <c r="M122" s="25"/>
      <c r="N122" s="34">
        <f>SUM(N115:N121)</f>
        <v>-52951</v>
      </c>
      <c r="O122" s="34"/>
      <c r="P122" s="34">
        <f>SUM(P97:P121)</f>
        <v>-26969</v>
      </c>
      <c r="Q122" s="25"/>
      <c r="R122" s="5"/>
    </row>
    <row r="123" spans="1:18" ht="15.6" x14ac:dyDescent="0.3">
      <c r="A123" s="24"/>
      <c r="B123" s="25" t="s">
        <v>48</v>
      </c>
      <c r="C123" s="25"/>
      <c r="D123" s="25"/>
      <c r="E123" s="25"/>
      <c r="F123" s="25"/>
      <c r="G123" s="25"/>
      <c r="H123" s="25"/>
      <c r="I123" s="25"/>
      <c r="J123" s="25"/>
      <c r="K123" s="25"/>
      <c r="L123" s="25"/>
      <c r="M123" s="25"/>
      <c r="N123" s="34">
        <f>N96+N122</f>
        <v>0</v>
      </c>
      <c r="O123" s="34"/>
      <c r="P123" s="34">
        <f>P96+P122</f>
        <v>0</v>
      </c>
      <c r="Q123" s="25"/>
      <c r="R123" s="5"/>
    </row>
    <row r="124" spans="1:18" ht="15.6" x14ac:dyDescent="0.3">
      <c r="A124" s="24"/>
      <c r="B124" s="25"/>
      <c r="C124" s="25"/>
      <c r="D124" s="25"/>
      <c r="E124" s="25"/>
      <c r="F124" s="25"/>
      <c r="G124" s="25"/>
      <c r="H124" s="25"/>
      <c r="I124" s="25"/>
      <c r="J124" s="25"/>
      <c r="K124" s="25"/>
      <c r="L124" s="25"/>
      <c r="M124" s="25"/>
      <c r="N124" s="34"/>
      <c r="O124" s="34"/>
      <c r="P124" s="34"/>
      <c r="Q124" s="25"/>
      <c r="R124" s="5"/>
    </row>
    <row r="125" spans="1:18" ht="15.6" x14ac:dyDescent="0.3">
      <c r="A125" s="6"/>
      <c r="B125" s="8"/>
      <c r="C125" s="8"/>
      <c r="D125" s="8"/>
      <c r="E125" s="8"/>
      <c r="F125" s="8"/>
      <c r="G125" s="8"/>
      <c r="H125" s="8"/>
      <c r="I125" s="8"/>
      <c r="J125" s="8"/>
      <c r="K125" s="8"/>
      <c r="L125" s="8"/>
      <c r="M125" s="8"/>
      <c r="N125" s="8"/>
      <c r="O125" s="8"/>
      <c r="P125" s="52"/>
      <c r="Q125" s="8"/>
      <c r="R125" s="5"/>
    </row>
    <row r="126" spans="1:18" ht="18" thickBot="1" x14ac:dyDescent="0.35">
      <c r="A126" s="101"/>
      <c r="B126" s="102" t="str">
        <f>B64</f>
        <v>PM7 INVESTOR REPORT QUARTER ENDING OCTOBER 2004</v>
      </c>
      <c r="C126" s="103"/>
      <c r="D126" s="103"/>
      <c r="E126" s="103"/>
      <c r="F126" s="103"/>
      <c r="G126" s="103"/>
      <c r="H126" s="103"/>
      <c r="I126" s="103"/>
      <c r="J126" s="103"/>
      <c r="K126" s="103"/>
      <c r="L126" s="103"/>
      <c r="M126" s="103"/>
      <c r="N126" s="103"/>
      <c r="O126" s="103"/>
      <c r="P126" s="106"/>
      <c r="Q126" s="105"/>
      <c r="R126" s="5"/>
    </row>
    <row r="127" spans="1:18" ht="15.6" x14ac:dyDescent="0.3">
      <c r="A127" s="2"/>
      <c r="B127" s="60" t="s">
        <v>49</v>
      </c>
      <c r="C127" s="4"/>
      <c r="D127" s="4"/>
      <c r="E127" s="4"/>
      <c r="F127" s="4"/>
      <c r="G127" s="4"/>
      <c r="H127" s="4"/>
      <c r="I127" s="4"/>
      <c r="J127" s="4"/>
      <c r="K127" s="4"/>
      <c r="L127" s="4"/>
      <c r="M127" s="4"/>
      <c r="N127" s="4"/>
      <c r="O127" s="4"/>
      <c r="P127" s="50"/>
      <c r="Q127" s="4"/>
      <c r="R127" s="5"/>
    </row>
    <row r="128" spans="1:18" ht="15.6" x14ac:dyDescent="0.3">
      <c r="A128" s="6"/>
      <c r="B128" s="21"/>
      <c r="C128" s="8"/>
      <c r="D128" s="8"/>
      <c r="E128" s="8"/>
      <c r="F128" s="8"/>
      <c r="G128" s="8"/>
      <c r="H128" s="8"/>
      <c r="I128" s="8"/>
      <c r="J128" s="8"/>
      <c r="K128" s="8"/>
      <c r="L128" s="8"/>
      <c r="M128" s="8"/>
      <c r="N128" s="8"/>
      <c r="O128" s="8"/>
      <c r="P128" s="52"/>
      <c r="Q128" s="8"/>
      <c r="R128" s="5"/>
    </row>
    <row r="129" spans="1:19" ht="15.6" x14ac:dyDescent="0.3">
      <c r="A129" s="6"/>
      <c r="B129" s="119" t="s">
        <v>50</v>
      </c>
      <c r="C129" s="8"/>
      <c r="D129" s="8"/>
      <c r="E129" s="8"/>
      <c r="F129" s="8"/>
      <c r="G129" s="8"/>
      <c r="H129" s="8"/>
      <c r="I129" s="8"/>
      <c r="J129" s="8"/>
      <c r="K129" s="8"/>
      <c r="L129" s="8"/>
      <c r="M129" s="8"/>
      <c r="N129" s="8"/>
      <c r="O129" s="8"/>
      <c r="P129" s="52"/>
      <c r="Q129" s="8"/>
      <c r="R129" s="5"/>
    </row>
    <row r="130" spans="1:19" ht="15.6" x14ac:dyDescent="0.3">
      <c r="A130" s="24"/>
      <c r="B130" s="25" t="s">
        <v>51</v>
      </c>
      <c r="C130" s="25"/>
      <c r="D130" s="25"/>
      <c r="E130" s="25"/>
      <c r="F130" s="25"/>
      <c r="G130" s="25"/>
      <c r="H130" s="25"/>
      <c r="I130" s="25"/>
      <c r="J130" s="25"/>
      <c r="K130" s="25"/>
      <c r="L130" s="25"/>
      <c r="M130" s="25"/>
      <c r="N130" s="25"/>
      <c r="O130" s="25"/>
      <c r="P130" s="53">
        <f>+P35*0.022</f>
        <v>19815.399999999998</v>
      </c>
      <c r="Q130" s="25"/>
      <c r="R130" s="5"/>
    </row>
    <row r="131" spans="1:19" ht="15.6" x14ac:dyDescent="0.3">
      <c r="A131" s="24"/>
      <c r="B131" s="25" t="s">
        <v>52</v>
      </c>
      <c r="C131" s="25"/>
      <c r="D131" s="25"/>
      <c r="E131" s="25"/>
      <c r="F131" s="25"/>
      <c r="G131" s="25"/>
      <c r="H131" s="25"/>
      <c r="I131" s="25"/>
      <c r="J131" s="25"/>
      <c r="K131" s="25"/>
      <c r="L131" s="25"/>
      <c r="M131" s="25"/>
      <c r="N131" s="25"/>
      <c r="O131" s="25"/>
      <c r="P131" s="53">
        <v>0</v>
      </c>
      <c r="Q131" s="25"/>
      <c r="R131" s="5"/>
    </row>
    <row r="132" spans="1:19" ht="15.6" x14ac:dyDescent="0.3">
      <c r="A132" s="24"/>
      <c r="B132" s="25" t="s">
        <v>161</v>
      </c>
      <c r="C132" s="25"/>
      <c r="D132" s="25"/>
      <c r="E132" s="25"/>
      <c r="F132" s="25"/>
      <c r="G132" s="25"/>
      <c r="H132" s="25"/>
      <c r="I132" s="25"/>
      <c r="J132" s="25"/>
      <c r="K132" s="25"/>
      <c r="L132" s="25"/>
      <c r="M132" s="25"/>
      <c r="N132" s="25"/>
      <c r="O132" s="25"/>
      <c r="P132" s="53">
        <v>0</v>
      </c>
      <c r="Q132" s="25"/>
      <c r="R132" s="5"/>
    </row>
    <row r="133" spans="1:19" ht="15.6" x14ac:dyDescent="0.3">
      <c r="A133" s="24"/>
      <c r="B133" s="25" t="s">
        <v>144</v>
      </c>
      <c r="C133" s="25"/>
      <c r="D133" s="25"/>
      <c r="E133" s="25"/>
      <c r="F133" s="25"/>
      <c r="G133" s="25"/>
      <c r="H133" s="25"/>
      <c r="I133" s="25"/>
      <c r="J133" s="25"/>
      <c r="K133" s="25"/>
      <c r="L133" s="25"/>
      <c r="M133" s="25"/>
      <c r="N133" s="25"/>
      <c r="O133" s="25"/>
      <c r="P133" s="53">
        <v>0</v>
      </c>
      <c r="Q133" s="25"/>
      <c r="R133" s="5"/>
    </row>
    <row r="134" spans="1:19" ht="15.6" x14ac:dyDescent="0.3">
      <c r="A134" s="24"/>
      <c r="B134" s="25" t="s">
        <v>145</v>
      </c>
      <c r="C134" s="25"/>
      <c r="D134" s="25"/>
      <c r="E134" s="25"/>
      <c r="F134" s="25"/>
      <c r="G134" s="25"/>
      <c r="H134" s="25"/>
      <c r="I134" s="25"/>
      <c r="J134" s="25"/>
      <c r="K134" s="25"/>
      <c r="L134" s="25"/>
      <c r="M134" s="25"/>
      <c r="N134" s="25"/>
      <c r="O134" s="25"/>
      <c r="P134" s="53">
        <v>0</v>
      </c>
      <c r="Q134" s="25"/>
      <c r="R134" s="5"/>
    </row>
    <row r="135" spans="1:19" ht="15.6" x14ac:dyDescent="0.3">
      <c r="A135" s="24"/>
      <c r="B135" s="25" t="s">
        <v>53</v>
      </c>
      <c r="C135" s="25"/>
      <c r="D135" s="25"/>
      <c r="E135" s="25"/>
      <c r="F135" s="25"/>
      <c r="G135" s="25"/>
      <c r="H135" s="25"/>
      <c r="I135" s="25"/>
      <c r="J135" s="25"/>
      <c r="K135" s="25"/>
      <c r="L135" s="25"/>
      <c r="M135" s="25"/>
      <c r="N135" s="25"/>
      <c r="O135" s="25"/>
      <c r="P135" s="53">
        <v>0</v>
      </c>
      <c r="Q135" s="25"/>
      <c r="R135" s="5"/>
    </row>
    <row r="136" spans="1:19" ht="15.6" x14ac:dyDescent="0.3">
      <c r="A136" s="24"/>
      <c r="B136" s="25" t="s">
        <v>153</v>
      </c>
      <c r="C136" s="25"/>
      <c r="D136" s="25"/>
      <c r="E136" s="25"/>
      <c r="F136" s="25"/>
      <c r="G136" s="25"/>
      <c r="H136" s="25"/>
      <c r="I136" s="25"/>
      <c r="J136" s="25"/>
      <c r="K136" s="25"/>
      <c r="L136" s="25"/>
      <c r="M136" s="25"/>
      <c r="N136" s="25"/>
      <c r="O136" s="25"/>
      <c r="P136" s="53">
        <v>0</v>
      </c>
      <c r="Q136" s="25"/>
      <c r="R136" s="5"/>
    </row>
    <row r="137" spans="1:19" ht="15.6" x14ac:dyDescent="0.3">
      <c r="A137" s="24"/>
      <c r="B137" s="25" t="s">
        <v>202</v>
      </c>
      <c r="C137" s="25"/>
      <c r="D137" s="25"/>
      <c r="E137" s="25"/>
      <c r="F137" s="25"/>
      <c r="G137" s="25"/>
      <c r="H137" s="25"/>
      <c r="I137" s="25"/>
      <c r="J137" s="25"/>
      <c r="K137" s="25"/>
      <c r="L137" s="25"/>
      <c r="M137" s="25"/>
      <c r="N137" s="25"/>
      <c r="O137" s="25"/>
      <c r="P137" s="53">
        <v>0</v>
      </c>
      <c r="Q137" s="25"/>
      <c r="R137" s="5"/>
      <c r="S137" s="109"/>
    </row>
    <row r="138" spans="1:19" ht="15.6" x14ac:dyDescent="0.3">
      <c r="A138" s="24"/>
      <c r="B138" s="25" t="s">
        <v>54</v>
      </c>
      <c r="C138" s="25"/>
      <c r="D138" s="25"/>
      <c r="E138" s="25"/>
      <c r="F138" s="25"/>
      <c r="G138" s="25"/>
      <c r="H138" s="25"/>
      <c r="I138" s="25"/>
      <c r="J138" s="25"/>
      <c r="K138" s="25"/>
      <c r="L138" s="25"/>
      <c r="M138" s="25"/>
      <c r="N138" s="25"/>
      <c r="O138" s="25"/>
      <c r="P138" s="53">
        <f>SUM(P130:P137)</f>
        <v>19815.399999999998</v>
      </c>
      <c r="Q138" s="25"/>
      <c r="R138" s="5"/>
    </row>
    <row r="139" spans="1:19" ht="15.6" x14ac:dyDescent="0.3">
      <c r="A139" s="24"/>
      <c r="B139" s="25"/>
      <c r="C139" s="25"/>
      <c r="D139" s="25"/>
      <c r="E139" s="25"/>
      <c r="F139" s="25"/>
      <c r="G139" s="25"/>
      <c r="H139" s="25"/>
      <c r="I139" s="25"/>
      <c r="J139" s="25"/>
      <c r="K139" s="25"/>
      <c r="L139" s="25"/>
      <c r="M139" s="25"/>
      <c r="N139" s="25"/>
      <c r="O139" s="25"/>
      <c r="P139" s="61"/>
      <c r="Q139" s="25"/>
      <c r="R139" s="5"/>
    </row>
    <row r="140" spans="1:19" ht="15.6" x14ac:dyDescent="0.3">
      <c r="A140" s="6"/>
      <c r="B140" s="119" t="s">
        <v>28</v>
      </c>
      <c r="C140" s="8"/>
      <c r="D140" s="8"/>
      <c r="E140" s="8"/>
      <c r="F140" s="8"/>
      <c r="G140" s="8"/>
      <c r="H140" s="8"/>
      <c r="I140" s="8"/>
      <c r="J140" s="8"/>
      <c r="K140" s="8"/>
      <c r="L140" s="8"/>
      <c r="M140" s="8"/>
      <c r="N140" s="8"/>
      <c r="O140" s="8"/>
      <c r="P140" s="52"/>
      <c r="Q140" s="8"/>
      <c r="R140" s="5"/>
    </row>
    <row r="141" spans="1:19" ht="15.6" x14ac:dyDescent="0.3">
      <c r="A141" s="24"/>
      <c r="B141" s="25" t="s">
        <v>55</v>
      </c>
      <c r="C141" s="25"/>
      <c r="D141" s="25"/>
      <c r="E141" s="25"/>
      <c r="F141" s="25"/>
      <c r="G141" s="25"/>
      <c r="H141" s="25"/>
      <c r="I141" s="25"/>
      <c r="J141" s="25"/>
      <c r="K141" s="25"/>
      <c r="L141" s="25"/>
      <c r="M141" s="25"/>
      <c r="N141" s="25"/>
      <c r="O141" s="25"/>
      <c r="P141" s="59" t="s">
        <v>137</v>
      </c>
      <c r="Q141" s="25"/>
      <c r="R141" s="5"/>
    </row>
    <row r="142" spans="1:19" ht="15.6" x14ac:dyDescent="0.3">
      <c r="A142" s="24"/>
      <c r="B142" s="25" t="s">
        <v>56</v>
      </c>
      <c r="C142" s="27"/>
      <c r="D142" s="27"/>
      <c r="E142" s="27"/>
      <c r="F142" s="27"/>
      <c r="G142" s="27"/>
      <c r="H142" s="27"/>
      <c r="I142" s="27"/>
      <c r="J142" s="27"/>
      <c r="K142" s="27"/>
      <c r="L142" s="27"/>
      <c r="M142" s="27"/>
      <c r="N142" s="27"/>
      <c r="O142" s="27"/>
      <c r="P142" s="59" t="s">
        <v>137</v>
      </c>
      <c r="Q142" s="25"/>
      <c r="R142" s="5"/>
    </row>
    <row r="143" spans="1:19" ht="15.6" x14ac:dyDescent="0.3">
      <c r="A143" s="24"/>
      <c r="B143" s="25" t="s">
        <v>57</v>
      </c>
      <c r="C143" s="25"/>
      <c r="D143" s="25"/>
      <c r="E143" s="25"/>
      <c r="F143" s="25"/>
      <c r="G143" s="25"/>
      <c r="H143" s="25"/>
      <c r="I143" s="25"/>
      <c r="J143" s="25"/>
      <c r="K143" s="25"/>
      <c r="L143" s="25"/>
      <c r="M143" s="25"/>
      <c r="N143" s="25"/>
      <c r="O143" s="25"/>
      <c r="P143" s="59" t="s">
        <v>137</v>
      </c>
      <c r="Q143" s="25"/>
      <c r="R143" s="5"/>
    </row>
    <row r="144" spans="1:19" ht="15.6" x14ac:dyDescent="0.3">
      <c r="A144" s="24"/>
      <c r="B144" s="25" t="s">
        <v>58</v>
      </c>
      <c r="C144" s="25"/>
      <c r="D144" s="25"/>
      <c r="E144" s="25"/>
      <c r="F144" s="25"/>
      <c r="G144" s="25"/>
      <c r="H144" s="25"/>
      <c r="I144" s="25"/>
      <c r="J144" s="25"/>
      <c r="K144" s="25"/>
      <c r="L144" s="25"/>
      <c r="M144" s="25"/>
      <c r="N144" s="25"/>
      <c r="O144" s="25"/>
      <c r="P144" s="59" t="s">
        <v>137</v>
      </c>
      <c r="Q144" s="25"/>
      <c r="R144" s="5"/>
    </row>
    <row r="145" spans="1:18" ht="15.6" x14ac:dyDescent="0.3">
      <c r="A145" s="24"/>
      <c r="B145" s="25"/>
      <c r="C145" s="25"/>
      <c r="D145" s="25"/>
      <c r="E145" s="25"/>
      <c r="F145" s="25"/>
      <c r="G145" s="25"/>
      <c r="H145" s="25"/>
      <c r="I145" s="25"/>
      <c r="J145" s="25"/>
      <c r="K145" s="25"/>
      <c r="L145" s="25"/>
      <c r="M145" s="25"/>
      <c r="N145" s="25"/>
      <c r="O145" s="25"/>
      <c r="P145" s="61"/>
      <c r="Q145" s="25"/>
      <c r="R145" s="5"/>
    </row>
    <row r="146" spans="1:18" ht="15.6" x14ac:dyDescent="0.3">
      <c r="A146" s="6"/>
      <c r="B146" s="119" t="s">
        <v>59</v>
      </c>
      <c r="C146" s="8"/>
      <c r="D146" s="8"/>
      <c r="E146" s="8"/>
      <c r="F146" s="8"/>
      <c r="G146" s="8"/>
      <c r="H146" s="8"/>
      <c r="I146" s="8"/>
      <c r="J146" s="8"/>
      <c r="K146" s="8"/>
      <c r="L146" s="8"/>
      <c r="M146" s="8"/>
      <c r="N146" s="8"/>
      <c r="O146" s="8"/>
      <c r="P146" s="63"/>
      <c r="Q146" s="8"/>
      <c r="R146" s="5"/>
    </row>
    <row r="147" spans="1:18" ht="15.6" x14ac:dyDescent="0.3">
      <c r="A147" s="24"/>
      <c r="B147" s="25" t="s">
        <v>60</v>
      </c>
      <c r="C147" s="25"/>
      <c r="D147" s="25"/>
      <c r="E147" s="25"/>
      <c r="F147" s="25"/>
      <c r="G147" s="25"/>
      <c r="H147" s="25"/>
      <c r="I147" s="25"/>
      <c r="J147" s="25"/>
      <c r="K147" s="25"/>
      <c r="L147" s="25"/>
      <c r="M147" s="25"/>
      <c r="N147" s="25"/>
      <c r="O147" s="25"/>
      <c r="P147" s="53">
        <v>0</v>
      </c>
      <c r="Q147" s="25"/>
      <c r="R147" s="5"/>
    </row>
    <row r="148" spans="1:18" ht="15.6" x14ac:dyDescent="0.3">
      <c r="A148" s="24"/>
      <c r="B148" s="25" t="s">
        <v>61</v>
      </c>
      <c r="C148" s="25"/>
      <c r="D148" s="25"/>
      <c r="E148" s="25"/>
      <c r="F148" s="25"/>
      <c r="G148" s="25"/>
      <c r="H148" s="25"/>
      <c r="I148" s="25"/>
      <c r="J148" s="25"/>
      <c r="K148" s="25"/>
      <c r="L148" s="25"/>
      <c r="M148" s="25"/>
      <c r="N148" s="25"/>
      <c r="O148" s="25"/>
      <c r="P148" s="53">
        <v>0</v>
      </c>
      <c r="Q148" s="25"/>
      <c r="R148" s="5"/>
    </row>
    <row r="149" spans="1:18" ht="15.6" x14ac:dyDescent="0.3">
      <c r="A149" s="24"/>
      <c r="B149" s="25" t="s">
        <v>62</v>
      </c>
      <c r="C149" s="25"/>
      <c r="D149" s="25"/>
      <c r="E149" s="25"/>
      <c r="F149" s="25"/>
      <c r="G149" s="25"/>
      <c r="H149" s="25"/>
      <c r="I149" s="25"/>
      <c r="J149" s="25"/>
      <c r="K149" s="25"/>
      <c r="L149" s="25"/>
      <c r="M149" s="25"/>
      <c r="N149" s="25"/>
      <c r="O149" s="25"/>
      <c r="P149" s="53">
        <f>P148+P147</f>
        <v>0</v>
      </c>
      <c r="Q149" s="25"/>
      <c r="R149" s="5"/>
    </row>
    <row r="150" spans="1:18" ht="15.6" x14ac:dyDescent="0.3">
      <c r="A150" s="24"/>
      <c r="B150" s="403" t="s">
        <v>297</v>
      </c>
      <c r="C150" s="25"/>
      <c r="D150" s="25"/>
      <c r="E150" s="25"/>
      <c r="F150" s="25"/>
      <c r="G150" s="25"/>
      <c r="H150" s="25"/>
      <c r="I150" s="25"/>
      <c r="J150" s="25"/>
      <c r="K150" s="25"/>
      <c r="L150" s="25"/>
      <c r="M150" s="25"/>
      <c r="N150" s="25"/>
      <c r="O150" s="25"/>
      <c r="P150" s="53">
        <f>P109</f>
        <v>0</v>
      </c>
      <c r="Q150" s="25"/>
      <c r="R150" s="5"/>
    </row>
    <row r="151" spans="1:18" ht="15.6" x14ac:dyDescent="0.3">
      <c r="A151" s="24"/>
      <c r="B151" s="25" t="s">
        <v>63</v>
      </c>
      <c r="C151" s="25"/>
      <c r="D151" s="25"/>
      <c r="E151" s="25"/>
      <c r="F151" s="25"/>
      <c r="G151" s="25"/>
      <c r="H151" s="25"/>
      <c r="I151" s="25"/>
      <c r="J151" s="25"/>
      <c r="K151" s="25"/>
      <c r="L151" s="25"/>
      <c r="M151" s="25"/>
      <c r="N151" s="25"/>
      <c r="O151" s="25"/>
      <c r="P151" s="53">
        <f>P149+P150</f>
        <v>0</v>
      </c>
      <c r="Q151" s="25"/>
      <c r="R151" s="5"/>
    </row>
    <row r="152" spans="1:18" ht="16.2" thickBot="1" x14ac:dyDescent="0.35">
      <c r="A152" s="24"/>
      <c r="B152" s="25"/>
      <c r="C152" s="25"/>
      <c r="D152" s="25"/>
      <c r="E152" s="25"/>
      <c r="F152" s="25"/>
      <c r="G152" s="25"/>
      <c r="H152" s="25"/>
      <c r="I152" s="25"/>
      <c r="J152" s="25"/>
      <c r="K152" s="25"/>
      <c r="L152" s="25"/>
      <c r="M152" s="25"/>
      <c r="N152" s="25"/>
      <c r="O152" s="25"/>
      <c r="P152" s="61"/>
      <c r="Q152" s="25"/>
      <c r="R152" s="5"/>
    </row>
    <row r="153" spans="1:18" ht="15.6" x14ac:dyDescent="0.3">
      <c r="A153" s="2"/>
      <c r="B153" s="4"/>
      <c r="C153" s="4"/>
      <c r="D153" s="4"/>
      <c r="E153" s="4"/>
      <c r="F153" s="4"/>
      <c r="G153" s="4"/>
      <c r="H153" s="4"/>
      <c r="I153" s="4"/>
      <c r="J153" s="4"/>
      <c r="K153" s="4"/>
      <c r="L153" s="4"/>
      <c r="M153" s="4"/>
      <c r="N153" s="4"/>
      <c r="O153" s="4"/>
      <c r="P153" s="50"/>
      <c r="Q153" s="4"/>
      <c r="R153" s="5"/>
    </row>
    <row r="154" spans="1:18" ht="15.6" x14ac:dyDescent="0.3">
      <c r="A154" s="6"/>
      <c r="B154" s="119" t="s">
        <v>64</v>
      </c>
      <c r="C154" s="8"/>
      <c r="D154" s="8"/>
      <c r="E154" s="8"/>
      <c r="F154" s="8"/>
      <c r="G154" s="8"/>
      <c r="H154" s="8"/>
      <c r="I154" s="8"/>
      <c r="J154" s="8"/>
      <c r="K154" s="8"/>
      <c r="L154" s="8"/>
      <c r="M154" s="8"/>
      <c r="N154" s="8"/>
      <c r="O154" s="8"/>
      <c r="P154" s="52"/>
      <c r="Q154" s="8"/>
      <c r="R154" s="5"/>
    </row>
    <row r="155" spans="1:18" ht="15.6" x14ac:dyDescent="0.3">
      <c r="A155" s="6"/>
      <c r="B155" s="21"/>
      <c r="C155" s="8"/>
      <c r="D155" s="8"/>
      <c r="E155" s="8"/>
      <c r="F155" s="8"/>
      <c r="G155" s="8"/>
      <c r="H155" s="8"/>
      <c r="I155" s="8"/>
      <c r="J155" s="8"/>
      <c r="K155" s="8"/>
      <c r="L155" s="8"/>
      <c r="M155" s="8"/>
      <c r="N155" s="8"/>
      <c r="O155" s="8"/>
      <c r="P155" s="52"/>
      <c r="Q155" s="8"/>
      <c r="R155" s="5"/>
    </row>
    <row r="156" spans="1:18" ht="15.6" x14ac:dyDescent="0.3">
      <c r="A156" s="24"/>
      <c r="B156" s="25" t="s">
        <v>221</v>
      </c>
      <c r="C156" s="25"/>
      <c r="D156" s="25"/>
      <c r="E156" s="25"/>
      <c r="F156" s="25"/>
      <c r="G156" s="25"/>
      <c r="H156" s="25"/>
      <c r="I156" s="25"/>
      <c r="J156" s="25"/>
      <c r="K156" s="25"/>
      <c r="L156" s="25"/>
      <c r="M156" s="25"/>
      <c r="N156" s="25"/>
      <c r="O156" s="25"/>
      <c r="P156" s="53">
        <f>P72</f>
        <v>864542</v>
      </c>
      <c r="Q156" s="25"/>
      <c r="R156" s="5"/>
    </row>
    <row r="157" spans="1:18" ht="15.6" x14ac:dyDescent="0.3">
      <c r="A157" s="24"/>
      <c r="B157" s="25" t="s">
        <v>65</v>
      </c>
      <c r="C157" s="25"/>
      <c r="D157" s="25"/>
      <c r="E157" s="25"/>
      <c r="F157" s="25"/>
      <c r="G157" s="25"/>
      <c r="H157" s="25"/>
      <c r="I157" s="25"/>
      <c r="J157" s="25"/>
      <c r="K157" s="25"/>
      <c r="L157" s="25"/>
      <c r="M157" s="25"/>
      <c r="N157" s="25"/>
      <c r="O157" s="25"/>
      <c r="P157" s="53">
        <f>P85</f>
        <v>864542</v>
      </c>
      <c r="Q157" s="25"/>
      <c r="R157" s="5"/>
    </row>
    <row r="158" spans="1:18" ht="16.2" thickBot="1" x14ac:dyDescent="0.35">
      <c r="A158" s="24"/>
      <c r="B158" s="25"/>
      <c r="C158" s="25"/>
      <c r="D158" s="25"/>
      <c r="E158" s="25"/>
      <c r="F158" s="25"/>
      <c r="G158" s="25"/>
      <c r="H158" s="25"/>
      <c r="I158" s="25"/>
      <c r="J158" s="25"/>
      <c r="K158" s="25"/>
      <c r="L158" s="25"/>
      <c r="M158" s="25"/>
      <c r="N158" s="25"/>
      <c r="O158" s="25"/>
      <c r="P158" s="61"/>
      <c r="Q158" s="25"/>
      <c r="R158" s="5"/>
    </row>
    <row r="159" spans="1:18" ht="15.6" x14ac:dyDescent="0.3">
      <c r="A159" s="2"/>
      <c r="B159" s="4"/>
      <c r="C159" s="4"/>
      <c r="D159" s="4"/>
      <c r="E159" s="4"/>
      <c r="F159" s="4"/>
      <c r="G159" s="4"/>
      <c r="H159" s="4"/>
      <c r="I159" s="4"/>
      <c r="J159" s="4"/>
      <c r="K159" s="4"/>
      <c r="L159" s="4"/>
      <c r="M159" s="4"/>
      <c r="N159" s="4"/>
      <c r="O159" s="4"/>
      <c r="P159" s="50"/>
      <c r="Q159" s="4"/>
      <c r="R159" s="5"/>
    </row>
    <row r="160" spans="1:18" ht="15.6" x14ac:dyDescent="0.3">
      <c r="A160" s="6"/>
      <c r="B160" s="119" t="s">
        <v>66</v>
      </c>
      <c r="C160" s="117"/>
      <c r="D160" s="117"/>
      <c r="E160" s="117"/>
      <c r="F160" s="120"/>
      <c r="G160" s="120"/>
      <c r="H160" s="120"/>
      <c r="I160" s="120"/>
      <c r="J160" s="120"/>
      <c r="K160" s="120"/>
      <c r="L160" s="120"/>
      <c r="M160" s="120" t="s">
        <v>112</v>
      </c>
      <c r="N160" s="120" t="s">
        <v>120</v>
      </c>
      <c r="O160" s="111"/>
      <c r="P160" s="121" t="s">
        <v>129</v>
      </c>
      <c r="Q160" s="10"/>
      <c r="R160" s="5"/>
    </row>
    <row r="161" spans="1:18" ht="15.6" x14ac:dyDescent="0.3">
      <c r="A161" s="24"/>
      <c r="B161" s="25" t="s">
        <v>67</v>
      </c>
      <c r="C161" s="25"/>
      <c r="D161" s="25"/>
      <c r="E161" s="25"/>
      <c r="F161" s="25"/>
      <c r="G161" s="25"/>
      <c r="H161" s="25"/>
      <c r="I161" s="25"/>
      <c r="J161" s="25"/>
      <c r="K161" s="25"/>
      <c r="L161" s="25"/>
      <c r="M161" s="53">
        <v>144000</v>
      </c>
      <c r="N161" s="40">
        <v>0</v>
      </c>
      <c r="O161" s="25"/>
      <c r="P161" s="53"/>
      <c r="Q161" s="25"/>
      <c r="R161" s="5"/>
    </row>
    <row r="162" spans="1:18" ht="15.6" x14ac:dyDescent="0.3">
      <c r="A162" s="24"/>
      <c r="B162" s="25" t="s">
        <v>68</v>
      </c>
      <c r="C162" s="25"/>
      <c r="D162" s="25"/>
      <c r="E162" s="25"/>
      <c r="F162" s="25"/>
      <c r="G162" s="25"/>
      <c r="H162" s="25"/>
      <c r="I162" s="25"/>
      <c r="J162" s="25"/>
      <c r="K162" s="25"/>
      <c r="L162" s="25"/>
      <c r="M162" s="53">
        <v>0</v>
      </c>
      <c r="N162" s="53">
        <v>0</v>
      </c>
      <c r="O162" s="25"/>
      <c r="P162" s="53">
        <f>M162+N162</f>
        <v>0</v>
      </c>
      <c r="Q162" s="25"/>
      <c r="R162" s="5"/>
    </row>
    <row r="163" spans="1:18" ht="15.6" x14ac:dyDescent="0.3">
      <c r="A163" s="24"/>
      <c r="B163" s="25" t="s">
        <v>69</v>
      </c>
      <c r="C163" s="25"/>
      <c r="D163" s="25"/>
      <c r="E163" s="25"/>
      <c r="F163" s="25"/>
      <c r="G163" s="25"/>
      <c r="H163" s="25"/>
      <c r="I163" s="25"/>
      <c r="J163" s="25"/>
      <c r="K163" s="25"/>
      <c r="L163" s="25"/>
      <c r="M163" s="34">
        <v>11370</v>
      </c>
      <c r="N163" s="34">
        <v>5423</v>
      </c>
      <c r="O163" s="25"/>
      <c r="P163" s="53">
        <f>M163+N163</f>
        <v>16793</v>
      </c>
      <c r="Q163" s="25"/>
      <c r="R163" s="5"/>
    </row>
    <row r="164" spans="1:18" ht="15.6" x14ac:dyDescent="0.3">
      <c r="A164" s="24"/>
      <c r="B164" s="25" t="s">
        <v>70</v>
      </c>
      <c r="C164" s="25"/>
      <c r="D164" s="25"/>
      <c r="E164" s="25"/>
      <c r="F164" s="25"/>
      <c r="G164" s="25"/>
      <c r="H164" s="25"/>
      <c r="I164" s="25"/>
      <c r="J164" s="25"/>
      <c r="K164" s="25"/>
      <c r="L164" s="25"/>
      <c r="M164" s="53">
        <f>M162+M163</f>
        <v>11370</v>
      </c>
      <c r="N164" s="53">
        <f>N163+N162</f>
        <v>5423</v>
      </c>
      <c r="O164" s="25"/>
      <c r="P164" s="53">
        <f>M164+N164</f>
        <v>16793</v>
      </c>
      <c r="Q164" s="25"/>
      <c r="R164" s="5"/>
    </row>
    <row r="165" spans="1:18" ht="15.6" x14ac:dyDescent="0.3">
      <c r="A165" s="24"/>
      <c r="B165" s="25" t="s">
        <v>71</v>
      </c>
      <c r="C165" s="25"/>
      <c r="D165" s="25"/>
      <c r="E165" s="25"/>
      <c r="F165" s="25"/>
      <c r="G165" s="25"/>
      <c r="H165" s="25"/>
      <c r="I165" s="25"/>
      <c r="J165" s="25"/>
      <c r="K165" s="25"/>
      <c r="L165" s="25"/>
      <c r="M165" s="53">
        <f>M161-M164-N164</f>
        <v>127207</v>
      </c>
      <c r="N165" s="40"/>
      <c r="O165" s="25"/>
      <c r="P165" s="53"/>
      <c r="Q165" s="25"/>
      <c r="R165" s="5"/>
    </row>
    <row r="166" spans="1:18" ht="16.2" thickBot="1" x14ac:dyDescent="0.35">
      <c r="A166" s="24"/>
      <c r="B166" s="25"/>
      <c r="C166" s="25"/>
      <c r="D166" s="25"/>
      <c r="E166" s="25"/>
      <c r="F166" s="25"/>
      <c r="G166" s="25"/>
      <c r="H166" s="25"/>
      <c r="I166" s="25"/>
      <c r="J166" s="25"/>
      <c r="K166" s="25"/>
      <c r="L166" s="25"/>
      <c r="M166" s="25"/>
      <c r="N166" s="25"/>
      <c r="O166" s="25"/>
      <c r="P166" s="61"/>
      <c r="Q166" s="25"/>
      <c r="R166" s="5"/>
    </row>
    <row r="167" spans="1:18" ht="15.6" x14ac:dyDescent="0.3">
      <c r="A167" s="2"/>
      <c r="B167" s="4"/>
      <c r="C167" s="4"/>
      <c r="D167" s="4"/>
      <c r="E167" s="4"/>
      <c r="F167" s="4"/>
      <c r="G167" s="4"/>
      <c r="H167" s="4"/>
      <c r="I167" s="4"/>
      <c r="J167" s="4"/>
      <c r="K167" s="4"/>
      <c r="L167" s="4"/>
      <c r="M167" s="4"/>
      <c r="N167" s="4"/>
      <c r="O167" s="4"/>
      <c r="P167" s="50"/>
      <c r="Q167" s="4"/>
      <c r="R167" s="5"/>
    </row>
    <row r="168" spans="1:18" ht="15.6" x14ac:dyDescent="0.3">
      <c r="A168" s="6"/>
      <c r="B168" s="119" t="s">
        <v>72</v>
      </c>
      <c r="C168" s="8"/>
      <c r="D168" s="8"/>
      <c r="E168" s="8"/>
      <c r="F168" s="8"/>
      <c r="G168" s="8"/>
      <c r="H168" s="8"/>
      <c r="I168" s="8"/>
      <c r="J168" s="8"/>
      <c r="K168" s="8"/>
      <c r="L168" s="8"/>
      <c r="M168" s="8"/>
      <c r="N168" s="8"/>
      <c r="O168" s="8"/>
      <c r="P168" s="65"/>
      <c r="Q168" s="8"/>
      <c r="R168" s="5"/>
    </row>
    <row r="169" spans="1:18" ht="15.6" x14ac:dyDescent="0.3">
      <c r="A169" s="24"/>
      <c r="B169" s="25" t="s">
        <v>73</v>
      </c>
      <c r="C169" s="25"/>
      <c r="D169" s="25"/>
      <c r="E169" s="25"/>
      <c r="F169" s="25"/>
      <c r="G169" s="25"/>
      <c r="H169" s="25"/>
      <c r="I169" s="25"/>
      <c r="J169" s="25"/>
      <c r="K169" s="25"/>
      <c r="L169" s="25"/>
      <c r="M169" s="25"/>
      <c r="N169" s="25"/>
      <c r="O169" s="25"/>
      <c r="P169" s="66">
        <f>(P96+P98+P99+P100+P101)/-(P102+P103+P104)</f>
        <v>1.1844287469287469</v>
      </c>
      <c r="Q169" s="25" t="s">
        <v>130</v>
      </c>
      <c r="R169" s="5"/>
    </row>
    <row r="170" spans="1:18" ht="15.6" x14ac:dyDescent="0.3">
      <c r="A170" s="24"/>
      <c r="B170" s="25" t="s">
        <v>74</v>
      </c>
      <c r="C170" s="25"/>
      <c r="D170" s="25"/>
      <c r="E170" s="25"/>
      <c r="F170" s="25"/>
      <c r="G170" s="25"/>
      <c r="H170" s="25"/>
      <c r="I170" s="25"/>
      <c r="J170" s="25"/>
      <c r="K170" s="25"/>
      <c r="L170" s="25"/>
      <c r="M170" s="25"/>
      <c r="N170" s="25"/>
      <c r="O170" s="25"/>
      <c r="P170" s="66">
        <v>1.18</v>
      </c>
      <c r="Q170" s="25" t="s">
        <v>130</v>
      </c>
      <c r="R170" s="5"/>
    </row>
    <row r="171" spans="1:18" ht="15.6" x14ac:dyDescent="0.3">
      <c r="A171" s="24"/>
      <c r="B171" s="25" t="s">
        <v>75</v>
      </c>
      <c r="C171" s="25"/>
      <c r="D171" s="25"/>
      <c r="E171" s="25"/>
      <c r="F171" s="25"/>
      <c r="G171" s="25"/>
      <c r="H171" s="25"/>
      <c r="I171" s="25"/>
      <c r="J171" s="25"/>
      <c r="K171" s="25"/>
      <c r="L171" s="25"/>
      <c r="M171" s="25"/>
      <c r="N171" s="25"/>
      <c r="O171" s="25"/>
      <c r="P171" s="59">
        <f>(P96+P98+P99+P100+P101+P102+P103+P104)/-(P105+P106)</f>
        <v>1.4694127243066883</v>
      </c>
      <c r="Q171" s="25" t="s">
        <v>130</v>
      </c>
      <c r="R171" s="5"/>
    </row>
    <row r="172" spans="1:18" ht="15.6" x14ac:dyDescent="0.3">
      <c r="A172" s="24"/>
      <c r="B172" s="25" t="s">
        <v>76</v>
      </c>
      <c r="C172" s="25"/>
      <c r="D172" s="25"/>
      <c r="E172" s="25"/>
      <c r="F172" s="25"/>
      <c r="G172" s="25"/>
      <c r="H172" s="25"/>
      <c r="I172" s="25"/>
      <c r="J172" s="25"/>
      <c r="K172" s="25"/>
      <c r="L172" s="25"/>
      <c r="M172" s="25"/>
      <c r="N172" s="25"/>
      <c r="O172" s="25"/>
      <c r="P172" s="66">
        <v>1.47</v>
      </c>
      <c r="Q172" s="25" t="s">
        <v>130</v>
      </c>
      <c r="R172" s="5"/>
    </row>
    <row r="173" spans="1:18" ht="15.6" x14ac:dyDescent="0.3">
      <c r="A173" s="24"/>
      <c r="B173" s="25"/>
      <c r="C173" s="25"/>
      <c r="D173" s="25"/>
      <c r="E173" s="25"/>
      <c r="F173" s="25"/>
      <c r="G173" s="25"/>
      <c r="H173" s="25"/>
      <c r="I173" s="25"/>
      <c r="J173" s="25"/>
      <c r="K173" s="25"/>
      <c r="L173" s="25"/>
      <c r="M173" s="25"/>
      <c r="N173" s="25"/>
      <c r="O173" s="25"/>
      <c r="P173" s="25"/>
      <c r="Q173" s="25"/>
      <c r="R173" s="5"/>
    </row>
    <row r="174" spans="1:18" ht="15.6" x14ac:dyDescent="0.3">
      <c r="A174" s="24"/>
      <c r="B174" s="25"/>
      <c r="C174" s="25"/>
      <c r="D174" s="25"/>
      <c r="E174" s="25"/>
      <c r="F174" s="25"/>
      <c r="G174" s="25"/>
      <c r="H174" s="25"/>
      <c r="I174" s="25"/>
      <c r="J174" s="25"/>
      <c r="K174" s="25"/>
      <c r="L174" s="25"/>
      <c r="M174" s="25"/>
      <c r="N174" s="25"/>
      <c r="O174" s="25"/>
      <c r="P174" s="25"/>
      <c r="Q174" s="25"/>
      <c r="R174" s="5"/>
    </row>
    <row r="175" spans="1:18" ht="15.6" x14ac:dyDescent="0.3">
      <c r="A175" s="6"/>
      <c r="B175" s="8"/>
      <c r="C175" s="8"/>
      <c r="D175" s="8"/>
      <c r="E175" s="8"/>
      <c r="F175" s="8"/>
      <c r="G175" s="8"/>
      <c r="H175" s="8"/>
      <c r="I175" s="8"/>
      <c r="J175" s="8"/>
      <c r="K175" s="8"/>
      <c r="L175" s="8"/>
      <c r="M175" s="8"/>
      <c r="N175" s="8"/>
      <c r="O175" s="8"/>
      <c r="P175" s="8"/>
      <c r="Q175" s="8"/>
      <c r="R175" s="5"/>
    </row>
    <row r="176" spans="1:18" ht="18" thickBot="1" x14ac:dyDescent="0.35">
      <c r="A176" s="101"/>
      <c r="B176" s="102" t="str">
        <f>B126</f>
        <v>PM7 INVESTOR REPORT QUARTER ENDING OCTOBER 2004</v>
      </c>
      <c r="C176" s="107"/>
      <c r="D176" s="107"/>
      <c r="E176" s="107"/>
      <c r="F176" s="107"/>
      <c r="G176" s="107"/>
      <c r="H176" s="107"/>
      <c r="I176" s="107"/>
      <c r="J176" s="107"/>
      <c r="K176" s="107"/>
      <c r="L176" s="107"/>
      <c r="M176" s="107"/>
      <c r="N176" s="107"/>
      <c r="O176" s="107"/>
      <c r="P176" s="107"/>
      <c r="Q176" s="108"/>
      <c r="R176" s="5"/>
    </row>
    <row r="177" spans="1:18" ht="15.6" x14ac:dyDescent="0.3">
      <c r="A177" s="67"/>
      <c r="B177" s="60" t="s">
        <v>77</v>
      </c>
      <c r="C177" s="68"/>
      <c r="D177" s="68"/>
      <c r="E177" s="69"/>
      <c r="F177" s="69"/>
      <c r="G177" s="69"/>
      <c r="H177" s="69"/>
      <c r="I177" s="69"/>
      <c r="J177" s="69"/>
      <c r="K177" s="69"/>
      <c r="L177" s="69"/>
      <c r="M177" s="69"/>
      <c r="N177" s="70">
        <f>H90</f>
        <v>38289</v>
      </c>
      <c r="O177" s="4"/>
      <c r="P177" s="4"/>
      <c r="Q177" s="4"/>
      <c r="R177" s="5"/>
    </row>
    <row r="178" spans="1:18" ht="15.6" x14ac:dyDescent="0.3">
      <c r="A178" s="71"/>
      <c r="B178" s="72"/>
      <c r="C178" s="73"/>
      <c r="D178" s="73"/>
      <c r="E178" s="74"/>
      <c r="F178" s="74"/>
      <c r="G178" s="74"/>
      <c r="H178" s="74"/>
      <c r="I178" s="74"/>
      <c r="J178" s="74"/>
      <c r="K178" s="74"/>
      <c r="L178" s="74"/>
      <c r="M178" s="74"/>
      <c r="N178" s="74"/>
      <c r="O178" s="8"/>
      <c r="P178" s="8"/>
      <c r="Q178" s="8"/>
      <c r="R178" s="5"/>
    </row>
    <row r="179" spans="1:18" ht="15.6" x14ac:dyDescent="0.3">
      <c r="A179" s="75"/>
      <c r="B179" s="76" t="s">
        <v>78</v>
      </c>
      <c r="C179" s="77"/>
      <c r="D179" s="77"/>
      <c r="E179" s="64"/>
      <c r="F179" s="64"/>
      <c r="G179" s="64"/>
      <c r="H179" s="64"/>
      <c r="I179" s="64"/>
      <c r="J179" s="64"/>
      <c r="K179" s="64"/>
      <c r="L179" s="64"/>
      <c r="M179" s="64"/>
      <c r="N179" s="78">
        <v>5.8069999999999997E-2</v>
      </c>
      <c r="O179" s="25"/>
      <c r="P179" s="25"/>
      <c r="Q179" s="25"/>
      <c r="R179" s="5"/>
    </row>
    <row r="180" spans="1:18" ht="15.6" x14ac:dyDescent="0.3">
      <c r="A180" s="75"/>
      <c r="B180" s="76" t="s">
        <v>219</v>
      </c>
      <c r="C180" s="77"/>
      <c r="D180" s="77"/>
      <c r="E180" s="64"/>
      <c r="F180" s="64"/>
      <c r="G180" s="64"/>
      <c r="H180" s="64"/>
      <c r="I180" s="64"/>
      <c r="J180" s="64"/>
      <c r="K180" s="64"/>
      <c r="L180" s="64"/>
      <c r="M180" s="64"/>
      <c r="N180" s="39">
        <f>+P44</f>
        <v>5.1540332741201282E-2</v>
      </c>
      <c r="O180" s="25"/>
      <c r="P180" s="25"/>
      <c r="Q180" s="25"/>
      <c r="R180" s="5"/>
    </row>
    <row r="181" spans="1:18" ht="15.6" x14ac:dyDescent="0.3">
      <c r="A181" s="75"/>
      <c r="B181" s="76" t="s">
        <v>79</v>
      </c>
      <c r="C181" s="77"/>
      <c r="D181" s="77"/>
      <c r="E181" s="64"/>
      <c r="F181" s="64"/>
      <c r="G181" s="64"/>
      <c r="H181" s="64"/>
      <c r="I181" s="64"/>
      <c r="J181" s="64"/>
      <c r="K181" s="64"/>
      <c r="L181" s="64"/>
      <c r="M181" s="64"/>
      <c r="N181" s="78">
        <f>N179-N180</f>
        <v>6.5296672587987145E-3</v>
      </c>
      <c r="O181" s="25"/>
      <c r="P181" s="25"/>
      <c r="Q181" s="25"/>
      <c r="R181" s="5"/>
    </row>
    <row r="182" spans="1:18" ht="15.6" x14ac:dyDescent="0.3">
      <c r="A182" s="75"/>
      <c r="B182" s="76" t="s">
        <v>80</v>
      </c>
      <c r="C182" s="77"/>
      <c r="D182" s="77"/>
      <c r="E182" s="64"/>
      <c r="F182" s="64"/>
      <c r="G182" s="64"/>
      <c r="H182" s="64"/>
      <c r="I182" s="64"/>
      <c r="J182" s="64"/>
      <c r="K182" s="64"/>
      <c r="L182" s="64"/>
      <c r="M182" s="64"/>
      <c r="N182" s="78">
        <v>6.3E-2</v>
      </c>
      <c r="O182" s="25"/>
      <c r="P182" s="25"/>
      <c r="Q182" s="25"/>
      <c r="R182" s="5"/>
    </row>
    <row r="183" spans="1:18" ht="15.6" x14ac:dyDescent="0.3">
      <c r="A183" s="75"/>
      <c r="B183" s="76" t="s">
        <v>241</v>
      </c>
      <c r="C183" s="77"/>
      <c r="D183" s="77"/>
      <c r="E183" s="64"/>
      <c r="F183" s="64"/>
      <c r="G183" s="64"/>
      <c r="H183" s="64"/>
      <c r="I183" s="64"/>
      <c r="J183" s="64"/>
      <c r="K183" s="64"/>
      <c r="L183" s="64"/>
      <c r="M183" s="64"/>
      <c r="N183" s="78">
        <f>+P44</f>
        <v>5.1540332741201282E-2</v>
      </c>
      <c r="O183" s="25"/>
      <c r="P183" s="25"/>
      <c r="Q183" s="25"/>
      <c r="R183" s="5"/>
    </row>
    <row r="184" spans="1:18" ht="15.6" x14ac:dyDescent="0.3">
      <c r="A184" s="75"/>
      <c r="B184" s="76" t="s">
        <v>81</v>
      </c>
      <c r="C184" s="77"/>
      <c r="D184" s="77"/>
      <c r="E184" s="64"/>
      <c r="F184" s="64"/>
      <c r="G184" s="64"/>
      <c r="H184" s="64"/>
      <c r="I184" s="64"/>
      <c r="J184" s="64"/>
      <c r="K184" s="64"/>
      <c r="L184" s="64"/>
      <c r="M184" s="64"/>
      <c r="N184" s="78">
        <f>N182-N183</f>
        <v>1.1459667258798718E-2</v>
      </c>
      <c r="O184" s="25"/>
      <c r="P184" s="25"/>
      <c r="Q184" s="25"/>
      <c r="R184" s="5"/>
    </row>
    <row r="185" spans="1:18" ht="15.6" x14ac:dyDescent="0.3">
      <c r="A185" s="75"/>
      <c r="B185" s="76" t="s">
        <v>257</v>
      </c>
      <c r="C185" s="77"/>
      <c r="D185" s="77"/>
      <c r="E185" s="64"/>
      <c r="F185" s="64"/>
      <c r="G185" s="64"/>
      <c r="H185" s="64"/>
      <c r="I185" s="64"/>
      <c r="J185" s="64"/>
      <c r="K185" s="64"/>
      <c r="L185" s="64"/>
      <c r="M185" s="64"/>
      <c r="N185" s="78">
        <f>(+P96+P98)/F85</f>
        <v>2.6417231042522481E-2</v>
      </c>
      <c r="O185" s="25"/>
      <c r="P185" s="25"/>
      <c r="Q185" s="25"/>
      <c r="R185" s="5"/>
    </row>
    <row r="186" spans="1:18" ht="15.6" x14ac:dyDescent="0.3">
      <c r="A186" s="75"/>
      <c r="B186" s="76" t="s">
        <v>170</v>
      </c>
      <c r="C186" s="77"/>
      <c r="D186" s="77"/>
      <c r="E186" s="64"/>
      <c r="F186" s="64"/>
      <c r="G186" s="64"/>
      <c r="H186" s="64"/>
      <c r="I186" s="64"/>
      <c r="J186" s="64"/>
      <c r="K186" s="64"/>
      <c r="L186" s="64"/>
      <c r="M186" s="64"/>
      <c r="N186" s="133">
        <v>49065</v>
      </c>
      <c r="O186" s="25"/>
      <c r="P186" s="25"/>
      <c r="Q186" s="25"/>
      <c r="R186" s="5"/>
    </row>
    <row r="187" spans="1:18" ht="15.6" x14ac:dyDescent="0.3">
      <c r="A187" s="75"/>
      <c r="B187" s="76" t="s">
        <v>171</v>
      </c>
      <c r="C187" s="77"/>
      <c r="D187" s="77"/>
      <c r="E187" s="64"/>
      <c r="F187" s="64"/>
      <c r="G187" s="64"/>
      <c r="H187" s="64"/>
      <c r="I187" s="64"/>
      <c r="J187" s="64"/>
      <c r="K187" s="64"/>
      <c r="L187" s="64"/>
      <c r="M187" s="64"/>
      <c r="N187" s="133">
        <v>49065</v>
      </c>
      <c r="O187" s="25"/>
      <c r="P187" s="25"/>
      <c r="Q187" s="25"/>
      <c r="R187" s="5"/>
    </row>
    <row r="188" spans="1:18" ht="15.6" x14ac:dyDescent="0.3">
      <c r="A188" s="75"/>
      <c r="B188" s="76" t="s">
        <v>172</v>
      </c>
      <c r="C188" s="77"/>
      <c r="D188" s="77"/>
      <c r="E188" s="64"/>
      <c r="F188" s="64"/>
      <c r="G188" s="64"/>
      <c r="H188" s="64"/>
      <c r="I188" s="64"/>
      <c r="J188" s="64"/>
      <c r="K188" s="64"/>
      <c r="L188" s="64"/>
      <c r="M188" s="64"/>
      <c r="N188" s="133">
        <v>49065</v>
      </c>
      <c r="O188" s="25"/>
      <c r="P188" s="25"/>
      <c r="Q188" s="25"/>
      <c r="R188" s="5"/>
    </row>
    <row r="189" spans="1:18" ht="15.6" x14ac:dyDescent="0.3">
      <c r="A189" s="75"/>
      <c r="B189" s="76" t="s">
        <v>138</v>
      </c>
      <c r="C189" s="77"/>
      <c r="D189" s="77"/>
      <c r="E189" s="64"/>
      <c r="F189" s="64"/>
      <c r="G189" s="64"/>
      <c r="H189" s="64"/>
      <c r="I189" s="64"/>
      <c r="J189" s="64"/>
      <c r="K189" s="64"/>
      <c r="L189" s="64"/>
      <c r="M189" s="64"/>
      <c r="N189" s="133">
        <v>52352</v>
      </c>
      <c r="O189" s="25"/>
      <c r="P189" s="25"/>
      <c r="Q189" s="25"/>
      <c r="R189" s="5"/>
    </row>
    <row r="190" spans="1:18" ht="15.6" x14ac:dyDescent="0.3">
      <c r="A190" s="75"/>
      <c r="B190" s="76" t="s">
        <v>139</v>
      </c>
      <c r="C190" s="77"/>
      <c r="D190" s="77"/>
      <c r="E190" s="64"/>
      <c r="F190" s="64"/>
      <c r="G190" s="64"/>
      <c r="H190" s="64"/>
      <c r="I190" s="64"/>
      <c r="J190" s="64"/>
      <c r="K190" s="64"/>
      <c r="L190" s="64"/>
      <c r="M190" s="64"/>
      <c r="N190" s="133">
        <v>52352</v>
      </c>
      <c r="O190" s="25"/>
      <c r="P190" s="25"/>
      <c r="Q190" s="25"/>
      <c r="R190" s="5"/>
    </row>
    <row r="191" spans="1:18" ht="15.6" x14ac:dyDescent="0.3">
      <c r="A191" s="75"/>
      <c r="B191" s="76" t="s">
        <v>82</v>
      </c>
      <c r="C191" s="77"/>
      <c r="D191" s="77"/>
      <c r="E191" s="64"/>
      <c r="F191" s="64"/>
      <c r="G191" s="64"/>
      <c r="H191" s="64"/>
      <c r="I191" s="64"/>
      <c r="J191" s="64"/>
      <c r="K191" s="64"/>
      <c r="L191" s="64"/>
      <c r="M191" s="64"/>
      <c r="N191" s="137">
        <v>20.45</v>
      </c>
      <c r="O191" s="25" t="s">
        <v>125</v>
      </c>
      <c r="P191" s="25"/>
      <c r="Q191" s="25"/>
      <c r="R191" s="5"/>
    </row>
    <row r="192" spans="1:18" ht="15.6" x14ac:dyDescent="0.3">
      <c r="A192" s="75"/>
      <c r="B192" s="76" t="s">
        <v>83</v>
      </c>
      <c r="C192" s="77"/>
      <c r="D192" s="77"/>
      <c r="E192" s="64"/>
      <c r="F192" s="64"/>
      <c r="G192" s="64"/>
      <c r="H192" s="64"/>
      <c r="I192" s="64"/>
      <c r="J192" s="64"/>
      <c r="K192" s="64"/>
      <c r="L192" s="64"/>
      <c r="M192" s="64"/>
      <c r="N192" s="137">
        <v>20.78</v>
      </c>
      <c r="O192" s="25" t="s">
        <v>125</v>
      </c>
      <c r="P192" s="25"/>
      <c r="Q192" s="25"/>
      <c r="R192" s="5"/>
    </row>
    <row r="193" spans="1:18" ht="15.6" x14ac:dyDescent="0.3">
      <c r="A193" s="75"/>
      <c r="B193" s="76" t="s">
        <v>84</v>
      </c>
      <c r="C193" s="77"/>
      <c r="D193" s="77"/>
      <c r="E193" s="64"/>
      <c r="F193" s="64"/>
      <c r="G193" s="64"/>
      <c r="H193" s="64"/>
      <c r="I193" s="64"/>
      <c r="J193" s="64"/>
      <c r="K193" s="64"/>
      <c r="L193" s="64"/>
      <c r="M193" s="64"/>
      <c r="N193" s="78">
        <f>+J72/F72</f>
        <v>7.6383327226567765E-2</v>
      </c>
      <c r="O193" s="25"/>
      <c r="P193" s="25"/>
      <c r="Q193" s="25"/>
      <c r="R193" s="5"/>
    </row>
    <row r="194" spans="1:18" ht="15.6" x14ac:dyDescent="0.3">
      <c r="A194" s="75"/>
      <c r="B194" s="76" t="s">
        <v>85</v>
      </c>
      <c r="C194" s="77"/>
      <c r="D194" s="77"/>
      <c r="E194" s="64"/>
      <c r="F194" s="64"/>
      <c r="G194" s="64"/>
      <c r="H194" s="64"/>
      <c r="I194" s="64"/>
      <c r="J194" s="64"/>
      <c r="K194" s="64"/>
      <c r="L194" s="64"/>
      <c r="M194" s="64"/>
      <c r="N194" s="78">
        <v>0.16639999999999999</v>
      </c>
      <c r="O194" s="25"/>
      <c r="P194" s="25"/>
      <c r="Q194" s="25"/>
      <c r="R194" s="5"/>
    </row>
    <row r="195" spans="1:18" ht="15.6" x14ac:dyDescent="0.3">
      <c r="A195" s="75"/>
      <c r="B195" s="76"/>
      <c r="C195" s="76"/>
      <c r="D195" s="76"/>
      <c r="E195" s="25"/>
      <c r="F195" s="25"/>
      <c r="G195" s="25"/>
      <c r="H195" s="25"/>
      <c r="I195" s="25"/>
      <c r="J195" s="25"/>
      <c r="K195" s="25"/>
      <c r="L195" s="25"/>
      <c r="M195" s="25"/>
      <c r="N195" s="61"/>
      <c r="O195" s="25"/>
      <c r="P195" s="79"/>
      <c r="Q195" s="25"/>
      <c r="R195" s="5"/>
    </row>
    <row r="196" spans="1:18" ht="15.6" x14ac:dyDescent="0.3">
      <c r="A196" s="80"/>
      <c r="B196" s="14" t="s">
        <v>86</v>
      </c>
      <c r="C196" s="81"/>
      <c r="D196" s="82"/>
      <c r="E196" s="81"/>
      <c r="F196" s="17"/>
      <c r="G196" s="17"/>
      <c r="H196" s="17"/>
      <c r="I196" s="17"/>
      <c r="J196" s="17"/>
      <c r="K196" s="17"/>
      <c r="L196" s="17"/>
      <c r="M196" s="17" t="s">
        <v>113</v>
      </c>
      <c r="N196" s="83" t="s">
        <v>121</v>
      </c>
      <c r="O196" s="8"/>
      <c r="P196" s="8"/>
      <c r="Q196" s="8"/>
      <c r="R196" s="5"/>
    </row>
    <row r="197" spans="1:18" ht="15.6" x14ac:dyDescent="0.3">
      <c r="A197" s="84"/>
      <c r="B197" s="76" t="s">
        <v>87</v>
      </c>
      <c r="C197" s="54"/>
      <c r="D197" s="25"/>
      <c r="E197" s="25"/>
      <c r="F197" s="30"/>
      <c r="G197" s="30"/>
      <c r="H197" s="30"/>
      <c r="I197" s="30"/>
      <c r="J197" s="30"/>
      <c r="K197" s="30"/>
      <c r="L197" s="30"/>
      <c r="M197" s="30">
        <v>24</v>
      </c>
      <c r="N197" s="85">
        <v>1454</v>
      </c>
      <c r="O197" s="25"/>
      <c r="P197" s="79"/>
      <c r="Q197" s="86"/>
      <c r="R197" s="5"/>
    </row>
    <row r="198" spans="1:18" ht="15.6" x14ac:dyDescent="0.3">
      <c r="A198" s="84"/>
      <c r="B198" s="76" t="s">
        <v>203</v>
      </c>
      <c r="C198" s="54"/>
      <c r="D198" s="25"/>
      <c r="E198" s="25"/>
      <c r="F198" s="30"/>
      <c r="G198" s="30"/>
      <c r="H198" s="30"/>
      <c r="I198" s="30"/>
      <c r="J198" s="30"/>
      <c r="K198" s="30"/>
      <c r="L198" s="30"/>
      <c r="M198" s="30">
        <v>56</v>
      </c>
      <c r="N198" s="85">
        <v>5996</v>
      </c>
      <c r="O198" s="25"/>
      <c r="P198" s="79"/>
      <c r="Q198" s="86"/>
      <c r="R198" s="5"/>
    </row>
    <row r="199" spans="1:18" ht="15.6" x14ac:dyDescent="0.3">
      <c r="A199" s="84"/>
      <c r="B199" s="76" t="s">
        <v>88</v>
      </c>
      <c r="C199" s="54"/>
      <c r="D199" s="25"/>
      <c r="E199" s="25"/>
      <c r="F199" s="30"/>
      <c r="G199" s="30"/>
      <c r="H199" s="30"/>
      <c r="I199" s="30"/>
      <c r="J199" s="30"/>
      <c r="K199" s="30"/>
      <c r="L199" s="30"/>
      <c r="M199" s="30">
        <v>0</v>
      </c>
      <c r="N199" s="85">
        <v>0</v>
      </c>
      <c r="O199" s="25"/>
      <c r="P199" s="79"/>
      <c r="Q199" s="86"/>
      <c r="R199" s="5"/>
    </row>
    <row r="200" spans="1:18" ht="15.6" x14ac:dyDescent="0.3">
      <c r="A200" s="84"/>
      <c r="B200" s="122" t="s">
        <v>89</v>
      </c>
      <c r="C200" s="54"/>
      <c r="D200" s="25"/>
      <c r="E200" s="25"/>
      <c r="F200" s="25"/>
      <c r="G200" s="25"/>
      <c r="H200" s="25"/>
      <c r="I200" s="25"/>
      <c r="J200" s="25"/>
      <c r="K200" s="25"/>
      <c r="L200" s="25"/>
      <c r="M200" s="25"/>
      <c r="N200" s="85">
        <v>0</v>
      </c>
      <c r="O200" s="25"/>
      <c r="P200" s="79"/>
      <c r="Q200" s="86"/>
      <c r="R200" s="5"/>
    </row>
    <row r="201" spans="1:18" ht="15.6" x14ac:dyDescent="0.3">
      <c r="A201" s="84"/>
      <c r="B201" s="122" t="s">
        <v>90</v>
      </c>
      <c r="C201" s="54"/>
      <c r="D201" s="25"/>
      <c r="E201" s="25"/>
      <c r="F201" s="25"/>
      <c r="G201" s="25"/>
      <c r="H201" s="25"/>
      <c r="I201" s="25"/>
      <c r="J201" s="25"/>
      <c r="K201" s="25"/>
      <c r="L201" s="25"/>
      <c r="M201" s="25"/>
      <c r="N201" s="62" t="s">
        <v>122</v>
      </c>
      <c r="O201" s="25"/>
      <c r="P201" s="79"/>
      <c r="Q201" s="86"/>
      <c r="R201" s="5"/>
    </row>
    <row r="202" spans="1:18" ht="15.6" x14ac:dyDescent="0.3">
      <c r="A202" s="87"/>
      <c r="B202" s="122" t="s">
        <v>91</v>
      </c>
      <c r="C202" s="76"/>
      <c r="D202" s="76"/>
      <c r="E202" s="25"/>
      <c r="F202" s="25"/>
      <c r="G202" s="25"/>
      <c r="H202" s="25"/>
      <c r="I202" s="25"/>
      <c r="J202" s="25"/>
      <c r="K202" s="25"/>
      <c r="L202" s="25"/>
      <c r="M202" s="25"/>
      <c r="N202" s="85"/>
      <c r="O202" s="25"/>
      <c r="P202" s="79"/>
      <c r="Q202" s="88"/>
      <c r="R202" s="5"/>
    </row>
    <row r="203" spans="1:18" ht="15.6" x14ac:dyDescent="0.3">
      <c r="A203" s="87"/>
      <c r="B203" s="135" t="s">
        <v>92</v>
      </c>
      <c r="C203" s="76"/>
      <c r="D203" s="76"/>
      <c r="E203" s="25"/>
      <c r="F203" s="25"/>
      <c r="G203" s="25"/>
      <c r="H203" s="25"/>
      <c r="I203" s="25"/>
      <c r="J203" s="25"/>
      <c r="K203" s="25"/>
      <c r="L203" s="25"/>
      <c r="M203" s="25">
        <v>0</v>
      </c>
      <c r="N203" s="85">
        <f>P148</f>
        <v>0</v>
      </c>
      <c r="O203" s="25"/>
      <c r="P203" s="79"/>
      <c r="Q203" s="88"/>
      <c r="R203" s="5"/>
    </row>
    <row r="204" spans="1:18" ht="15.6" x14ac:dyDescent="0.3">
      <c r="A204" s="84"/>
      <c r="B204" s="76" t="s">
        <v>93</v>
      </c>
      <c r="C204" s="54"/>
      <c r="D204" s="54"/>
      <c r="E204" s="25"/>
      <c r="F204" s="25"/>
      <c r="G204" s="25"/>
      <c r="H204" s="25"/>
      <c r="I204" s="25"/>
      <c r="J204" s="25"/>
      <c r="K204" s="25"/>
      <c r="L204" s="25"/>
      <c r="M204" s="25">
        <v>0</v>
      </c>
      <c r="N204" s="85">
        <f>+N203</f>
        <v>0</v>
      </c>
      <c r="O204" s="25"/>
      <c r="P204" s="79"/>
      <c r="Q204" s="88"/>
      <c r="R204" s="5"/>
    </row>
    <row r="205" spans="1:18" ht="15.6" x14ac:dyDescent="0.3">
      <c r="A205" s="87"/>
      <c r="B205" s="122" t="s">
        <v>94</v>
      </c>
      <c r="C205" s="76"/>
      <c r="D205" s="76"/>
      <c r="E205" s="25"/>
      <c r="F205" s="25"/>
      <c r="G205" s="25"/>
      <c r="H205" s="25"/>
      <c r="I205" s="25"/>
      <c r="J205" s="25"/>
      <c r="K205" s="25"/>
      <c r="L205" s="25"/>
      <c r="M205" s="25"/>
      <c r="N205" s="85"/>
      <c r="O205" s="25"/>
      <c r="P205" s="79"/>
      <c r="Q205" s="88"/>
      <c r="R205" s="5"/>
    </row>
    <row r="206" spans="1:18" ht="15.6" x14ac:dyDescent="0.3">
      <c r="A206" s="87"/>
      <c r="B206" s="76" t="s">
        <v>276</v>
      </c>
      <c r="C206" s="76"/>
      <c r="D206" s="76"/>
      <c r="E206" s="25"/>
      <c r="F206" s="25"/>
      <c r="G206" s="25"/>
      <c r="H206" s="25"/>
      <c r="I206" s="25"/>
      <c r="J206" s="25"/>
      <c r="K206" s="25"/>
      <c r="L206" s="25"/>
      <c r="M206" s="25">
        <v>0</v>
      </c>
      <c r="N206" s="85">
        <v>0</v>
      </c>
      <c r="O206" s="25"/>
      <c r="P206" s="79"/>
      <c r="Q206" s="88"/>
      <c r="R206" s="5"/>
    </row>
    <row r="207" spans="1:18" ht="15.6" x14ac:dyDescent="0.3">
      <c r="A207" s="84"/>
      <c r="B207" s="76" t="s">
        <v>95</v>
      </c>
      <c r="C207" s="89"/>
      <c r="D207" s="90"/>
      <c r="E207" s="25"/>
      <c r="F207" s="25"/>
      <c r="G207" s="25"/>
      <c r="H207" s="25"/>
      <c r="I207" s="25"/>
      <c r="J207" s="25"/>
      <c r="K207" s="25"/>
      <c r="L207" s="25"/>
      <c r="M207" s="25"/>
      <c r="N207" s="62">
        <v>0</v>
      </c>
      <c r="O207" s="25"/>
      <c r="P207" s="79"/>
      <c r="Q207" s="88"/>
      <c r="R207" s="5"/>
    </row>
    <row r="208" spans="1:18" ht="15.6" x14ac:dyDescent="0.3">
      <c r="A208" s="84"/>
      <c r="B208" s="76" t="s">
        <v>96</v>
      </c>
      <c r="C208" s="89"/>
      <c r="D208" s="90"/>
      <c r="E208" s="25"/>
      <c r="F208" s="25"/>
      <c r="G208" s="25"/>
      <c r="H208" s="25"/>
      <c r="I208" s="25"/>
      <c r="J208" s="25"/>
      <c r="K208" s="25"/>
      <c r="L208" s="25"/>
      <c r="M208" s="25"/>
      <c r="N208" s="62">
        <v>0</v>
      </c>
      <c r="O208" s="25"/>
      <c r="P208" s="79"/>
      <c r="Q208" s="88"/>
      <c r="R208" s="5"/>
    </row>
    <row r="209" spans="1:18" ht="15.6" x14ac:dyDescent="0.3">
      <c r="A209" s="84"/>
      <c r="B209" s="76"/>
      <c r="C209" s="89"/>
      <c r="D209" s="90"/>
      <c r="E209" s="25"/>
      <c r="F209" s="25"/>
      <c r="G209" s="25"/>
      <c r="H209" s="25"/>
      <c r="I209" s="25"/>
      <c r="J209" s="25"/>
      <c r="K209" s="25"/>
      <c r="L209" s="25"/>
      <c r="M209" s="25"/>
      <c r="N209" s="91"/>
      <c r="O209" s="25"/>
      <c r="P209" s="79"/>
      <c r="Q209" s="88"/>
      <c r="R209" s="5"/>
    </row>
    <row r="210" spans="1:18" ht="15.6" x14ac:dyDescent="0.3">
      <c r="A210" s="6"/>
      <c r="B210" s="14" t="s">
        <v>97</v>
      </c>
      <c r="C210" s="81"/>
      <c r="D210" s="82"/>
      <c r="E210" s="81"/>
      <c r="F210" s="17"/>
      <c r="G210" s="17"/>
      <c r="H210" s="17"/>
      <c r="I210" s="17"/>
      <c r="J210" s="17"/>
      <c r="K210" s="17"/>
      <c r="L210" s="83" t="s">
        <v>113</v>
      </c>
      <c r="M210" s="17" t="s">
        <v>114</v>
      </c>
      <c r="N210" s="83" t="s">
        <v>123</v>
      </c>
      <c r="O210" s="17" t="s">
        <v>114</v>
      </c>
      <c r="P210" s="8"/>
      <c r="Q210" s="92"/>
      <c r="R210" s="5"/>
    </row>
    <row r="211" spans="1:18" ht="15.6" x14ac:dyDescent="0.3">
      <c r="A211" s="24"/>
      <c r="B211" s="54" t="s">
        <v>98</v>
      </c>
      <c r="C211" s="93"/>
      <c r="D211" s="25"/>
      <c r="E211" s="93"/>
      <c r="F211" s="93"/>
      <c r="G211" s="93"/>
      <c r="H211" s="93"/>
      <c r="I211" s="93"/>
      <c r="J211" s="93"/>
      <c r="K211" s="93"/>
      <c r="L211" s="54">
        <v>9436</v>
      </c>
      <c r="M211" s="94">
        <f>L211/$L$216</f>
        <v>0.98692605376006692</v>
      </c>
      <c r="N211" s="53">
        <v>853156</v>
      </c>
      <c r="O211" s="136">
        <f>N211/$N$216</f>
        <v>0.98683002098220796</v>
      </c>
      <c r="P211" s="79"/>
      <c r="Q211" s="88"/>
      <c r="R211" s="5"/>
    </row>
    <row r="212" spans="1:18" ht="15.6" x14ac:dyDescent="0.3">
      <c r="A212" s="24"/>
      <c r="B212" s="54" t="s">
        <v>99</v>
      </c>
      <c r="C212" s="93"/>
      <c r="D212" s="25"/>
      <c r="E212" s="94"/>
      <c r="F212" s="93"/>
      <c r="G212" s="93"/>
      <c r="H212" s="93"/>
      <c r="I212" s="93"/>
      <c r="J212" s="93"/>
      <c r="K212" s="93"/>
      <c r="L212" s="54">
        <v>50</v>
      </c>
      <c r="M212" s="94">
        <f>L212/$L$216</f>
        <v>5.2295784959732246E-3</v>
      </c>
      <c r="N212" s="53">
        <v>3910</v>
      </c>
      <c r="O212" s="136">
        <f>N212/$N$216</f>
        <v>4.5226258527636598E-3</v>
      </c>
      <c r="P212" s="79"/>
      <c r="Q212" s="88"/>
      <c r="R212" s="5"/>
    </row>
    <row r="213" spans="1:18" ht="15.6" x14ac:dyDescent="0.3">
      <c r="A213" s="24"/>
      <c r="B213" s="54" t="s">
        <v>100</v>
      </c>
      <c r="C213" s="93"/>
      <c r="D213" s="25"/>
      <c r="E213" s="94"/>
      <c r="F213" s="93"/>
      <c r="G213" s="93"/>
      <c r="H213" s="93"/>
      <c r="I213" s="93"/>
      <c r="J213" s="93"/>
      <c r="K213" s="93"/>
      <c r="L213" s="54">
        <v>18</v>
      </c>
      <c r="M213" s="94">
        <f>L213/$L$216</f>
        <v>1.8826482585503608E-3</v>
      </c>
      <c r="N213" s="53">
        <v>1783</v>
      </c>
      <c r="O213" s="136">
        <f>N213/$N$216</f>
        <v>2.06236365613238E-3</v>
      </c>
      <c r="P213" s="79"/>
      <c r="Q213" s="88"/>
      <c r="R213" s="5"/>
    </row>
    <row r="214" spans="1:18" ht="15.6" x14ac:dyDescent="0.3">
      <c r="A214" s="24"/>
      <c r="B214" s="54" t="s">
        <v>101</v>
      </c>
      <c r="C214" s="93"/>
      <c r="D214" s="25"/>
      <c r="E214" s="94"/>
      <c r="F214" s="93"/>
      <c r="G214" s="93"/>
      <c r="H214" s="93"/>
      <c r="I214" s="93"/>
      <c r="J214" s="93"/>
      <c r="K214" s="93"/>
      <c r="L214" s="54">
        <v>57</v>
      </c>
      <c r="M214" s="94">
        <f>L214/$L$216</f>
        <v>5.9617194854094764E-3</v>
      </c>
      <c r="N214" s="53">
        <v>5693</v>
      </c>
      <c r="O214" s="136">
        <f>N214/$N$216</f>
        <v>6.5849895088960402E-3</v>
      </c>
      <c r="P214" s="79"/>
      <c r="Q214" s="88"/>
      <c r="R214" s="5"/>
    </row>
    <row r="215" spans="1:18" ht="15.6" x14ac:dyDescent="0.3">
      <c r="A215" s="24"/>
      <c r="B215" s="27"/>
      <c r="C215" s="93"/>
      <c r="D215" s="25"/>
      <c r="E215" s="94"/>
      <c r="F215" s="93"/>
      <c r="G215" s="93"/>
      <c r="H215" s="93"/>
      <c r="I215" s="93"/>
      <c r="J215" s="93"/>
      <c r="K215" s="93"/>
      <c r="L215" s="54"/>
      <c r="M215" s="94"/>
      <c r="N215" s="53"/>
      <c r="O215" s="136"/>
      <c r="P215" s="79"/>
      <c r="Q215" s="88"/>
      <c r="R215" s="5"/>
    </row>
    <row r="216" spans="1:18" ht="15.6" x14ac:dyDescent="0.3">
      <c r="A216" s="24"/>
      <c r="B216" s="25"/>
      <c r="C216" s="25"/>
      <c r="D216" s="25"/>
      <c r="E216" s="25"/>
      <c r="F216" s="95"/>
      <c r="G216" s="95"/>
      <c r="H216" s="95"/>
      <c r="I216" s="95"/>
      <c r="J216" s="95"/>
      <c r="K216" s="95"/>
      <c r="L216" s="34">
        <f>SUM(L211:L215)</f>
        <v>9561</v>
      </c>
      <c r="M216" s="136">
        <f>SUM(M211:M215)</f>
        <v>1</v>
      </c>
      <c r="N216" s="53">
        <f>SUM(N211:N215)</f>
        <v>864542</v>
      </c>
      <c r="O216" s="136">
        <f>SUM(O211:O215)</f>
        <v>1</v>
      </c>
      <c r="P216" s="25"/>
      <c r="Q216" s="25"/>
      <c r="R216" s="5"/>
    </row>
    <row r="217" spans="1:18" ht="15.6" x14ac:dyDescent="0.3">
      <c r="A217" s="24"/>
      <c r="B217" s="25"/>
      <c r="C217" s="25"/>
      <c r="D217" s="25"/>
      <c r="E217" s="25"/>
      <c r="F217" s="95"/>
      <c r="G217" s="95"/>
      <c r="H217" s="95"/>
      <c r="I217" s="95"/>
      <c r="J217" s="95"/>
      <c r="K217" s="95"/>
      <c r="L217" s="95"/>
      <c r="M217" s="95"/>
      <c r="N217" s="53"/>
      <c r="O217" s="95"/>
      <c r="P217" s="25"/>
      <c r="Q217" s="25"/>
      <c r="R217" s="5"/>
    </row>
    <row r="218" spans="1:18" ht="15.6" x14ac:dyDescent="0.3">
      <c r="A218" s="6"/>
      <c r="B218" s="8"/>
      <c r="C218" s="8"/>
      <c r="D218" s="8"/>
      <c r="E218" s="8"/>
      <c r="F218" s="96"/>
      <c r="G218" s="96"/>
      <c r="H218" s="96"/>
      <c r="I218" s="96"/>
      <c r="J218" s="96"/>
      <c r="K218" s="96"/>
      <c r="L218" s="96"/>
      <c r="M218" s="96"/>
      <c r="N218" s="97"/>
      <c r="O218" s="96"/>
      <c r="P218" s="8"/>
      <c r="Q218" s="8"/>
      <c r="R218" s="5"/>
    </row>
    <row r="219" spans="1:18" ht="15.6" x14ac:dyDescent="0.3">
      <c r="A219" s="98"/>
      <c r="B219" s="14" t="s">
        <v>102</v>
      </c>
      <c r="C219" s="15"/>
      <c r="D219" s="17" t="s">
        <v>108</v>
      </c>
      <c r="E219" s="15"/>
      <c r="F219" s="14" t="s">
        <v>110</v>
      </c>
      <c r="G219" s="12"/>
      <c r="H219" s="12"/>
      <c r="I219" s="12"/>
      <c r="J219" s="12"/>
      <c r="K219" s="12"/>
      <c r="L219" s="12"/>
      <c r="M219" s="12"/>
      <c r="N219" s="12"/>
      <c r="O219" s="12"/>
      <c r="P219" s="12"/>
      <c r="Q219" s="12"/>
      <c r="R219" s="5"/>
    </row>
    <row r="220" spans="1:18" ht="15.6" x14ac:dyDescent="0.3">
      <c r="A220" s="98"/>
      <c r="B220" s="12"/>
      <c r="C220" s="8"/>
      <c r="D220" s="8"/>
      <c r="E220" s="8"/>
      <c r="F220" s="8"/>
      <c r="G220" s="12"/>
      <c r="H220" s="12"/>
      <c r="I220" s="12"/>
      <c r="J220" s="12"/>
      <c r="K220" s="12"/>
      <c r="L220" s="12"/>
      <c r="M220" s="12"/>
      <c r="N220" s="12"/>
      <c r="O220" s="12"/>
      <c r="P220" s="12"/>
      <c r="Q220" s="12"/>
      <c r="R220" s="5"/>
    </row>
    <row r="221" spans="1:18" ht="15.6" x14ac:dyDescent="0.3">
      <c r="A221" s="98"/>
      <c r="B221" s="13" t="s">
        <v>103</v>
      </c>
      <c r="C221" s="13"/>
      <c r="D221" s="134" t="s">
        <v>212</v>
      </c>
      <c r="E221" s="13"/>
      <c r="F221" s="13" t="s">
        <v>222</v>
      </c>
      <c r="G221" s="12"/>
      <c r="H221" s="12"/>
      <c r="I221" s="12"/>
      <c r="J221" s="12"/>
      <c r="K221" s="12"/>
      <c r="L221" s="12"/>
      <c r="M221" s="12"/>
      <c r="N221" s="12"/>
      <c r="O221" s="12"/>
      <c r="P221" s="12"/>
      <c r="Q221" s="12"/>
      <c r="R221" s="5"/>
    </row>
    <row r="222" spans="1:18" ht="15.6" x14ac:dyDescent="0.3">
      <c r="A222" s="98"/>
      <c r="B222" s="13" t="s">
        <v>104</v>
      </c>
      <c r="C222" s="13"/>
      <c r="D222" s="134" t="s">
        <v>211</v>
      </c>
      <c r="E222" s="13"/>
      <c r="F222" s="13" t="s">
        <v>223</v>
      </c>
      <c r="G222" s="12"/>
      <c r="H222" s="12"/>
      <c r="I222" s="12"/>
      <c r="J222" s="12"/>
      <c r="K222" s="12"/>
      <c r="L222" s="12"/>
      <c r="M222" s="12"/>
      <c r="N222" s="12"/>
      <c r="O222" s="12"/>
      <c r="P222" s="12"/>
      <c r="Q222" s="12"/>
      <c r="R222" s="5"/>
    </row>
    <row r="223" spans="1:18" ht="15.6" x14ac:dyDescent="0.3">
      <c r="A223" s="98"/>
      <c r="B223" s="13"/>
      <c r="C223" s="13"/>
      <c r="D223" s="13"/>
      <c r="E223" s="99"/>
      <c r="F223" s="12"/>
      <c r="G223" s="12"/>
      <c r="H223" s="12"/>
      <c r="I223" s="12"/>
      <c r="J223" s="12"/>
      <c r="K223" s="12"/>
      <c r="L223" s="12"/>
      <c r="M223" s="12"/>
      <c r="N223" s="12"/>
      <c r="O223" s="12"/>
      <c r="P223" s="12"/>
      <c r="Q223" s="12"/>
      <c r="R223" s="5"/>
    </row>
    <row r="224" spans="1:18" ht="15.6" x14ac:dyDescent="0.3">
      <c r="A224" s="98"/>
      <c r="B224" s="13"/>
      <c r="C224" s="13"/>
      <c r="D224" s="13"/>
      <c r="E224" s="99"/>
      <c r="F224" s="12"/>
      <c r="G224" s="12"/>
      <c r="H224" s="12"/>
      <c r="I224" s="12"/>
      <c r="J224" s="12"/>
      <c r="K224" s="12"/>
      <c r="L224" s="12"/>
      <c r="M224" s="12"/>
      <c r="N224" s="12"/>
      <c r="O224" s="12"/>
      <c r="P224" s="12"/>
      <c r="Q224" s="12"/>
      <c r="R224" s="5"/>
    </row>
    <row r="225" spans="1:18" ht="18" thickBot="1" x14ac:dyDescent="0.35">
      <c r="A225" s="98"/>
      <c r="B225" s="49" t="str">
        <f>B176</f>
        <v>PM7 INVESTOR REPORT QUARTER ENDING OCTOBER 2004</v>
      </c>
      <c r="C225" s="13"/>
      <c r="D225" s="13"/>
      <c r="E225" s="99"/>
      <c r="F225" s="12"/>
      <c r="G225" s="12"/>
      <c r="H225" s="12"/>
      <c r="I225" s="12"/>
      <c r="J225" s="12"/>
      <c r="K225" s="12"/>
      <c r="L225" s="12"/>
      <c r="M225" s="12"/>
      <c r="N225" s="12"/>
      <c r="O225" s="12"/>
      <c r="P225" s="12"/>
      <c r="Q225" s="12"/>
      <c r="R225" s="5"/>
    </row>
    <row r="226" spans="1:18" x14ac:dyDescent="0.25">
      <c r="A226" s="100"/>
      <c r="B226" s="100"/>
      <c r="C226" s="100"/>
      <c r="D226" s="100"/>
      <c r="E226" s="100"/>
      <c r="F226" s="100"/>
      <c r="G226" s="100"/>
      <c r="H226" s="100"/>
      <c r="I226" s="100"/>
      <c r="J226" s="100"/>
      <c r="K226" s="100"/>
      <c r="L226" s="100"/>
      <c r="M226" s="100"/>
      <c r="N226" s="100"/>
      <c r="O226" s="100"/>
      <c r="P226" s="100"/>
      <c r="Q226" s="100"/>
    </row>
  </sheetData>
  <phoneticPr fontId="0" type="noConversion"/>
  <printOptions horizontalCentered="1" verticalCentered="1"/>
  <pageMargins left="0.19685039370078741" right="0.19685039370078741" top="0.27559055118110237" bottom="0.27559055118110237" header="0" footer="0"/>
  <pageSetup scale="40" orientation="landscape" r:id="rId1"/>
  <headerFooter alignWithMargins="0"/>
  <rowBreaks count="3" manualBreakCount="3">
    <brk id="64" max="14" man="1"/>
    <brk id="126" max="14" man="1"/>
    <brk id="176"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S263"/>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0.94550000000000001</v>
      </c>
      <c r="N17" s="17" t="s">
        <v>173</v>
      </c>
      <c r="O17" s="138">
        <v>5.45E-2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39136</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178</v>
      </c>
      <c r="K28" s="123"/>
      <c r="L28" s="123" t="s">
        <v>178</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317043.45</v>
      </c>
      <c r="E34" s="31"/>
      <c r="F34" s="131">
        <f>+F33*F40</f>
        <v>154985.60000000001</v>
      </c>
      <c r="G34" s="31"/>
      <c r="H34" s="124">
        <f>+H33*H40</f>
        <v>352277</v>
      </c>
      <c r="I34" s="31"/>
      <c r="J34" s="130">
        <v>82500</v>
      </c>
      <c r="K34" s="31"/>
      <c r="L34" s="124">
        <v>65000</v>
      </c>
      <c r="M34" s="31"/>
      <c r="N34" s="31"/>
      <c r="O34" s="142"/>
      <c r="P34" s="31"/>
      <c r="Q34" s="34"/>
      <c r="R34" s="5"/>
    </row>
    <row r="35" spans="1:18" ht="15.6" x14ac:dyDescent="0.3">
      <c r="A35" s="28"/>
      <c r="B35" s="29" t="s">
        <v>158</v>
      </c>
      <c r="C35" s="36"/>
      <c r="D35" s="129">
        <f>+D33*D39</f>
        <v>302980.5</v>
      </c>
      <c r="E35" s="35"/>
      <c r="F35" s="132">
        <f>+F33*F39</f>
        <v>148108.84</v>
      </c>
      <c r="G35" s="35"/>
      <c r="H35" s="125">
        <f>+H33*H39</f>
        <v>336652.5</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178214.41821247892</v>
      </c>
      <c r="E37" s="31"/>
      <c r="F37" s="31">
        <f>+F34</f>
        <v>154985.60000000001</v>
      </c>
      <c r="G37" s="31"/>
      <c r="H37" s="31">
        <f>+H34/1.481481</f>
        <v>237787.05228079198</v>
      </c>
      <c r="I37" s="31"/>
      <c r="J37" s="31">
        <v>46374</v>
      </c>
      <c r="K37" s="31"/>
      <c r="L37" s="31">
        <v>43875</v>
      </c>
      <c r="M37" s="31"/>
      <c r="N37" s="31"/>
      <c r="O37" s="142"/>
      <c r="P37" s="31">
        <f>SUM(C37:L37)</f>
        <v>661236.07049327088</v>
      </c>
      <c r="Q37" s="34"/>
      <c r="R37" s="5"/>
    </row>
    <row r="38" spans="1:18" ht="15.6" x14ac:dyDescent="0.3">
      <c r="A38" s="28"/>
      <c r="B38" s="29" t="s">
        <v>281</v>
      </c>
      <c r="C38" s="36"/>
      <c r="D38" s="35">
        <f>D35/1.779</f>
        <v>170309.44350758853</v>
      </c>
      <c r="E38" s="35"/>
      <c r="F38" s="35">
        <f>+F35</f>
        <v>148108.84</v>
      </c>
      <c r="G38" s="35"/>
      <c r="H38" s="35">
        <f>H35/1.481481</f>
        <v>227240.51135316619</v>
      </c>
      <c r="I38" s="35"/>
      <c r="J38" s="35">
        <v>46374</v>
      </c>
      <c r="K38" s="35"/>
      <c r="L38" s="35">
        <v>43875</v>
      </c>
      <c r="M38" s="35"/>
      <c r="N38" s="35"/>
      <c r="O38" s="37"/>
      <c r="P38" s="35">
        <f>SUM(D38:L38)</f>
        <v>635907.79486075474</v>
      </c>
      <c r="Q38" s="34"/>
      <c r="R38" s="5"/>
    </row>
    <row r="39" spans="1:18" ht="15.6" x14ac:dyDescent="0.3">
      <c r="A39" s="28"/>
      <c r="B39" s="122" t="s">
        <v>154</v>
      </c>
      <c r="C39" s="126"/>
      <c r="D39" s="139">
        <v>0.67329000000000006</v>
      </c>
      <c r="E39" s="139"/>
      <c r="F39" s="139">
        <v>0.67322199999999999</v>
      </c>
      <c r="G39" s="139"/>
      <c r="H39" s="139">
        <v>0.67330500000000004</v>
      </c>
      <c r="I39" s="139"/>
      <c r="J39" s="139">
        <v>1</v>
      </c>
      <c r="K39" s="139"/>
      <c r="L39" s="139">
        <v>1</v>
      </c>
      <c r="M39" s="31"/>
      <c r="N39" s="31"/>
      <c r="O39" s="142"/>
      <c r="P39" s="31"/>
      <c r="Q39" s="34"/>
      <c r="R39" s="5"/>
    </row>
    <row r="40" spans="1:18" ht="15.6" x14ac:dyDescent="0.3">
      <c r="A40" s="28"/>
      <c r="B40" s="122" t="s">
        <v>155</v>
      </c>
      <c r="C40" s="126"/>
      <c r="D40" s="139">
        <v>0.70454099999999997</v>
      </c>
      <c r="E40" s="139"/>
      <c r="F40" s="139">
        <v>0.70448</v>
      </c>
      <c r="G40" s="139"/>
      <c r="H40" s="139">
        <v>0.70455400000000001</v>
      </c>
      <c r="I40" s="139"/>
      <c r="J40" s="139">
        <v>1</v>
      </c>
      <c r="K40" s="139"/>
      <c r="L40" s="139">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5.5837499999999998E-2</v>
      </c>
      <c r="E42" s="39"/>
      <c r="F42" s="38">
        <v>5.4375E-2</v>
      </c>
      <c r="G42" s="39"/>
      <c r="H42" s="38">
        <v>3.7969999999999997E-2</v>
      </c>
      <c r="I42" s="39"/>
      <c r="J42" s="38">
        <v>6.12375E-2</v>
      </c>
      <c r="K42" s="39"/>
      <c r="L42" s="38">
        <v>4.3369999999999999E-2</v>
      </c>
      <c r="M42" s="39"/>
      <c r="N42" s="38"/>
      <c r="O42" s="141"/>
      <c r="P42" s="39"/>
      <c r="Q42" s="25"/>
      <c r="R42" s="5"/>
    </row>
    <row r="43" spans="1:18" ht="15.6" x14ac:dyDescent="0.3">
      <c r="A43" s="24"/>
      <c r="B43" s="25" t="s">
        <v>14</v>
      </c>
      <c r="C43" s="25"/>
      <c r="D43" s="38">
        <v>5.6149999999999999E-2</v>
      </c>
      <c r="E43" s="39"/>
      <c r="F43" s="38">
        <v>5.1799999999999999E-2</v>
      </c>
      <c r="G43" s="39"/>
      <c r="H43" s="38">
        <v>3.4270000000000002E-2</v>
      </c>
      <c r="I43" s="39"/>
      <c r="J43" s="38">
        <v>6.1550000000000001E-2</v>
      </c>
      <c r="K43" s="39"/>
      <c r="L43" s="38">
        <v>3.9669999999999997E-2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5.5320000000000001E-2</v>
      </c>
      <c r="E45" s="39"/>
      <c r="F45" s="38">
        <f>+F42</f>
        <v>5.4375E-2</v>
      </c>
      <c r="G45" s="39"/>
      <c r="H45" s="38">
        <v>5.5199999999999999E-2</v>
      </c>
      <c r="I45" s="39"/>
      <c r="J45" s="38">
        <v>6.1449999999999998E-2</v>
      </c>
      <c r="K45" s="39"/>
      <c r="L45" s="38">
        <v>6.1449999999999998E-2</v>
      </c>
      <c r="M45" s="39"/>
      <c r="N45" s="38"/>
      <c r="O45" s="141"/>
      <c r="P45" s="39">
        <f>SUMPRODUCT(D45:L45,D37:L37)/P37</f>
        <v>5.5892005292216072E-2</v>
      </c>
      <c r="Q45" s="25"/>
      <c r="R45" s="5"/>
    </row>
    <row r="46" spans="1:18" ht="15.6" x14ac:dyDescent="0.3">
      <c r="A46" s="24"/>
      <c r="B46" s="25" t="s">
        <v>283</v>
      </c>
      <c r="C46" s="25"/>
      <c r="D46" s="38">
        <v>5.2745E-2</v>
      </c>
      <c r="E46" s="39"/>
      <c r="F46" s="38">
        <f>+F43</f>
        <v>5.1799999999999999E-2</v>
      </c>
      <c r="G46" s="39"/>
      <c r="H46" s="38">
        <v>5.2624999999999998E-2</v>
      </c>
      <c r="I46" s="39"/>
      <c r="J46" s="38">
        <v>5.8874999999999997E-2</v>
      </c>
      <c r="K46" s="39"/>
      <c r="L46" s="38">
        <v>5.8874999999999997E-2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0.16539456680622258</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39128</v>
      </c>
      <c r="Q57" s="25"/>
      <c r="R57" s="5"/>
    </row>
    <row r="58" spans="1:18" ht="15.6" x14ac:dyDescent="0.3">
      <c r="A58" s="24"/>
      <c r="B58" s="25" t="s">
        <v>142</v>
      </c>
      <c r="C58" s="25"/>
      <c r="D58" s="25"/>
      <c r="E58" s="25"/>
      <c r="F58" s="58"/>
      <c r="G58" s="58"/>
      <c r="H58" s="58"/>
      <c r="I58" s="58"/>
      <c r="J58" s="58"/>
      <c r="K58" s="58"/>
      <c r="L58" s="25">
        <f>+P58-N58+1</f>
        <v>92</v>
      </c>
      <c r="M58" s="58"/>
      <c r="N58" s="45">
        <v>38944</v>
      </c>
      <c r="O58" s="46"/>
      <c r="P58" s="45">
        <v>39035</v>
      </c>
      <c r="Q58" s="25"/>
      <c r="R58" s="5"/>
    </row>
    <row r="59" spans="1:18" ht="15.6" x14ac:dyDescent="0.3">
      <c r="A59" s="24"/>
      <c r="B59" s="25" t="s">
        <v>143</v>
      </c>
      <c r="C59" s="25"/>
      <c r="D59" s="25"/>
      <c r="E59" s="25"/>
      <c r="F59" s="25"/>
      <c r="G59" s="25"/>
      <c r="H59" s="25"/>
      <c r="I59" s="25"/>
      <c r="J59" s="25"/>
      <c r="K59" s="25"/>
      <c r="L59" s="25">
        <f>+P59-N59+1</f>
        <v>92</v>
      </c>
      <c r="M59" s="25"/>
      <c r="N59" s="45">
        <v>39036</v>
      </c>
      <c r="O59" s="46"/>
      <c r="P59" s="45">
        <v>39127</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39114</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258</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661236</v>
      </c>
      <c r="I70" s="34"/>
      <c r="J70" s="34">
        <f>25328+3721+201</f>
        <v>29250</v>
      </c>
      <c r="K70" s="34"/>
      <c r="L70" s="34">
        <f>3721+201</f>
        <v>3922</v>
      </c>
      <c r="M70" s="34"/>
      <c r="N70" s="34">
        <v>0</v>
      </c>
      <c r="O70" s="34"/>
      <c r="P70" s="53">
        <f>+H70-J70+L70-N70</f>
        <v>635908</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661236</v>
      </c>
      <c r="I73" s="34"/>
      <c r="J73" s="34">
        <f>SUM(J70:J72)</f>
        <v>29250</v>
      </c>
      <c r="K73" s="34"/>
      <c r="L73" s="34">
        <f>SUM(L70:L72)</f>
        <v>3922</v>
      </c>
      <c r="M73" s="34"/>
      <c r="N73" s="34">
        <f>SUM(N70:N72)</f>
        <v>0</v>
      </c>
      <c r="O73" s="34"/>
      <c r="P73" s="54">
        <f>SUM(P70:P72)</f>
        <v>635908</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v>0</v>
      </c>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v>0</v>
      </c>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661236</v>
      </c>
      <c r="I86" s="34"/>
      <c r="J86" s="34"/>
      <c r="K86" s="34"/>
      <c r="L86" s="34"/>
      <c r="M86" s="34"/>
      <c r="N86" s="54"/>
      <c r="O86" s="34"/>
      <c r="P86" s="54">
        <f>SUM(P73:P85)</f>
        <v>635908</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39113</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f>29250-40</f>
        <v>29210</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11348+622+15-1663-102</f>
        <v>10220</v>
      </c>
      <c r="Q92" s="25"/>
      <c r="R92" s="5"/>
    </row>
    <row r="93" spans="1:18" ht="15.6" x14ac:dyDescent="0.3">
      <c r="A93" s="24"/>
      <c r="B93" s="25" t="s">
        <v>249</v>
      </c>
      <c r="C93" s="25"/>
      <c r="D93" s="25"/>
      <c r="E93" s="25"/>
      <c r="F93" s="40"/>
      <c r="G93" s="57"/>
      <c r="H93" s="127"/>
      <c r="I93" s="25"/>
      <c r="J93" s="25"/>
      <c r="K93" s="25"/>
      <c r="L93" s="25"/>
      <c r="M93" s="25"/>
      <c r="N93" s="34"/>
      <c r="O93" s="25"/>
      <c r="P93" s="53">
        <f>452+15</f>
        <v>467</v>
      </c>
      <c r="Q93" s="25"/>
      <c r="R93" s="5"/>
    </row>
    <row r="94" spans="1:18" ht="15.6" x14ac:dyDescent="0.3">
      <c r="A94" s="24"/>
      <c r="B94" s="25" t="s">
        <v>250</v>
      </c>
      <c r="C94" s="25"/>
      <c r="D94" s="25"/>
      <c r="E94" s="25"/>
      <c r="F94" s="40"/>
      <c r="G94" s="57"/>
      <c r="H94" s="127"/>
      <c r="I94" s="25"/>
      <c r="J94" s="25"/>
      <c r="K94" s="25"/>
      <c r="L94" s="25"/>
      <c r="M94" s="25"/>
      <c r="N94" s="34"/>
      <c r="O94" s="25"/>
      <c r="P94" s="53">
        <v>545</v>
      </c>
      <c r="Q94" s="25"/>
      <c r="R94" s="5"/>
    </row>
    <row r="95" spans="1:18" ht="15.6" x14ac:dyDescent="0.3">
      <c r="A95" s="24"/>
      <c r="B95" s="25" t="s">
        <v>259</v>
      </c>
      <c r="C95" s="25"/>
      <c r="D95" s="25"/>
      <c r="E95" s="25"/>
      <c r="F95" s="40"/>
      <c r="G95" s="57"/>
      <c r="H95" s="127"/>
      <c r="I95" s="25"/>
      <c r="J95" s="25"/>
      <c r="K95" s="25"/>
      <c r="L95" s="25"/>
      <c r="M95" s="25"/>
      <c r="N95" s="34"/>
      <c r="O95" s="25"/>
      <c r="P95" s="53">
        <v>67</v>
      </c>
      <c r="Q95" s="25"/>
      <c r="R95" s="5"/>
    </row>
    <row r="96" spans="1:18" ht="15.6" x14ac:dyDescent="0.3">
      <c r="A96" s="24"/>
      <c r="B96" s="25" t="s">
        <v>160</v>
      </c>
      <c r="C96" s="25"/>
      <c r="D96" s="25"/>
      <c r="E96" s="25"/>
      <c r="F96" s="25"/>
      <c r="G96" s="25"/>
      <c r="H96" s="25"/>
      <c r="I96" s="25"/>
      <c r="J96" s="25"/>
      <c r="K96" s="25"/>
      <c r="L96" s="25"/>
      <c r="M96" s="25"/>
      <c r="N96" s="34"/>
      <c r="O96" s="25"/>
      <c r="P96" s="53">
        <v>0</v>
      </c>
      <c r="Q96" s="25"/>
      <c r="R96" s="5"/>
    </row>
    <row r="97" spans="1:19" ht="15.6" x14ac:dyDescent="0.3">
      <c r="A97" s="24"/>
      <c r="B97" s="25" t="s">
        <v>192</v>
      </c>
      <c r="C97" s="25"/>
      <c r="D97" s="25"/>
      <c r="E97" s="25"/>
      <c r="F97" s="25"/>
      <c r="G97" s="25"/>
      <c r="H97" s="25"/>
      <c r="I97" s="25"/>
      <c r="J97" s="25"/>
      <c r="K97" s="25"/>
      <c r="L97" s="25"/>
      <c r="M97" s="25"/>
      <c r="N97" s="34"/>
      <c r="O97" s="25"/>
      <c r="P97" s="53">
        <v>335</v>
      </c>
      <c r="Q97" s="25"/>
      <c r="R97" s="5"/>
    </row>
    <row r="98" spans="1:19" ht="15.6" x14ac:dyDescent="0.3">
      <c r="A98" s="24"/>
      <c r="B98" s="25" t="s">
        <v>35</v>
      </c>
      <c r="C98" s="25"/>
      <c r="D98" s="25"/>
      <c r="E98" s="25"/>
      <c r="F98" s="25"/>
      <c r="G98" s="25"/>
      <c r="H98" s="25"/>
      <c r="I98" s="25"/>
      <c r="J98" s="25"/>
      <c r="K98" s="25"/>
      <c r="L98" s="25"/>
      <c r="M98" s="25"/>
      <c r="N98" s="34">
        <f>SUM(N90:N97)</f>
        <v>29210</v>
      </c>
      <c r="O98" s="25"/>
      <c r="P98" s="54">
        <f>SUM(P90:P97)</f>
        <v>11634</v>
      </c>
      <c r="Q98" s="25"/>
      <c r="R98" s="5"/>
    </row>
    <row r="99" spans="1:19" ht="15.6" x14ac:dyDescent="0.3">
      <c r="A99" s="24"/>
      <c r="B99" s="25" t="s">
        <v>237</v>
      </c>
      <c r="C99" s="25"/>
      <c r="D99" s="25"/>
      <c r="E99" s="25"/>
      <c r="F99" s="25"/>
      <c r="G99" s="25"/>
      <c r="H99" s="25"/>
      <c r="I99" s="25"/>
      <c r="J99" s="25"/>
      <c r="K99" s="25"/>
      <c r="L99" s="25"/>
      <c r="M99" s="25"/>
      <c r="N99" s="34">
        <v>-10</v>
      </c>
      <c r="O99" s="25"/>
      <c r="P99" s="54">
        <f>-N99</f>
        <v>10</v>
      </c>
      <c r="Q99" s="25"/>
      <c r="R99" s="5"/>
    </row>
    <row r="100" spans="1:19" ht="15.6" x14ac:dyDescent="0.3">
      <c r="A100" s="24"/>
      <c r="B100" s="25" t="s">
        <v>36</v>
      </c>
      <c r="C100" s="25"/>
      <c r="D100" s="25"/>
      <c r="E100" s="25"/>
      <c r="F100" s="25"/>
      <c r="G100" s="25"/>
      <c r="H100" s="25"/>
      <c r="I100" s="25"/>
      <c r="J100" s="25"/>
      <c r="K100" s="25"/>
      <c r="L100" s="25"/>
      <c r="M100" s="25"/>
      <c r="N100" s="34">
        <f>-P100</f>
        <v>0</v>
      </c>
      <c r="O100" s="25"/>
      <c r="P100" s="53">
        <v>0</v>
      </c>
      <c r="Q100" s="25"/>
      <c r="R100" s="5"/>
    </row>
    <row r="101" spans="1:19" ht="15.6" x14ac:dyDescent="0.3">
      <c r="A101" s="24"/>
      <c r="B101" s="25" t="s">
        <v>37</v>
      </c>
      <c r="C101" s="25"/>
      <c r="D101" s="25"/>
      <c r="E101" s="25"/>
      <c r="F101" s="25"/>
      <c r="G101" s="25"/>
      <c r="H101" s="25"/>
      <c r="I101" s="25"/>
      <c r="J101" s="25"/>
      <c r="K101" s="25"/>
      <c r="L101" s="25"/>
      <c r="M101" s="25"/>
      <c r="N101" s="34">
        <f>N98+N100+N99</f>
        <v>29200</v>
      </c>
      <c r="O101" s="25"/>
      <c r="P101" s="54">
        <f>P98+P100+P99</f>
        <v>11644</v>
      </c>
      <c r="Q101" s="25"/>
      <c r="R101" s="5"/>
      <c r="S101" s="154"/>
    </row>
    <row r="102" spans="1:19" ht="15.6" x14ac:dyDescent="0.3">
      <c r="A102" s="24"/>
      <c r="B102" s="118" t="s">
        <v>38</v>
      </c>
      <c r="C102" s="25"/>
      <c r="D102" s="25"/>
      <c r="E102" s="25"/>
      <c r="F102" s="25"/>
      <c r="G102" s="25"/>
      <c r="H102" s="25"/>
      <c r="I102" s="25"/>
      <c r="J102" s="25"/>
      <c r="K102" s="25"/>
      <c r="L102" s="25"/>
      <c r="M102" s="25"/>
      <c r="N102" s="34"/>
      <c r="O102" s="25"/>
      <c r="P102" s="53"/>
      <c r="Q102" s="25"/>
      <c r="R102" s="5"/>
    </row>
    <row r="103" spans="1:19" ht="15.6" x14ac:dyDescent="0.3">
      <c r="A103" s="24">
        <v>1</v>
      </c>
      <c r="B103" s="25" t="s">
        <v>39</v>
      </c>
      <c r="C103" s="25"/>
      <c r="D103" s="25"/>
      <c r="E103" s="25"/>
      <c r="F103" s="25"/>
      <c r="G103" s="25"/>
      <c r="H103" s="25"/>
      <c r="I103" s="25"/>
      <c r="J103" s="25"/>
      <c r="K103" s="25"/>
      <c r="L103" s="25"/>
      <c r="M103" s="25"/>
      <c r="N103" s="25"/>
      <c r="O103" s="25"/>
      <c r="P103" s="53">
        <v>0</v>
      </c>
      <c r="Q103" s="25"/>
      <c r="R103" s="5"/>
    </row>
    <row r="104" spans="1:19" ht="15.6" x14ac:dyDescent="0.3">
      <c r="A104" s="24">
        <f>+A103+1</f>
        <v>2</v>
      </c>
      <c r="B104" s="25" t="s">
        <v>40</v>
      </c>
      <c r="C104" s="25"/>
      <c r="D104" s="25"/>
      <c r="E104" s="25"/>
      <c r="F104" s="25"/>
      <c r="G104" s="25"/>
      <c r="H104" s="25"/>
      <c r="I104" s="25"/>
      <c r="J104" s="25"/>
      <c r="K104" s="25"/>
      <c r="L104" s="25"/>
      <c r="M104" s="25"/>
      <c r="N104" s="25"/>
      <c r="O104" s="25"/>
      <c r="P104" s="53">
        <v>-2</v>
      </c>
      <c r="Q104" s="25"/>
      <c r="R104" s="5"/>
    </row>
    <row r="105" spans="1:19" ht="15.6" x14ac:dyDescent="0.3">
      <c r="A105" s="24">
        <f>+A104+1</f>
        <v>3</v>
      </c>
      <c r="B105" s="25" t="s">
        <v>226</v>
      </c>
      <c r="C105" s="25"/>
      <c r="D105" s="25"/>
      <c r="E105" s="25"/>
      <c r="F105" s="25"/>
      <c r="G105" s="25"/>
      <c r="H105" s="25"/>
      <c r="I105" s="25"/>
      <c r="J105" s="25"/>
      <c r="K105" s="25"/>
      <c r="L105" s="25"/>
      <c r="M105" s="25"/>
      <c r="N105" s="25"/>
      <c r="O105" s="25"/>
      <c r="P105" s="53">
        <f>-165-59-8</f>
        <v>-232</v>
      </c>
      <c r="Q105" s="25"/>
      <c r="R105" s="5"/>
    </row>
    <row r="106" spans="1:19" ht="15.6" x14ac:dyDescent="0.3">
      <c r="A106" s="24" t="s">
        <v>151</v>
      </c>
      <c r="B106" s="25" t="s">
        <v>131</v>
      </c>
      <c r="C106" s="25"/>
      <c r="D106" s="25"/>
      <c r="E106" s="25"/>
      <c r="F106" s="25"/>
      <c r="G106" s="25"/>
      <c r="H106" s="25"/>
      <c r="I106" s="25"/>
      <c r="J106" s="25"/>
      <c r="K106" s="25"/>
      <c r="L106" s="25"/>
      <c r="M106" s="25"/>
      <c r="N106" s="25"/>
      <c r="O106" s="25"/>
      <c r="P106" s="53">
        <v>0</v>
      </c>
      <c r="Q106" s="25"/>
      <c r="R106" s="5"/>
    </row>
    <row r="107" spans="1:19" ht="15.6" x14ac:dyDescent="0.3">
      <c r="A107" s="24" t="s">
        <v>152</v>
      </c>
      <c r="B107" s="25" t="s">
        <v>195</v>
      </c>
      <c r="C107" s="25"/>
      <c r="D107" s="25"/>
      <c r="E107" s="25"/>
      <c r="F107" s="25"/>
      <c r="G107" s="25"/>
      <c r="H107" s="25"/>
      <c r="I107" s="25"/>
      <c r="J107" s="25"/>
      <c r="K107" s="25"/>
      <c r="L107" s="25"/>
      <c r="M107" s="25"/>
      <c r="N107" s="25"/>
      <c r="O107" s="25"/>
      <c r="P107" s="53">
        <v>-2485</v>
      </c>
      <c r="Q107" s="25"/>
      <c r="R107" s="5"/>
      <c r="S107" s="109"/>
    </row>
    <row r="108" spans="1:19" ht="15.6" x14ac:dyDescent="0.3">
      <c r="A108" s="24" t="s">
        <v>217</v>
      </c>
      <c r="B108" s="25" t="s">
        <v>196</v>
      </c>
      <c r="C108" s="25"/>
      <c r="D108" s="25"/>
      <c r="E108" s="25"/>
      <c r="F108" s="25"/>
      <c r="G108" s="25"/>
      <c r="H108" s="25"/>
      <c r="I108" s="25"/>
      <c r="J108" s="25"/>
      <c r="K108" s="25"/>
      <c r="L108" s="25"/>
      <c r="M108" s="25"/>
      <c r="N108" s="25"/>
      <c r="O108" s="25"/>
      <c r="P108" s="53">
        <v>-2124</v>
      </c>
      <c r="Q108" s="25"/>
      <c r="R108" s="5"/>
      <c r="S108" s="109"/>
    </row>
    <row r="109" spans="1:19" ht="15.6" x14ac:dyDescent="0.3">
      <c r="A109" s="24" t="s">
        <v>218</v>
      </c>
      <c r="B109" s="25" t="s">
        <v>197</v>
      </c>
      <c r="C109" s="25"/>
      <c r="D109" s="25"/>
      <c r="E109" s="25"/>
      <c r="F109" s="25"/>
      <c r="G109" s="25"/>
      <c r="H109" s="25"/>
      <c r="I109" s="25"/>
      <c r="J109" s="25"/>
      <c r="K109" s="25"/>
      <c r="L109" s="25"/>
      <c r="M109" s="25"/>
      <c r="N109" s="25"/>
      <c r="O109" s="25"/>
      <c r="P109" s="53">
        <v>-3308</v>
      </c>
      <c r="Q109" s="25"/>
      <c r="R109" s="5"/>
      <c r="S109" s="109"/>
    </row>
    <row r="110" spans="1:19" ht="15.6" x14ac:dyDescent="0.3">
      <c r="A110" s="24" t="s">
        <v>147</v>
      </c>
      <c r="B110" s="25" t="s">
        <v>146</v>
      </c>
      <c r="C110" s="25"/>
      <c r="D110" s="25"/>
      <c r="E110" s="25"/>
      <c r="F110" s="25"/>
      <c r="G110" s="25"/>
      <c r="H110" s="25"/>
      <c r="I110" s="25"/>
      <c r="J110" s="25"/>
      <c r="K110" s="25"/>
      <c r="L110" s="25"/>
      <c r="M110" s="25"/>
      <c r="N110" s="25"/>
      <c r="O110" s="25"/>
      <c r="P110" s="53">
        <v>-718</v>
      </c>
      <c r="Q110" s="25"/>
      <c r="R110" s="5"/>
      <c r="S110" s="109"/>
    </row>
    <row r="111" spans="1:19" ht="15.6" x14ac:dyDescent="0.3">
      <c r="A111" s="24" t="s">
        <v>148</v>
      </c>
      <c r="B111" s="25" t="s">
        <v>198</v>
      </c>
      <c r="C111" s="25"/>
      <c r="D111" s="25"/>
      <c r="E111" s="25"/>
      <c r="F111" s="25"/>
      <c r="G111" s="25"/>
      <c r="H111" s="25"/>
      <c r="I111" s="25"/>
      <c r="J111" s="25"/>
      <c r="K111" s="25"/>
      <c r="L111" s="25"/>
      <c r="M111" s="25"/>
      <c r="N111" s="25"/>
      <c r="O111" s="25"/>
      <c r="P111" s="53">
        <v>-679</v>
      </c>
      <c r="Q111" s="25"/>
      <c r="R111" s="5"/>
      <c r="S111" s="109"/>
    </row>
    <row r="112" spans="1:19" ht="15.6" x14ac:dyDescent="0.3">
      <c r="A112" s="24">
        <v>6</v>
      </c>
      <c r="B112" s="25" t="s">
        <v>41</v>
      </c>
      <c r="C112" s="25"/>
      <c r="D112" s="25"/>
      <c r="E112" s="25"/>
      <c r="F112" s="25"/>
      <c r="G112" s="25"/>
      <c r="H112" s="25"/>
      <c r="I112" s="25"/>
      <c r="J112" s="25"/>
      <c r="K112" s="25"/>
      <c r="L112" s="25"/>
      <c r="M112" s="25"/>
      <c r="N112" s="25"/>
      <c r="O112" s="25"/>
      <c r="P112" s="53">
        <v>-10</v>
      </c>
      <c r="Q112" s="25"/>
      <c r="R112" s="5"/>
    </row>
    <row r="113" spans="1:18" ht="15.6" x14ac:dyDescent="0.3">
      <c r="A113" s="24">
        <f t="shared" ref="A113:A118" si="0">+A112+1</f>
        <v>7</v>
      </c>
      <c r="B113" s="25" t="s">
        <v>53</v>
      </c>
      <c r="C113" s="25"/>
      <c r="D113" s="25"/>
      <c r="E113" s="25"/>
      <c r="F113" s="25"/>
      <c r="G113" s="25"/>
      <c r="H113" s="25"/>
      <c r="I113" s="25"/>
      <c r="J113" s="25"/>
      <c r="K113" s="25"/>
      <c r="L113" s="25"/>
      <c r="M113" s="25"/>
      <c r="N113" s="34">
        <f>-P113</f>
        <v>40</v>
      </c>
      <c r="O113" s="25"/>
      <c r="P113" s="53">
        <v>-40</v>
      </c>
      <c r="Q113" s="25"/>
      <c r="R113" s="5"/>
    </row>
    <row r="114" spans="1:18" ht="15.6" x14ac:dyDescent="0.3">
      <c r="A114" s="24">
        <f t="shared" si="0"/>
        <v>8</v>
      </c>
      <c r="B114" s="25" t="s">
        <v>149</v>
      </c>
      <c r="C114" s="25"/>
      <c r="D114" s="25"/>
      <c r="E114" s="25"/>
      <c r="F114" s="25"/>
      <c r="G114" s="25"/>
      <c r="H114" s="25"/>
      <c r="I114" s="25"/>
      <c r="J114" s="25"/>
      <c r="K114" s="25"/>
      <c r="L114" s="25"/>
      <c r="M114" s="25"/>
      <c r="N114" s="25"/>
      <c r="O114" s="25"/>
      <c r="P114" s="53">
        <v>0</v>
      </c>
      <c r="Q114" s="25"/>
      <c r="R114" s="5"/>
    </row>
    <row r="115" spans="1:18" ht="15.6" x14ac:dyDescent="0.3">
      <c r="A115" s="24">
        <f t="shared" si="0"/>
        <v>9</v>
      </c>
      <c r="B115" s="25" t="s">
        <v>42</v>
      </c>
      <c r="C115" s="25"/>
      <c r="D115" s="25"/>
      <c r="E115" s="25"/>
      <c r="F115" s="25"/>
      <c r="G115" s="25"/>
      <c r="H115" s="25"/>
      <c r="I115" s="25"/>
      <c r="J115" s="25"/>
      <c r="K115" s="25"/>
      <c r="L115" s="25"/>
      <c r="M115" s="25"/>
      <c r="N115" s="25"/>
      <c r="O115" s="25"/>
      <c r="P115" s="53">
        <v>0</v>
      </c>
      <c r="Q115" s="25"/>
      <c r="R115" s="5"/>
    </row>
    <row r="116" spans="1:18" ht="15.6" x14ac:dyDescent="0.3">
      <c r="A116" s="24">
        <f t="shared" si="0"/>
        <v>10</v>
      </c>
      <c r="B116" s="25" t="s">
        <v>43</v>
      </c>
      <c r="C116" s="25"/>
      <c r="D116" s="25"/>
      <c r="E116" s="25"/>
      <c r="F116" s="25"/>
      <c r="G116" s="25"/>
      <c r="H116" s="25"/>
      <c r="I116" s="25"/>
      <c r="J116" s="25"/>
      <c r="K116" s="25"/>
      <c r="L116" s="25"/>
      <c r="M116" s="25"/>
      <c r="N116" s="25"/>
      <c r="O116" s="25"/>
      <c r="P116" s="53">
        <v>0</v>
      </c>
      <c r="Q116" s="25"/>
      <c r="R116" s="5"/>
    </row>
    <row r="117" spans="1:18" ht="15.6" x14ac:dyDescent="0.3">
      <c r="A117" s="24">
        <f t="shared" si="0"/>
        <v>11</v>
      </c>
      <c r="B117" s="25" t="s">
        <v>215</v>
      </c>
      <c r="C117" s="25"/>
      <c r="D117" s="25"/>
      <c r="E117" s="25"/>
      <c r="F117" s="25"/>
      <c r="G117" s="25"/>
      <c r="H117" s="25"/>
      <c r="I117" s="25"/>
      <c r="J117" s="25"/>
      <c r="K117" s="25"/>
      <c r="L117" s="25"/>
      <c r="M117" s="25"/>
      <c r="N117" s="25"/>
      <c r="O117" s="25"/>
      <c r="P117" s="53">
        <v>-335</v>
      </c>
      <c r="Q117" s="25"/>
      <c r="R117" s="5"/>
    </row>
    <row r="118" spans="1:18" ht="15.6" x14ac:dyDescent="0.3">
      <c r="A118" s="24">
        <f t="shared" si="0"/>
        <v>12</v>
      </c>
      <c r="B118" s="25" t="s">
        <v>150</v>
      </c>
      <c r="C118" s="25"/>
      <c r="D118" s="25"/>
      <c r="E118" s="25"/>
      <c r="F118" s="25"/>
      <c r="G118" s="25"/>
      <c r="H118" s="25"/>
      <c r="I118" s="25"/>
      <c r="J118" s="25"/>
      <c r="K118" s="25"/>
      <c r="L118" s="25"/>
      <c r="M118" s="25"/>
      <c r="N118" s="25"/>
      <c r="O118" s="25"/>
      <c r="P118" s="53">
        <f>-P101-SUM(P103:P117)</f>
        <v>-1711</v>
      </c>
      <c r="Q118" s="25"/>
      <c r="R118" s="5"/>
    </row>
    <row r="119" spans="1:18" ht="15.6" x14ac:dyDescent="0.3">
      <c r="A119" s="24"/>
      <c r="B119" s="118" t="s">
        <v>44</v>
      </c>
      <c r="C119" s="25"/>
      <c r="D119" s="25"/>
      <c r="E119" s="25"/>
      <c r="F119" s="25"/>
      <c r="G119" s="25"/>
      <c r="H119" s="25"/>
      <c r="I119" s="25"/>
      <c r="J119" s="25"/>
      <c r="K119" s="25"/>
      <c r="L119" s="25"/>
      <c r="M119" s="25"/>
      <c r="N119" s="25"/>
      <c r="O119" s="25"/>
      <c r="P119" s="59"/>
      <c r="Q119" s="25"/>
      <c r="R119" s="5"/>
    </row>
    <row r="120" spans="1:18" ht="15.6" x14ac:dyDescent="0.3">
      <c r="A120" s="24"/>
      <c r="B120" s="25" t="s">
        <v>45</v>
      </c>
      <c r="C120" s="25"/>
      <c r="D120" s="25"/>
      <c r="E120" s="25"/>
      <c r="F120" s="25"/>
      <c r="G120" s="25"/>
      <c r="H120" s="25"/>
      <c r="I120" s="25"/>
      <c r="J120" s="25"/>
      <c r="K120" s="25"/>
      <c r="L120" s="25"/>
      <c r="M120" s="25"/>
      <c r="N120" s="34">
        <v>-94</v>
      </c>
      <c r="O120" s="34"/>
      <c r="P120" s="53"/>
      <c r="Q120" s="25"/>
      <c r="R120" s="5"/>
    </row>
    <row r="121" spans="1:18" ht="15.6" x14ac:dyDescent="0.3">
      <c r="A121" s="24"/>
      <c r="B121" s="25" t="s">
        <v>46</v>
      </c>
      <c r="C121" s="25"/>
      <c r="D121" s="25"/>
      <c r="E121" s="25"/>
      <c r="F121" s="25"/>
      <c r="G121" s="25"/>
      <c r="H121" s="25"/>
      <c r="I121" s="25"/>
      <c r="J121" s="25"/>
      <c r="K121" s="25"/>
      <c r="L121" s="25"/>
      <c r="M121" s="25"/>
      <c r="N121" s="34">
        <f>-M168</f>
        <v>-3818</v>
      </c>
      <c r="O121" s="34"/>
      <c r="P121" s="53"/>
      <c r="Q121" s="25"/>
      <c r="R121" s="5"/>
    </row>
    <row r="122" spans="1:18" ht="15.6" x14ac:dyDescent="0.3">
      <c r="A122" s="24"/>
      <c r="B122" s="25" t="s">
        <v>199</v>
      </c>
      <c r="C122" s="25"/>
      <c r="D122" s="25"/>
      <c r="E122" s="25"/>
      <c r="F122" s="25"/>
      <c r="G122" s="25"/>
      <c r="H122" s="25"/>
      <c r="I122" s="25"/>
      <c r="J122" s="25"/>
      <c r="K122" s="25"/>
      <c r="L122" s="25"/>
      <c r="M122" s="25"/>
      <c r="N122" s="34">
        <v>-7905</v>
      </c>
      <c r="O122" s="34"/>
      <c r="P122" s="53"/>
      <c r="Q122" s="25"/>
      <c r="R122" s="5"/>
    </row>
    <row r="123" spans="1:18" ht="15.6" x14ac:dyDescent="0.3">
      <c r="A123" s="24"/>
      <c r="B123" s="25" t="s">
        <v>200</v>
      </c>
      <c r="C123" s="25"/>
      <c r="D123" s="25"/>
      <c r="E123" s="25"/>
      <c r="F123" s="25"/>
      <c r="G123" s="25"/>
      <c r="H123" s="25"/>
      <c r="I123" s="25"/>
      <c r="J123" s="25"/>
      <c r="K123" s="25"/>
      <c r="L123" s="25"/>
      <c r="M123" s="25"/>
      <c r="N123" s="34">
        <v>-6877</v>
      </c>
      <c r="O123" s="34"/>
      <c r="P123" s="53"/>
      <c r="Q123" s="25"/>
      <c r="R123" s="5"/>
    </row>
    <row r="124" spans="1:18" ht="15.6" x14ac:dyDescent="0.3">
      <c r="A124" s="24"/>
      <c r="B124" s="25" t="s">
        <v>201</v>
      </c>
      <c r="C124" s="25"/>
      <c r="D124" s="25"/>
      <c r="E124" s="25"/>
      <c r="F124" s="25"/>
      <c r="G124" s="25"/>
      <c r="H124" s="25"/>
      <c r="I124" s="25"/>
      <c r="J124" s="25"/>
      <c r="K124" s="25"/>
      <c r="L124" s="25"/>
      <c r="M124" s="25"/>
      <c r="N124" s="34">
        <v>-10546</v>
      </c>
      <c r="O124" s="34"/>
      <c r="P124" s="53"/>
      <c r="Q124" s="25"/>
      <c r="R124" s="5"/>
    </row>
    <row r="125" spans="1:18" ht="15.6" x14ac:dyDescent="0.3">
      <c r="A125" s="24"/>
      <c r="B125" s="25" t="s">
        <v>159</v>
      </c>
      <c r="C125" s="25"/>
      <c r="D125" s="25"/>
      <c r="E125" s="25"/>
      <c r="F125" s="25"/>
      <c r="G125" s="25"/>
      <c r="H125" s="25"/>
      <c r="I125" s="25"/>
      <c r="J125" s="25"/>
      <c r="K125" s="25"/>
      <c r="L125" s="25"/>
      <c r="M125" s="25"/>
      <c r="N125" s="34">
        <v>0</v>
      </c>
      <c r="O125" s="34"/>
      <c r="P125" s="53"/>
      <c r="Q125" s="25"/>
      <c r="R125" s="5"/>
    </row>
    <row r="126" spans="1:18" ht="15.6" x14ac:dyDescent="0.3">
      <c r="A126" s="24"/>
      <c r="B126" s="25" t="s">
        <v>214</v>
      </c>
      <c r="C126" s="25"/>
      <c r="D126" s="25"/>
      <c r="E126" s="25"/>
      <c r="F126" s="25"/>
      <c r="G126" s="25"/>
      <c r="H126" s="25"/>
      <c r="I126" s="25"/>
      <c r="J126" s="25"/>
      <c r="K126" s="25"/>
      <c r="L126" s="25"/>
      <c r="M126" s="25"/>
      <c r="N126" s="34">
        <v>0</v>
      </c>
      <c r="O126" s="34"/>
      <c r="P126" s="53"/>
      <c r="Q126" s="25"/>
      <c r="R126" s="5"/>
    </row>
    <row r="127" spans="1:18" ht="15.6" x14ac:dyDescent="0.3">
      <c r="A127" s="24"/>
      <c r="B127" s="25" t="s">
        <v>47</v>
      </c>
      <c r="C127" s="25"/>
      <c r="D127" s="25"/>
      <c r="E127" s="25"/>
      <c r="F127" s="25"/>
      <c r="G127" s="25"/>
      <c r="H127" s="25"/>
      <c r="I127" s="25"/>
      <c r="J127" s="25"/>
      <c r="K127" s="25"/>
      <c r="L127" s="25"/>
      <c r="M127" s="25"/>
      <c r="N127" s="34">
        <f>SUM(N120:N126)</f>
        <v>-29240</v>
      </c>
      <c r="O127" s="34"/>
      <c r="P127" s="34">
        <f>SUM(P102:P126)</f>
        <v>-11644</v>
      </c>
      <c r="Q127" s="25"/>
      <c r="R127" s="5"/>
    </row>
    <row r="128" spans="1:18" ht="15.6" x14ac:dyDescent="0.3">
      <c r="A128" s="24"/>
      <c r="B128" s="25" t="s">
        <v>48</v>
      </c>
      <c r="C128" s="25"/>
      <c r="D128" s="25"/>
      <c r="E128" s="25"/>
      <c r="F128" s="25"/>
      <c r="G128" s="25"/>
      <c r="H128" s="25"/>
      <c r="I128" s="25"/>
      <c r="J128" s="25"/>
      <c r="K128" s="25"/>
      <c r="L128" s="25"/>
      <c r="M128" s="25"/>
      <c r="N128" s="34">
        <f>N101+N127+N113</f>
        <v>0</v>
      </c>
      <c r="O128" s="34"/>
      <c r="P128" s="34">
        <f>P101+P127</f>
        <v>0</v>
      </c>
      <c r="Q128" s="25"/>
      <c r="R128" s="5"/>
    </row>
    <row r="129" spans="1:19" ht="15.6" x14ac:dyDescent="0.3">
      <c r="A129" s="24"/>
      <c r="B129" s="25"/>
      <c r="C129" s="25"/>
      <c r="D129" s="25"/>
      <c r="E129" s="25"/>
      <c r="F129" s="25"/>
      <c r="G129" s="25"/>
      <c r="H129" s="25"/>
      <c r="I129" s="25"/>
      <c r="J129" s="25"/>
      <c r="K129" s="25"/>
      <c r="L129" s="25"/>
      <c r="M129" s="25"/>
      <c r="N129" s="34"/>
      <c r="O129" s="34"/>
      <c r="P129" s="34"/>
      <c r="Q129" s="25"/>
      <c r="R129" s="5"/>
    </row>
    <row r="130" spans="1:19" ht="15.6" x14ac:dyDescent="0.3">
      <c r="A130" s="6"/>
      <c r="B130" s="146"/>
      <c r="C130" s="146"/>
      <c r="D130" s="146"/>
      <c r="E130" s="146"/>
      <c r="F130" s="146"/>
      <c r="G130" s="146"/>
      <c r="H130" s="146"/>
      <c r="I130" s="146"/>
      <c r="J130" s="146"/>
      <c r="K130" s="146"/>
      <c r="L130" s="146"/>
      <c r="M130" s="146"/>
      <c r="N130" s="147"/>
      <c r="O130" s="147"/>
      <c r="P130" s="147"/>
      <c r="Q130" s="146"/>
      <c r="R130" s="5"/>
    </row>
    <row r="131" spans="1:19" ht="18" thickBot="1" x14ac:dyDescent="0.35">
      <c r="A131" s="101"/>
      <c r="B131" s="102" t="str">
        <f>B65</f>
        <v>PM7 INVESTOR REPORT QUARTER ENDING JANUARY 2007</v>
      </c>
      <c r="C131" s="103"/>
      <c r="D131" s="103"/>
      <c r="E131" s="103"/>
      <c r="F131" s="103"/>
      <c r="G131" s="103"/>
      <c r="H131" s="103"/>
      <c r="I131" s="103"/>
      <c r="J131" s="103"/>
      <c r="K131" s="103"/>
      <c r="L131" s="103"/>
      <c r="M131" s="103"/>
      <c r="N131" s="103"/>
      <c r="O131" s="103"/>
      <c r="P131" s="106"/>
      <c r="Q131" s="105"/>
      <c r="R131" s="5"/>
    </row>
    <row r="132" spans="1:19" ht="15.6" x14ac:dyDescent="0.3">
      <c r="A132" s="2"/>
      <c r="B132" s="60" t="s">
        <v>49</v>
      </c>
      <c r="C132" s="4"/>
      <c r="D132" s="4"/>
      <c r="E132" s="4"/>
      <c r="F132" s="4"/>
      <c r="G132" s="4"/>
      <c r="H132" s="4"/>
      <c r="I132" s="4"/>
      <c r="J132" s="4"/>
      <c r="K132" s="4"/>
      <c r="L132" s="4"/>
      <c r="M132" s="4"/>
      <c r="N132" s="4"/>
      <c r="O132" s="4"/>
      <c r="P132" s="50"/>
      <c r="Q132" s="4"/>
      <c r="R132" s="5"/>
    </row>
    <row r="133" spans="1:19" ht="15.6" x14ac:dyDescent="0.3">
      <c r="A133" s="6"/>
      <c r="B133" s="21"/>
      <c r="C133" s="8"/>
      <c r="D133" s="8"/>
      <c r="E133" s="8"/>
      <c r="F133" s="8"/>
      <c r="G133" s="8"/>
      <c r="H133" s="8"/>
      <c r="I133" s="8"/>
      <c r="J133" s="8"/>
      <c r="K133" s="8"/>
      <c r="L133" s="8"/>
      <c r="M133" s="8"/>
      <c r="N133" s="8"/>
      <c r="O133" s="8"/>
      <c r="P133" s="52"/>
      <c r="Q133" s="8"/>
      <c r="R133" s="5"/>
    </row>
    <row r="134" spans="1:19" ht="15.6" x14ac:dyDescent="0.3">
      <c r="A134" s="6"/>
      <c r="B134" s="119" t="s">
        <v>50</v>
      </c>
      <c r="C134" s="8"/>
      <c r="D134" s="8"/>
      <c r="E134" s="8"/>
      <c r="F134" s="8"/>
      <c r="G134" s="8"/>
      <c r="H134" s="8"/>
      <c r="I134" s="8"/>
      <c r="J134" s="8"/>
      <c r="K134" s="8"/>
      <c r="L134" s="8"/>
      <c r="M134" s="8"/>
      <c r="N134" s="8"/>
      <c r="O134" s="8"/>
      <c r="P134" s="52"/>
      <c r="Q134" s="8"/>
      <c r="R134" s="5"/>
    </row>
    <row r="135" spans="1:19" ht="15.6" x14ac:dyDescent="0.3">
      <c r="A135" s="24"/>
      <c r="B135" s="25" t="s">
        <v>51</v>
      </c>
      <c r="C135" s="25"/>
      <c r="D135" s="25"/>
      <c r="E135" s="25"/>
      <c r="F135" s="25"/>
      <c r="G135" s="25"/>
      <c r="H135" s="25"/>
      <c r="I135" s="25"/>
      <c r="J135" s="25"/>
      <c r="K135" s="25"/>
      <c r="L135" s="25"/>
      <c r="M135" s="25"/>
      <c r="N135" s="25"/>
      <c r="O135" s="25"/>
      <c r="P135" s="53">
        <f>+P36*0.022</f>
        <v>19815.399999999998</v>
      </c>
      <c r="Q135" s="25"/>
      <c r="R135" s="5"/>
    </row>
    <row r="136" spans="1:19" ht="15.6" x14ac:dyDescent="0.3">
      <c r="A136" s="24"/>
      <c r="B136" s="25" t="s">
        <v>52</v>
      </c>
      <c r="C136" s="25"/>
      <c r="D136" s="25"/>
      <c r="E136" s="25"/>
      <c r="F136" s="25"/>
      <c r="G136" s="25"/>
      <c r="H136" s="25"/>
      <c r="I136" s="25"/>
      <c r="J136" s="25"/>
      <c r="K136" s="25"/>
      <c r="L136" s="25"/>
      <c r="M136" s="25"/>
      <c r="N136" s="25"/>
      <c r="O136" s="25"/>
      <c r="P136" s="53">
        <v>19815</v>
      </c>
      <c r="Q136" s="25"/>
      <c r="R136" s="5"/>
    </row>
    <row r="137" spans="1:19" ht="15.6" x14ac:dyDescent="0.3">
      <c r="A137" s="24"/>
      <c r="B137" s="25" t="s">
        <v>161</v>
      </c>
      <c r="C137" s="25"/>
      <c r="D137" s="25"/>
      <c r="E137" s="25"/>
      <c r="F137" s="25"/>
      <c r="G137" s="25"/>
      <c r="H137" s="25"/>
      <c r="I137" s="25"/>
      <c r="J137" s="25"/>
      <c r="K137" s="25"/>
      <c r="L137" s="25"/>
      <c r="M137" s="25"/>
      <c r="N137" s="25"/>
      <c r="O137" s="25"/>
      <c r="P137" s="53">
        <v>0</v>
      </c>
      <c r="Q137" s="25"/>
      <c r="R137" s="5"/>
    </row>
    <row r="138" spans="1:19" ht="15.6" x14ac:dyDescent="0.3">
      <c r="A138" s="24"/>
      <c r="B138" s="25" t="s">
        <v>144</v>
      </c>
      <c r="C138" s="25"/>
      <c r="D138" s="25"/>
      <c r="E138" s="25"/>
      <c r="F138" s="25"/>
      <c r="G138" s="25"/>
      <c r="H138" s="25"/>
      <c r="I138" s="25"/>
      <c r="J138" s="25"/>
      <c r="K138" s="25"/>
      <c r="L138" s="25"/>
      <c r="M138" s="25"/>
      <c r="N138" s="25"/>
      <c r="O138" s="25"/>
      <c r="P138" s="53">
        <v>0</v>
      </c>
      <c r="Q138" s="25"/>
      <c r="R138" s="5"/>
    </row>
    <row r="139" spans="1:19" ht="15.6" x14ac:dyDescent="0.3">
      <c r="A139" s="24"/>
      <c r="B139" s="25" t="s">
        <v>145</v>
      </c>
      <c r="C139" s="25"/>
      <c r="D139" s="25"/>
      <c r="E139" s="25"/>
      <c r="F139" s="25"/>
      <c r="G139" s="25"/>
      <c r="H139" s="25"/>
      <c r="I139" s="25"/>
      <c r="J139" s="25"/>
      <c r="K139" s="25"/>
      <c r="L139" s="25"/>
      <c r="M139" s="25"/>
      <c r="N139" s="25"/>
      <c r="O139" s="25"/>
      <c r="P139" s="53">
        <v>0</v>
      </c>
      <c r="Q139" s="25"/>
      <c r="R139" s="5"/>
    </row>
    <row r="140" spans="1:19" ht="15.6" x14ac:dyDescent="0.3">
      <c r="A140" s="24"/>
      <c r="B140" s="25" t="s">
        <v>53</v>
      </c>
      <c r="C140" s="25"/>
      <c r="D140" s="25"/>
      <c r="E140" s="25"/>
      <c r="F140" s="25"/>
      <c r="G140" s="25"/>
      <c r="H140" s="25"/>
      <c r="I140" s="25"/>
      <c r="J140" s="25"/>
      <c r="K140" s="25"/>
      <c r="L140" s="25"/>
      <c r="M140" s="25"/>
      <c r="N140" s="25"/>
      <c r="O140" s="25"/>
      <c r="P140" s="53">
        <v>0</v>
      </c>
      <c r="Q140" s="25"/>
      <c r="R140" s="5"/>
    </row>
    <row r="141" spans="1:19" ht="15.6" x14ac:dyDescent="0.3">
      <c r="A141" s="24"/>
      <c r="B141" s="25" t="s">
        <v>153</v>
      </c>
      <c r="C141" s="25"/>
      <c r="D141" s="25"/>
      <c r="E141" s="25"/>
      <c r="F141" s="25"/>
      <c r="G141" s="25"/>
      <c r="H141" s="25"/>
      <c r="I141" s="25"/>
      <c r="J141" s="25"/>
      <c r="K141" s="25"/>
      <c r="L141" s="25"/>
      <c r="M141" s="25"/>
      <c r="N141" s="25"/>
      <c r="O141" s="25"/>
      <c r="P141" s="53">
        <v>0</v>
      </c>
      <c r="Q141" s="25"/>
      <c r="R141" s="5"/>
    </row>
    <row r="142" spans="1:19" ht="15.6" x14ac:dyDescent="0.3">
      <c r="A142" s="24"/>
      <c r="B142" s="25" t="s">
        <v>202</v>
      </c>
      <c r="C142" s="25"/>
      <c r="D142" s="25"/>
      <c r="E142" s="25"/>
      <c r="F142" s="25"/>
      <c r="G142" s="25"/>
      <c r="H142" s="25"/>
      <c r="I142" s="25"/>
      <c r="J142" s="25"/>
      <c r="K142" s="25"/>
      <c r="L142" s="25"/>
      <c r="M142" s="25"/>
      <c r="N142" s="25"/>
      <c r="O142" s="25"/>
      <c r="P142" s="53">
        <v>0</v>
      </c>
      <c r="Q142" s="25"/>
      <c r="R142" s="5"/>
      <c r="S142" s="109"/>
    </row>
    <row r="143" spans="1:19" ht="15.6" x14ac:dyDescent="0.3">
      <c r="A143" s="24"/>
      <c r="B143" s="25" t="s">
        <v>54</v>
      </c>
      <c r="C143" s="25"/>
      <c r="D143" s="25"/>
      <c r="E143" s="25"/>
      <c r="F143" s="25"/>
      <c r="G143" s="25"/>
      <c r="H143" s="25"/>
      <c r="I143" s="25"/>
      <c r="J143" s="25"/>
      <c r="K143" s="25"/>
      <c r="L143" s="25"/>
      <c r="M143" s="25"/>
      <c r="N143" s="25"/>
      <c r="O143" s="25"/>
      <c r="P143" s="53">
        <f>SUM(P136:P142)</f>
        <v>19815</v>
      </c>
      <c r="Q143" s="25"/>
      <c r="R143" s="5"/>
    </row>
    <row r="144" spans="1:19" ht="15.6" x14ac:dyDescent="0.3">
      <c r="A144" s="24"/>
      <c r="B144" s="25"/>
      <c r="C144" s="25"/>
      <c r="D144" s="25"/>
      <c r="E144" s="25"/>
      <c r="F144" s="25"/>
      <c r="G144" s="25"/>
      <c r="H144" s="25"/>
      <c r="I144" s="25"/>
      <c r="J144" s="25"/>
      <c r="K144" s="25"/>
      <c r="L144" s="25"/>
      <c r="M144" s="25"/>
      <c r="N144" s="25"/>
      <c r="O144" s="25"/>
      <c r="P144" s="61"/>
      <c r="Q144" s="25"/>
      <c r="R144" s="5"/>
    </row>
    <row r="145" spans="1:18" ht="15.6" x14ac:dyDescent="0.3">
      <c r="A145" s="6"/>
      <c r="B145" s="119" t="s">
        <v>28</v>
      </c>
      <c r="C145" s="8"/>
      <c r="D145" s="8"/>
      <c r="E145" s="8"/>
      <c r="F145" s="8"/>
      <c r="G145" s="8"/>
      <c r="H145" s="8"/>
      <c r="I145" s="8"/>
      <c r="J145" s="8"/>
      <c r="K145" s="8"/>
      <c r="L145" s="8"/>
      <c r="M145" s="8"/>
      <c r="N145" s="8"/>
      <c r="O145" s="8"/>
      <c r="P145" s="52"/>
      <c r="Q145" s="8"/>
      <c r="R145" s="5"/>
    </row>
    <row r="146" spans="1:18" ht="15.6" x14ac:dyDescent="0.3">
      <c r="A146" s="24"/>
      <c r="B146" s="25" t="s">
        <v>55</v>
      </c>
      <c r="C146" s="25"/>
      <c r="D146" s="25"/>
      <c r="E146" s="25"/>
      <c r="F146" s="25"/>
      <c r="G146" s="25"/>
      <c r="H146" s="25"/>
      <c r="I146" s="25"/>
      <c r="J146" s="25"/>
      <c r="K146" s="25"/>
      <c r="L146" s="25"/>
      <c r="M146" s="25"/>
      <c r="N146" s="25"/>
      <c r="O146" s="25"/>
      <c r="P146" s="59" t="s">
        <v>137</v>
      </c>
      <c r="Q146" s="25"/>
      <c r="R146" s="5"/>
    </row>
    <row r="147" spans="1:18" ht="15.6" x14ac:dyDescent="0.3">
      <c r="A147" s="24"/>
      <c r="B147" s="25" t="s">
        <v>56</v>
      </c>
      <c r="C147" s="141"/>
      <c r="D147" s="141"/>
      <c r="E147" s="141"/>
      <c r="F147" s="141"/>
      <c r="G147" s="141"/>
      <c r="H147" s="141"/>
      <c r="I147" s="141"/>
      <c r="J147" s="141"/>
      <c r="K147" s="141"/>
      <c r="L147" s="141"/>
      <c r="M147" s="141"/>
      <c r="N147" s="141"/>
      <c r="O147" s="141"/>
      <c r="P147" s="59" t="s">
        <v>137</v>
      </c>
      <c r="Q147" s="25"/>
      <c r="R147" s="5"/>
    </row>
    <row r="148" spans="1:18" ht="15.6" x14ac:dyDescent="0.3">
      <c r="A148" s="24"/>
      <c r="B148" s="25" t="s">
        <v>57</v>
      </c>
      <c r="C148" s="25"/>
      <c r="D148" s="25"/>
      <c r="E148" s="25"/>
      <c r="F148" s="25"/>
      <c r="G148" s="25"/>
      <c r="H148" s="25"/>
      <c r="I148" s="25"/>
      <c r="J148" s="25"/>
      <c r="K148" s="25"/>
      <c r="L148" s="25"/>
      <c r="M148" s="25"/>
      <c r="N148" s="25"/>
      <c r="O148" s="25"/>
      <c r="P148" s="59" t="s">
        <v>137</v>
      </c>
      <c r="Q148" s="25"/>
      <c r="R148" s="5"/>
    </row>
    <row r="149" spans="1:18" ht="15.6" x14ac:dyDescent="0.3">
      <c r="A149" s="24"/>
      <c r="B149" s="25" t="s">
        <v>58</v>
      </c>
      <c r="C149" s="25"/>
      <c r="D149" s="25"/>
      <c r="E149" s="25"/>
      <c r="F149" s="25"/>
      <c r="G149" s="25"/>
      <c r="H149" s="25"/>
      <c r="I149" s="25"/>
      <c r="J149" s="25"/>
      <c r="K149" s="25"/>
      <c r="L149" s="25"/>
      <c r="M149" s="25"/>
      <c r="N149" s="25"/>
      <c r="O149" s="25"/>
      <c r="P149" s="59" t="s">
        <v>137</v>
      </c>
      <c r="Q149" s="25"/>
      <c r="R149" s="5"/>
    </row>
    <row r="150" spans="1:18" ht="15.6" x14ac:dyDescent="0.3">
      <c r="A150" s="24"/>
      <c r="B150" s="25"/>
      <c r="C150" s="25"/>
      <c r="D150" s="25"/>
      <c r="E150" s="25"/>
      <c r="F150" s="25"/>
      <c r="G150" s="25"/>
      <c r="H150" s="25"/>
      <c r="I150" s="25"/>
      <c r="J150" s="25"/>
      <c r="K150" s="25"/>
      <c r="L150" s="25"/>
      <c r="M150" s="25"/>
      <c r="N150" s="25"/>
      <c r="O150" s="25"/>
      <c r="P150" s="61"/>
      <c r="Q150" s="25"/>
      <c r="R150" s="5"/>
    </row>
    <row r="151" spans="1:18" ht="15.6" x14ac:dyDescent="0.3">
      <c r="A151" s="6"/>
      <c r="B151" s="119" t="s">
        <v>59</v>
      </c>
      <c r="C151" s="8"/>
      <c r="D151" s="8"/>
      <c r="E151" s="8"/>
      <c r="F151" s="8"/>
      <c r="G151" s="8"/>
      <c r="H151" s="8"/>
      <c r="I151" s="8"/>
      <c r="J151" s="8"/>
      <c r="K151" s="8"/>
      <c r="L151" s="8"/>
      <c r="M151" s="8"/>
      <c r="N151" s="8"/>
      <c r="O151" s="8"/>
      <c r="P151" s="63"/>
      <c r="Q151" s="8"/>
      <c r="R151" s="5"/>
    </row>
    <row r="152" spans="1:18" ht="15.6" x14ac:dyDescent="0.3">
      <c r="A152" s="24"/>
      <c r="B152" s="25" t="s">
        <v>60</v>
      </c>
      <c r="C152" s="25"/>
      <c r="D152" s="25"/>
      <c r="E152" s="25"/>
      <c r="F152" s="25"/>
      <c r="G152" s="25"/>
      <c r="H152" s="25"/>
      <c r="I152" s="25"/>
      <c r="J152" s="25"/>
      <c r="K152" s="25"/>
      <c r="L152" s="25"/>
      <c r="M152" s="25"/>
      <c r="N152" s="25"/>
      <c r="O152" s="25"/>
      <c r="P152" s="53">
        <v>0</v>
      </c>
      <c r="Q152" s="25"/>
      <c r="R152" s="5"/>
    </row>
    <row r="153" spans="1:18" ht="15.6" x14ac:dyDescent="0.3">
      <c r="A153" s="24"/>
      <c r="B153" s="25" t="s">
        <v>61</v>
      </c>
      <c r="C153" s="25"/>
      <c r="D153" s="25"/>
      <c r="E153" s="25"/>
      <c r="F153" s="25"/>
      <c r="G153" s="25"/>
      <c r="H153" s="25"/>
      <c r="I153" s="25"/>
      <c r="J153" s="25"/>
      <c r="K153" s="25"/>
      <c r="L153" s="25"/>
      <c r="M153" s="25"/>
      <c r="N153" s="25"/>
      <c r="O153" s="25"/>
      <c r="P153" s="53">
        <f>-P113</f>
        <v>40</v>
      </c>
      <c r="Q153" s="25"/>
      <c r="R153" s="5"/>
    </row>
    <row r="154" spans="1:18" ht="15.6" x14ac:dyDescent="0.3">
      <c r="A154" s="24"/>
      <c r="B154" s="25" t="s">
        <v>62</v>
      </c>
      <c r="C154" s="25"/>
      <c r="D154" s="25"/>
      <c r="E154" s="25"/>
      <c r="F154" s="25"/>
      <c r="G154" s="25"/>
      <c r="H154" s="25"/>
      <c r="I154" s="25"/>
      <c r="J154" s="25"/>
      <c r="K154" s="25"/>
      <c r="L154" s="25"/>
      <c r="M154" s="25"/>
      <c r="N154" s="25"/>
      <c r="O154" s="25"/>
      <c r="P154" s="53">
        <f>P153+P152</f>
        <v>40</v>
      </c>
      <c r="Q154" s="25"/>
      <c r="R154" s="5"/>
    </row>
    <row r="155" spans="1:18" ht="15.6" x14ac:dyDescent="0.3">
      <c r="A155" s="24"/>
      <c r="B155" s="403" t="s">
        <v>297</v>
      </c>
      <c r="C155" s="25"/>
      <c r="D155" s="25"/>
      <c r="E155" s="25"/>
      <c r="F155" s="25"/>
      <c r="G155" s="25"/>
      <c r="H155" s="25"/>
      <c r="I155" s="25"/>
      <c r="J155" s="25"/>
      <c r="K155" s="25"/>
      <c r="L155" s="25"/>
      <c r="M155" s="25"/>
      <c r="N155" s="25"/>
      <c r="O155" s="25"/>
      <c r="P155" s="53">
        <f>P113</f>
        <v>-40</v>
      </c>
      <c r="Q155" s="25"/>
      <c r="R155" s="5"/>
    </row>
    <row r="156" spans="1:18" ht="15.6" x14ac:dyDescent="0.3">
      <c r="A156" s="24"/>
      <c r="B156" s="25" t="s">
        <v>63</v>
      </c>
      <c r="C156" s="25"/>
      <c r="D156" s="25"/>
      <c r="E156" s="25"/>
      <c r="F156" s="25"/>
      <c r="G156" s="25"/>
      <c r="H156" s="25"/>
      <c r="I156" s="25"/>
      <c r="J156" s="25"/>
      <c r="K156" s="25"/>
      <c r="L156" s="25"/>
      <c r="M156" s="25"/>
      <c r="N156" s="25"/>
      <c r="O156" s="25"/>
      <c r="P156" s="53">
        <f>P154+P155</f>
        <v>0</v>
      </c>
      <c r="Q156" s="25"/>
      <c r="R156" s="5"/>
    </row>
    <row r="157" spans="1:18" ht="16.2" thickBot="1" x14ac:dyDescent="0.35">
      <c r="A157" s="24"/>
      <c r="B157" s="25"/>
      <c r="C157" s="25"/>
      <c r="D157" s="25"/>
      <c r="E157" s="25"/>
      <c r="F157" s="25"/>
      <c r="G157" s="25"/>
      <c r="H157" s="25"/>
      <c r="I157" s="25"/>
      <c r="J157" s="25"/>
      <c r="K157" s="25"/>
      <c r="L157" s="25"/>
      <c r="M157" s="25"/>
      <c r="N157" s="25"/>
      <c r="O157" s="25"/>
      <c r="P157" s="61"/>
      <c r="Q157" s="25"/>
      <c r="R157" s="5"/>
    </row>
    <row r="158" spans="1:18" ht="15.6" x14ac:dyDescent="0.3">
      <c r="A158" s="2"/>
      <c r="B158" s="4"/>
      <c r="C158" s="4"/>
      <c r="D158" s="4"/>
      <c r="E158" s="4"/>
      <c r="F158" s="4"/>
      <c r="G158" s="4"/>
      <c r="H158" s="4"/>
      <c r="I158" s="4"/>
      <c r="J158" s="4"/>
      <c r="K158" s="4"/>
      <c r="L158" s="4"/>
      <c r="M158" s="4"/>
      <c r="N158" s="4"/>
      <c r="O158" s="4"/>
      <c r="P158" s="50"/>
      <c r="Q158" s="4"/>
      <c r="R158" s="5"/>
    </row>
    <row r="159" spans="1:18" ht="15.6" x14ac:dyDescent="0.3">
      <c r="A159" s="6"/>
      <c r="B159" s="119" t="s">
        <v>64</v>
      </c>
      <c r="C159" s="8"/>
      <c r="D159" s="8"/>
      <c r="E159" s="8"/>
      <c r="F159" s="8"/>
      <c r="G159" s="8"/>
      <c r="H159" s="8"/>
      <c r="I159" s="8"/>
      <c r="J159" s="8"/>
      <c r="K159" s="8"/>
      <c r="L159" s="8"/>
      <c r="M159" s="8"/>
      <c r="N159" s="8"/>
      <c r="O159" s="8"/>
      <c r="P159" s="52"/>
      <c r="Q159" s="8"/>
      <c r="R159" s="5"/>
    </row>
    <row r="160" spans="1:18" ht="15.6" x14ac:dyDescent="0.3">
      <c r="A160" s="6"/>
      <c r="B160" s="21"/>
      <c r="C160" s="8"/>
      <c r="D160" s="8"/>
      <c r="E160" s="8"/>
      <c r="F160" s="8"/>
      <c r="G160" s="8"/>
      <c r="H160" s="8"/>
      <c r="I160" s="8"/>
      <c r="J160" s="8"/>
      <c r="K160" s="8"/>
      <c r="L160" s="8"/>
      <c r="M160" s="8"/>
      <c r="N160" s="8"/>
      <c r="O160" s="8"/>
      <c r="P160" s="52"/>
      <c r="Q160" s="8"/>
      <c r="R160" s="5"/>
    </row>
    <row r="161" spans="1:18" ht="15.6" x14ac:dyDescent="0.3">
      <c r="A161" s="24"/>
      <c r="B161" s="25" t="s">
        <v>221</v>
      </c>
      <c r="C161" s="25"/>
      <c r="D161" s="25"/>
      <c r="E161" s="25"/>
      <c r="F161" s="25"/>
      <c r="G161" s="25"/>
      <c r="H161" s="25"/>
      <c r="I161" s="25"/>
      <c r="J161" s="25"/>
      <c r="K161" s="25"/>
      <c r="L161" s="25"/>
      <c r="M161" s="25"/>
      <c r="N161" s="25"/>
      <c r="O161" s="25"/>
      <c r="P161" s="53">
        <f>P73</f>
        <v>635908</v>
      </c>
      <c r="Q161" s="25"/>
      <c r="R161" s="5"/>
    </row>
    <row r="162" spans="1:18" ht="15.6" x14ac:dyDescent="0.3">
      <c r="A162" s="24"/>
      <c r="B162" s="25" t="s">
        <v>65</v>
      </c>
      <c r="C162" s="25"/>
      <c r="D162" s="25"/>
      <c r="E162" s="25"/>
      <c r="F162" s="25"/>
      <c r="G162" s="25"/>
      <c r="H162" s="25"/>
      <c r="I162" s="25"/>
      <c r="J162" s="25"/>
      <c r="K162" s="25"/>
      <c r="L162" s="25"/>
      <c r="M162" s="25"/>
      <c r="N162" s="25"/>
      <c r="O162" s="25"/>
      <c r="P162" s="53">
        <f>P86</f>
        <v>635908</v>
      </c>
      <c r="Q162" s="25"/>
      <c r="R162" s="5"/>
    </row>
    <row r="163" spans="1:18" ht="16.2" thickBot="1" x14ac:dyDescent="0.35">
      <c r="A163" s="24"/>
      <c r="B163" s="25"/>
      <c r="C163" s="25"/>
      <c r="D163" s="25"/>
      <c r="E163" s="25"/>
      <c r="F163" s="25"/>
      <c r="G163" s="25"/>
      <c r="H163" s="25"/>
      <c r="I163" s="25"/>
      <c r="J163" s="25"/>
      <c r="K163" s="25"/>
      <c r="L163" s="25"/>
      <c r="M163" s="25"/>
      <c r="N163" s="25"/>
      <c r="O163" s="25"/>
      <c r="P163" s="61"/>
      <c r="Q163" s="25"/>
      <c r="R163" s="5"/>
    </row>
    <row r="164" spans="1:18" ht="15.6" x14ac:dyDescent="0.3">
      <c r="A164" s="2"/>
      <c r="B164" s="4"/>
      <c r="C164" s="4"/>
      <c r="D164" s="4"/>
      <c r="E164" s="4"/>
      <c r="F164" s="4"/>
      <c r="G164" s="4"/>
      <c r="H164" s="4"/>
      <c r="I164" s="4"/>
      <c r="J164" s="4"/>
      <c r="K164" s="4"/>
      <c r="L164" s="4"/>
      <c r="M164" s="4"/>
      <c r="N164" s="4"/>
      <c r="O164" s="4"/>
      <c r="P164" s="50"/>
      <c r="Q164" s="4"/>
      <c r="R164" s="5"/>
    </row>
    <row r="165" spans="1:18" ht="15.6" x14ac:dyDescent="0.3">
      <c r="A165" s="6"/>
      <c r="B165" s="119" t="s">
        <v>66</v>
      </c>
      <c r="C165" s="117"/>
      <c r="D165" s="117"/>
      <c r="E165" s="117"/>
      <c r="F165" s="120"/>
      <c r="G165" s="120"/>
      <c r="H165" s="120"/>
      <c r="I165" s="120"/>
      <c r="J165" s="120"/>
      <c r="K165" s="120"/>
      <c r="L165" s="120"/>
      <c r="M165" s="120" t="s">
        <v>112</v>
      </c>
      <c r="N165" s="120" t="s">
        <v>120</v>
      </c>
      <c r="O165" s="111"/>
      <c r="P165" s="121" t="s">
        <v>129</v>
      </c>
      <c r="Q165" s="10"/>
      <c r="R165" s="5"/>
    </row>
    <row r="166" spans="1:18" ht="15.6" x14ac:dyDescent="0.3">
      <c r="A166" s="24"/>
      <c r="B166" s="25" t="s">
        <v>67</v>
      </c>
      <c r="C166" s="25"/>
      <c r="D166" s="25"/>
      <c r="E166" s="25"/>
      <c r="F166" s="25"/>
      <c r="G166" s="25"/>
      <c r="H166" s="25"/>
      <c r="I166" s="25"/>
      <c r="J166" s="25"/>
      <c r="K166" s="25"/>
      <c r="L166" s="25"/>
      <c r="M166" s="53">
        <v>144000</v>
      </c>
      <c r="N166" s="40">
        <v>0</v>
      </c>
      <c r="O166" s="25"/>
      <c r="P166" s="53"/>
      <c r="Q166" s="25"/>
      <c r="R166" s="5"/>
    </row>
    <row r="167" spans="1:18" ht="15.6" x14ac:dyDescent="0.3">
      <c r="A167" s="24"/>
      <c r="B167" s="25" t="s">
        <v>68</v>
      </c>
      <c r="C167" s="25"/>
      <c r="D167" s="25"/>
      <c r="E167" s="25"/>
      <c r="F167" s="25"/>
      <c r="G167" s="25"/>
      <c r="H167" s="25"/>
      <c r="I167" s="25"/>
      <c r="J167" s="25"/>
      <c r="K167" s="25"/>
      <c r="L167" s="25"/>
      <c r="M167" s="53">
        <f>'Oct 06'!M168</f>
        <v>52993</v>
      </c>
      <c r="N167" s="53">
        <f>'Oct 06'!N168</f>
        <v>9182</v>
      </c>
      <c r="O167" s="25"/>
      <c r="P167" s="53">
        <f>M167+N167</f>
        <v>62175</v>
      </c>
      <c r="Q167" s="25"/>
      <c r="R167" s="5"/>
    </row>
    <row r="168" spans="1:18" ht="15.6" x14ac:dyDescent="0.3">
      <c r="A168" s="24"/>
      <c r="B168" s="25" t="s">
        <v>69</v>
      </c>
      <c r="C168" s="25"/>
      <c r="D168" s="25"/>
      <c r="E168" s="25"/>
      <c r="F168" s="25"/>
      <c r="G168" s="25"/>
      <c r="H168" s="25"/>
      <c r="I168" s="25"/>
      <c r="J168" s="25"/>
      <c r="K168" s="25"/>
      <c r="L168" s="25"/>
      <c r="M168" s="34">
        <v>3818</v>
      </c>
      <c r="N168" s="34">
        <f>-N99-N120</f>
        <v>104</v>
      </c>
      <c r="O168" s="25"/>
      <c r="P168" s="53">
        <f>M168+N168</f>
        <v>3922</v>
      </c>
      <c r="Q168" s="25"/>
      <c r="R168" s="5"/>
    </row>
    <row r="169" spans="1:18" ht="15.6" x14ac:dyDescent="0.3">
      <c r="A169" s="24"/>
      <c r="B169" s="25" t="s">
        <v>70</v>
      </c>
      <c r="C169" s="25"/>
      <c r="D169" s="25"/>
      <c r="E169" s="25"/>
      <c r="F169" s="25"/>
      <c r="G169" s="25"/>
      <c r="H169" s="25"/>
      <c r="I169" s="25"/>
      <c r="J169" s="25"/>
      <c r="K169" s="25"/>
      <c r="L169" s="25"/>
      <c r="M169" s="53">
        <f>M167+M168</f>
        <v>56811</v>
      </c>
      <c r="N169" s="53">
        <f>N168+N167</f>
        <v>9286</v>
      </c>
      <c r="O169" s="25"/>
      <c r="P169" s="53">
        <f>M169+N169</f>
        <v>66097</v>
      </c>
      <c r="Q169" s="25"/>
      <c r="R169" s="5"/>
    </row>
    <row r="170" spans="1:18" ht="15.6" x14ac:dyDescent="0.3">
      <c r="A170" s="24"/>
      <c r="B170" s="25" t="s">
        <v>71</v>
      </c>
      <c r="C170" s="25"/>
      <c r="D170" s="25"/>
      <c r="E170" s="25"/>
      <c r="F170" s="25"/>
      <c r="G170" s="25"/>
      <c r="H170" s="25"/>
      <c r="I170" s="25"/>
      <c r="J170" s="25"/>
      <c r="K170" s="25"/>
      <c r="L170" s="25"/>
      <c r="M170" s="53">
        <f>M166-M169-N169</f>
        <v>77903</v>
      </c>
      <c r="N170" s="40"/>
      <c r="O170" s="25"/>
      <c r="P170" s="53"/>
      <c r="Q170" s="25"/>
      <c r="R170" s="5"/>
    </row>
    <row r="171" spans="1:18" ht="16.2" thickBot="1" x14ac:dyDescent="0.35">
      <c r="A171" s="24"/>
      <c r="B171" s="25"/>
      <c r="C171" s="25"/>
      <c r="D171" s="25"/>
      <c r="E171" s="25"/>
      <c r="F171" s="25"/>
      <c r="G171" s="25"/>
      <c r="H171" s="25"/>
      <c r="I171" s="25"/>
      <c r="J171" s="25"/>
      <c r="K171" s="25"/>
      <c r="L171" s="25"/>
      <c r="M171" s="25"/>
      <c r="N171" s="25"/>
      <c r="O171" s="25"/>
      <c r="P171" s="61"/>
      <c r="Q171" s="25"/>
      <c r="R171" s="5"/>
    </row>
    <row r="172" spans="1:18" ht="15.6" x14ac:dyDescent="0.3">
      <c r="A172" s="2"/>
      <c r="B172" s="4"/>
      <c r="C172" s="4"/>
      <c r="D172" s="4"/>
      <c r="E172" s="4"/>
      <c r="F172" s="4"/>
      <c r="G172" s="4"/>
      <c r="H172" s="4"/>
      <c r="I172" s="4"/>
      <c r="J172" s="4"/>
      <c r="K172" s="4"/>
      <c r="L172" s="4"/>
      <c r="M172" s="4"/>
      <c r="N172" s="4"/>
      <c r="O172" s="4"/>
      <c r="P172" s="50"/>
      <c r="Q172" s="4"/>
      <c r="R172" s="5"/>
    </row>
    <row r="173" spans="1:18" ht="15.6" x14ac:dyDescent="0.3">
      <c r="A173" s="6"/>
      <c r="B173" s="119" t="s">
        <v>72</v>
      </c>
      <c r="C173" s="8"/>
      <c r="D173" s="8"/>
      <c r="E173" s="8"/>
      <c r="F173" s="8"/>
      <c r="G173" s="8"/>
      <c r="H173" s="8"/>
      <c r="I173" s="8"/>
      <c r="J173" s="8"/>
      <c r="K173" s="8"/>
      <c r="L173" s="8"/>
      <c r="M173" s="8"/>
      <c r="N173" s="8"/>
      <c r="O173" s="8"/>
      <c r="P173" s="65"/>
      <c r="Q173" s="8"/>
      <c r="R173" s="5"/>
    </row>
    <row r="174" spans="1:18" ht="15.6" x14ac:dyDescent="0.3">
      <c r="A174" s="24"/>
      <c r="B174" s="25" t="s">
        <v>73</v>
      </c>
      <c r="C174" s="25"/>
      <c r="D174" s="25"/>
      <c r="E174" s="25"/>
      <c r="F174" s="25"/>
      <c r="G174" s="25"/>
      <c r="H174" s="25"/>
      <c r="I174" s="25"/>
      <c r="J174" s="25"/>
      <c r="K174" s="25"/>
      <c r="L174" s="25"/>
      <c r="M174" s="25"/>
      <c r="N174" s="25"/>
      <c r="O174" s="25"/>
      <c r="P174" s="66">
        <f>(P101+P103+P104+P105+P106)/-(P107+P108+P109)</f>
        <v>1.4412024756852344</v>
      </c>
      <c r="Q174" s="25" t="s">
        <v>130</v>
      </c>
      <c r="R174" s="5"/>
    </row>
    <row r="175" spans="1:18" ht="15.6" x14ac:dyDescent="0.3">
      <c r="A175" s="24"/>
      <c r="B175" s="25" t="s">
        <v>74</v>
      </c>
      <c r="C175" s="25"/>
      <c r="D175" s="25"/>
      <c r="E175" s="25"/>
      <c r="F175" s="25"/>
      <c r="G175" s="25"/>
      <c r="H175" s="25"/>
      <c r="I175" s="25"/>
      <c r="J175" s="25"/>
      <c r="K175" s="25"/>
      <c r="L175" s="25"/>
      <c r="M175" s="25"/>
      <c r="N175" s="25"/>
      <c r="O175" s="25"/>
      <c r="P175" s="66">
        <v>1.39</v>
      </c>
      <c r="Q175" s="25" t="s">
        <v>130</v>
      </c>
      <c r="R175" s="5"/>
    </row>
    <row r="176" spans="1:18" ht="15.6" x14ac:dyDescent="0.3">
      <c r="A176" s="24"/>
      <c r="B176" s="25" t="s">
        <v>75</v>
      </c>
      <c r="C176" s="25"/>
      <c r="D176" s="25"/>
      <c r="E176" s="25"/>
      <c r="F176" s="25"/>
      <c r="G176" s="25"/>
      <c r="H176" s="25"/>
      <c r="I176" s="25"/>
      <c r="J176" s="25"/>
      <c r="K176" s="25"/>
      <c r="L176" s="25"/>
      <c r="M176" s="25"/>
      <c r="N176" s="25"/>
      <c r="O176" s="25"/>
      <c r="P176" s="59">
        <f>(P101+P103+P104+P105+P106+P107+P108+P109)/-(P110+P111)</f>
        <v>2.5003579098067288</v>
      </c>
      <c r="Q176" s="25" t="s">
        <v>130</v>
      </c>
      <c r="R176" s="5"/>
    </row>
    <row r="177" spans="1:18" ht="15.6" x14ac:dyDescent="0.3">
      <c r="A177" s="24"/>
      <c r="B177" s="25" t="s">
        <v>76</v>
      </c>
      <c r="C177" s="25"/>
      <c r="D177" s="25"/>
      <c r="E177" s="25"/>
      <c r="F177" s="25"/>
      <c r="G177" s="25"/>
      <c r="H177" s="25"/>
      <c r="I177" s="25"/>
      <c r="J177" s="25"/>
      <c r="K177" s="25"/>
      <c r="L177" s="25"/>
      <c r="M177" s="25"/>
      <c r="N177" s="25"/>
      <c r="O177" s="25"/>
      <c r="P177" s="66">
        <v>2.66</v>
      </c>
      <c r="Q177" s="25" t="s">
        <v>130</v>
      </c>
      <c r="R177" s="5"/>
    </row>
    <row r="178" spans="1:18" ht="15.6" x14ac:dyDescent="0.3">
      <c r="A178" s="24"/>
      <c r="B178" s="25"/>
      <c r="C178" s="25"/>
      <c r="D178" s="25"/>
      <c r="E178" s="25"/>
      <c r="F178" s="25"/>
      <c r="G178" s="25"/>
      <c r="H178" s="25"/>
      <c r="I178" s="25"/>
      <c r="J178" s="25"/>
      <c r="K178" s="25"/>
      <c r="L178" s="25"/>
      <c r="M178" s="25"/>
      <c r="N178" s="25"/>
      <c r="O178" s="25"/>
      <c r="P178" s="25"/>
      <c r="Q178" s="25"/>
      <c r="R178" s="5"/>
    </row>
    <row r="179" spans="1:18" ht="15.6" x14ac:dyDescent="0.3">
      <c r="A179" s="24"/>
      <c r="B179" s="25"/>
      <c r="C179" s="25"/>
      <c r="D179" s="25"/>
      <c r="E179" s="25"/>
      <c r="F179" s="25"/>
      <c r="G179" s="25"/>
      <c r="H179" s="25"/>
      <c r="I179" s="25"/>
      <c r="J179" s="25"/>
      <c r="K179" s="25"/>
      <c r="L179" s="25"/>
      <c r="M179" s="25"/>
      <c r="N179" s="25"/>
      <c r="O179" s="25"/>
      <c r="P179" s="25"/>
      <c r="Q179" s="25"/>
      <c r="R179" s="5"/>
    </row>
    <row r="180" spans="1:18" ht="15.6" x14ac:dyDescent="0.3">
      <c r="A180" s="6"/>
      <c r="B180" s="8"/>
      <c r="C180" s="8"/>
      <c r="D180" s="8"/>
      <c r="E180" s="8"/>
      <c r="F180" s="8"/>
      <c r="G180" s="8"/>
      <c r="H180" s="8"/>
      <c r="I180" s="8"/>
      <c r="J180" s="8"/>
      <c r="K180" s="8"/>
      <c r="L180" s="8"/>
      <c r="M180" s="8"/>
      <c r="N180" s="8"/>
      <c r="O180" s="8"/>
      <c r="P180" s="8"/>
      <c r="Q180" s="8"/>
      <c r="R180" s="5"/>
    </row>
    <row r="181" spans="1:18" ht="18" thickBot="1" x14ac:dyDescent="0.35">
      <c r="A181" s="101"/>
      <c r="B181" s="102" t="str">
        <f>B131</f>
        <v>PM7 INVESTOR REPORT QUARTER ENDING JANUARY 2007</v>
      </c>
      <c r="C181" s="143"/>
      <c r="D181" s="143"/>
      <c r="E181" s="143"/>
      <c r="F181" s="143"/>
      <c r="G181" s="143"/>
      <c r="H181" s="143"/>
      <c r="I181" s="143"/>
      <c r="J181" s="143"/>
      <c r="K181" s="143"/>
      <c r="L181" s="143"/>
      <c r="M181" s="143"/>
      <c r="N181" s="143"/>
      <c r="O181" s="143"/>
      <c r="P181" s="143"/>
      <c r="Q181" s="144"/>
      <c r="R181" s="5"/>
    </row>
    <row r="182" spans="1:18" ht="15.6" x14ac:dyDescent="0.3">
      <c r="A182" s="67"/>
      <c r="B182" s="60" t="s">
        <v>77</v>
      </c>
      <c r="C182" s="68"/>
      <c r="D182" s="68"/>
      <c r="E182" s="69"/>
      <c r="F182" s="69"/>
      <c r="G182" s="69"/>
      <c r="H182" s="69"/>
      <c r="I182" s="69"/>
      <c r="J182" s="69"/>
      <c r="K182" s="69"/>
      <c r="L182" s="69"/>
      <c r="M182" s="69"/>
      <c r="N182" s="70">
        <f>H89</f>
        <v>39113</v>
      </c>
      <c r="O182" s="4"/>
      <c r="P182" s="4"/>
      <c r="Q182" s="4"/>
      <c r="R182" s="5"/>
    </row>
    <row r="183" spans="1:18" ht="15.6" x14ac:dyDescent="0.3">
      <c r="A183" s="71"/>
      <c r="B183" s="72"/>
      <c r="C183" s="73"/>
      <c r="D183" s="73"/>
      <c r="E183" s="74"/>
      <c r="F183" s="74"/>
      <c r="G183" s="74"/>
      <c r="H183" s="74"/>
      <c r="I183" s="74"/>
      <c r="J183" s="74"/>
      <c r="K183" s="74"/>
      <c r="L183" s="74"/>
      <c r="M183" s="74"/>
      <c r="N183" s="74"/>
      <c r="O183" s="8"/>
      <c r="P183" s="8"/>
      <c r="Q183" s="8"/>
      <c r="R183" s="5"/>
    </row>
    <row r="184" spans="1:18" ht="15.6" x14ac:dyDescent="0.3">
      <c r="A184" s="75"/>
      <c r="B184" s="76" t="s">
        <v>78</v>
      </c>
      <c r="C184" s="77"/>
      <c r="D184" s="77"/>
      <c r="E184" s="64"/>
      <c r="F184" s="64"/>
      <c r="G184" s="64"/>
      <c r="H184" s="64"/>
      <c r="I184" s="64"/>
      <c r="J184" s="64"/>
      <c r="K184" s="64"/>
      <c r="L184" s="64"/>
      <c r="M184" s="64"/>
      <c r="N184" s="78">
        <v>5.8069999999999997E-2</v>
      </c>
      <c r="O184" s="25"/>
      <c r="P184" s="25"/>
      <c r="Q184" s="25"/>
      <c r="R184" s="5"/>
    </row>
    <row r="185" spans="1:18" ht="15.6" x14ac:dyDescent="0.3">
      <c r="A185" s="75"/>
      <c r="B185" s="76" t="s">
        <v>219</v>
      </c>
      <c r="C185" s="77"/>
      <c r="D185" s="77"/>
      <c r="E185" s="64"/>
      <c r="F185" s="64"/>
      <c r="G185" s="64"/>
      <c r="H185" s="64"/>
      <c r="I185" s="64"/>
      <c r="J185" s="64"/>
      <c r="K185" s="64"/>
      <c r="L185" s="64"/>
      <c r="M185" s="64"/>
      <c r="N185" s="39">
        <v>5.1499999999999997E-2</v>
      </c>
      <c r="O185" s="25"/>
      <c r="P185" s="25"/>
      <c r="Q185" s="25"/>
      <c r="R185" s="5"/>
    </row>
    <row r="186" spans="1:18" ht="15.6" x14ac:dyDescent="0.3">
      <c r="A186" s="75"/>
      <c r="B186" s="76" t="s">
        <v>79</v>
      </c>
      <c r="C186" s="77"/>
      <c r="D186" s="77"/>
      <c r="E186" s="64"/>
      <c r="F186" s="64"/>
      <c r="G186" s="64"/>
      <c r="H186" s="64"/>
      <c r="I186" s="64"/>
      <c r="J186" s="64"/>
      <c r="K186" s="64"/>
      <c r="L186" s="64"/>
      <c r="M186" s="64"/>
      <c r="N186" s="78">
        <f>N184-N185</f>
        <v>6.5699999999999995E-3</v>
      </c>
      <c r="O186" s="25"/>
      <c r="P186" s="25"/>
      <c r="Q186" s="25"/>
      <c r="R186" s="5"/>
    </row>
    <row r="187" spans="1:18" ht="15.6" x14ac:dyDescent="0.3">
      <c r="A187" s="75"/>
      <c r="B187" s="76" t="s">
        <v>80</v>
      </c>
      <c r="C187" s="77"/>
      <c r="D187" s="77"/>
      <c r="E187" s="64"/>
      <c r="F187" s="64"/>
      <c r="G187" s="64"/>
      <c r="H187" s="64"/>
      <c r="I187" s="64"/>
      <c r="J187" s="64"/>
      <c r="K187" s="64"/>
      <c r="L187" s="64"/>
      <c r="M187" s="64"/>
      <c r="N187" s="78">
        <v>6.4140000000000003E-2</v>
      </c>
      <c r="O187" s="25"/>
      <c r="P187" s="25"/>
      <c r="Q187" s="25"/>
      <c r="R187" s="5"/>
    </row>
    <row r="188" spans="1:18" ht="15.6" x14ac:dyDescent="0.3">
      <c r="A188" s="75"/>
      <c r="B188" s="76" t="s">
        <v>241</v>
      </c>
      <c r="C188" s="77"/>
      <c r="D188" s="77"/>
      <c r="E188" s="64"/>
      <c r="F188" s="64"/>
      <c r="G188" s="64"/>
      <c r="H188" s="64"/>
      <c r="I188" s="64"/>
      <c r="J188" s="64"/>
      <c r="K188" s="64"/>
      <c r="L188" s="64"/>
      <c r="M188" s="64"/>
      <c r="N188" s="78">
        <f>+P45</f>
        <v>5.5892005292216072E-2</v>
      </c>
      <c r="O188" s="25"/>
      <c r="P188" s="25"/>
      <c r="Q188" s="25"/>
      <c r="R188" s="5"/>
    </row>
    <row r="189" spans="1:18" ht="15.6" x14ac:dyDescent="0.3">
      <c r="A189" s="75"/>
      <c r="B189" s="76" t="s">
        <v>81</v>
      </c>
      <c r="C189" s="77"/>
      <c r="D189" s="77"/>
      <c r="E189" s="64"/>
      <c r="F189" s="64"/>
      <c r="G189" s="64"/>
      <c r="H189" s="64"/>
      <c r="I189" s="64"/>
      <c r="J189" s="64"/>
      <c r="K189" s="64"/>
      <c r="L189" s="64"/>
      <c r="M189" s="64"/>
      <c r="N189" s="78">
        <f>N187-N188</f>
        <v>8.2479947077839302E-3</v>
      </c>
      <c r="O189" s="25"/>
      <c r="P189" s="25"/>
      <c r="Q189" s="25"/>
      <c r="R189" s="5"/>
    </row>
    <row r="190" spans="1:18" ht="15.6" x14ac:dyDescent="0.3">
      <c r="A190" s="75"/>
      <c r="B190" s="76" t="s">
        <v>257</v>
      </c>
      <c r="C190" s="77"/>
      <c r="D190" s="77"/>
      <c r="E190" s="64"/>
      <c r="F190" s="64"/>
      <c r="G190" s="64"/>
      <c r="H190" s="64"/>
      <c r="I190" s="64"/>
      <c r="J190" s="64"/>
      <c r="K190" s="64"/>
      <c r="L190" s="64"/>
      <c r="M190" s="64"/>
      <c r="N190" s="78">
        <f>+P101/H73</f>
        <v>1.7609446551609412E-2</v>
      </c>
      <c r="O190" s="25"/>
      <c r="P190" s="25"/>
      <c r="Q190" s="25"/>
      <c r="R190" s="5"/>
    </row>
    <row r="191" spans="1:18" ht="15.6" x14ac:dyDescent="0.3">
      <c r="A191" s="75"/>
      <c r="B191" s="76" t="s">
        <v>170</v>
      </c>
      <c r="C191" s="77"/>
      <c r="D191" s="77"/>
      <c r="E191" s="64"/>
      <c r="F191" s="64"/>
      <c r="G191" s="64"/>
      <c r="H191" s="64"/>
      <c r="I191" s="64"/>
      <c r="J191" s="64"/>
      <c r="K191" s="64"/>
      <c r="L191" s="64"/>
      <c r="M191" s="64"/>
      <c r="N191" s="133">
        <v>49065</v>
      </c>
      <c r="O191" s="25"/>
      <c r="P191" s="25"/>
      <c r="Q191" s="25"/>
      <c r="R191" s="5"/>
    </row>
    <row r="192" spans="1:18" ht="15.6" x14ac:dyDescent="0.3">
      <c r="A192" s="75"/>
      <c r="B192" s="76" t="s">
        <v>171</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172</v>
      </c>
      <c r="C193" s="77"/>
      <c r="D193" s="77"/>
      <c r="E193" s="64"/>
      <c r="F193" s="64"/>
      <c r="G193" s="64"/>
      <c r="H193" s="64"/>
      <c r="I193" s="64"/>
      <c r="J193" s="64"/>
      <c r="K193" s="64"/>
      <c r="L193" s="64"/>
      <c r="M193" s="64"/>
      <c r="N193" s="133">
        <v>49065</v>
      </c>
      <c r="O193" s="25"/>
      <c r="P193" s="25"/>
      <c r="Q193" s="25"/>
      <c r="R193" s="5"/>
    </row>
    <row r="194" spans="1:18" ht="15.6" x14ac:dyDescent="0.3">
      <c r="A194" s="75"/>
      <c r="B194" s="76" t="s">
        <v>138</v>
      </c>
      <c r="C194" s="77"/>
      <c r="D194" s="77"/>
      <c r="E194" s="64"/>
      <c r="F194" s="64"/>
      <c r="G194" s="64"/>
      <c r="H194" s="64"/>
      <c r="I194" s="64"/>
      <c r="J194" s="64"/>
      <c r="K194" s="64"/>
      <c r="L194" s="64"/>
      <c r="M194" s="64"/>
      <c r="N194" s="133">
        <v>52352</v>
      </c>
      <c r="O194" s="25"/>
      <c r="P194" s="25"/>
      <c r="Q194" s="25"/>
      <c r="R194" s="5"/>
    </row>
    <row r="195" spans="1:18" ht="15.6" x14ac:dyDescent="0.3">
      <c r="A195" s="75"/>
      <c r="B195" s="76" t="s">
        <v>139</v>
      </c>
      <c r="C195" s="77"/>
      <c r="D195" s="77"/>
      <c r="E195" s="64"/>
      <c r="F195" s="64"/>
      <c r="G195" s="64"/>
      <c r="H195" s="64"/>
      <c r="I195" s="64"/>
      <c r="J195" s="64"/>
      <c r="K195" s="64"/>
      <c r="L195" s="64"/>
      <c r="M195" s="64"/>
      <c r="N195" s="133">
        <v>52352</v>
      </c>
      <c r="O195" s="25"/>
      <c r="P195" s="25"/>
      <c r="Q195" s="25"/>
      <c r="R195" s="5"/>
    </row>
    <row r="196" spans="1:18" ht="15.6" x14ac:dyDescent="0.3">
      <c r="A196" s="75"/>
      <c r="B196" s="76" t="s">
        <v>82</v>
      </c>
      <c r="C196" s="77"/>
      <c r="D196" s="77"/>
      <c r="E196" s="64"/>
      <c r="F196" s="64"/>
      <c r="G196" s="64"/>
      <c r="H196" s="64"/>
      <c r="I196" s="64"/>
      <c r="J196" s="64"/>
      <c r="K196" s="64"/>
      <c r="L196" s="64"/>
      <c r="M196" s="64"/>
      <c r="N196" s="137">
        <v>20.45</v>
      </c>
      <c r="O196" s="25" t="s">
        <v>125</v>
      </c>
      <c r="P196" s="25"/>
      <c r="Q196" s="25"/>
      <c r="R196" s="5"/>
    </row>
    <row r="197" spans="1:18" ht="15.6" x14ac:dyDescent="0.3">
      <c r="A197" s="75"/>
      <c r="B197" s="76" t="s">
        <v>83</v>
      </c>
      <c r="C197" s="77"/>
      <c r="D197" s="77"/>
      <c r="E197" s="64"/>
      <c r="F197" s="64"/>
      <c r="G197" s="64"/>
      <c r="H197" s="64"/>
      <c r="I197" s="64"/>
      <c r="J197" s="64"/>
      <c r="K197" s="64"/>
      <c r="L197" s="64"/>
      <c r="M197" s="64"/>
      <c r="N197" s="137">
        <v>19.010000000000002</v>
      </c>
      <c r="O197" s="25" t="s">
        <v>125</v>
      </c>
      <c r="P197" s="25"/>
      <c r="Q197" s="25"/>
      <c r="R197" s="5"/>
    </row>
    <row r="198" spans="1:18" ht="15.6" x14ac:dyDescent="0.3">
      <c r="A198" s="75"/>
      <c r="B198" s="76" t="s">
        <v>84</v>
      </c>
      <c r="C198" s="77"/>
      <c r="D198" s="77"/>
      <c r="E198" s="64"/>
      <c r="F198" s="64"/>
      <c r="G198" s="64"/>
      <c r="H198" s="64"/>
      <c r="I198" s="64"/>
      <c r="J198" s="64"/>
      <c r="K198" s="64"/>
      <c r="L198" s="64"/>
      <c r="M198" s="64"/>
      <c r="N198" s="78">
        <f>+J70/H70</f>
        <v>4.4235341088506977E-2</v>
      </c>
      <c r="O198" s="25"/>
      <c r="P198" s="25"/>
      <c r="Q198" s="25"/>
      <c r="R198" s="5"/>
    </row>
    <row r="199" spans="1:18" ht="15.6" x14ac:dyDescent="0.3">
      <c r="A199" s="75"/>
      <c r="B199" s="76" t="s">
        <v>85</v>
      </c>
      <c r="C199" s="77"/>
      <c r="D199" s="77"/>
      <c r="E199" s="64"/>
      <c r="F199" s="64"/>
      <c r="G199" s="64"/>
      <c r="H199" s="64"/>
      <c r="I199" s="64"/>
      <c r="J199" s="64"/>
      <c r="K199" s="64"/>
      <c r="L199" s="64"/>
      <c r="M199" s="64"/>
      <c r="N199" s="78">
        <v>0.1547</v>
      </c>
      <c r="O199" s="25"/>
      <c r="P199" s="25"/>
      <c r="Q199" s="25"/>
      <c r="R199" s="5"/>
    </row>
    <row r="200" spans="1:18" ht="15.6" x14ac:dyDescent="0.3">
      <c r="A200" s="75"/>
      <c r="B200" s="76"/>
      <c r="C200" s="76"/>
      <c r="D200" s="76"/>
      <c r="E200" s="25"/>
      <c r="F200" s="25"/>
      <c r="G200" s="25"/>
      <c r="H200" s="25"/>
      <c r="I200" s="25"/>
      <c r="J200" s="25"/>
      <c r="K200" s="25"/>
      <c r="L200" s="25"/>
      <c r="M200" s="25"/>
      <c r="N200" s="61"/>
      <c r="O200" s="25"/>
      <c r="P200" s="79"/>
      <c r="Q200" s="25"/>
      <c r="R200" s="5"/>
    </row>
    <row r="201" spans="1:18" ht="15.6" x14ac:dyDescent="0.3">
      <c r="A201" s="80"/>
      <c r="B201" s="14" t="s">
        <v>86</v>
      </c>
      <c r="C201" s="81"/>
      <c r="D201" s="82"/>
      <c r="E201" s="81"/>
      <c r="F201" s="17"/>
      <c r="G201" s="17"/>
      <c r="H201" s="17"/>
      <c r="I201" s="17"/>
      <c r="J201" s="17"/>
      <c r="K201" s="17"/>
      <c r="L201" s="17"/>
      <c r="M201" s="17" t="s">
        <v>113</v>
      </c>
      <c r="N201" s="83" t="s">
        <v>121</v>
      </c>
      <c r="O201" s="8"/>
      <c r="P201" s="8"/>
      <c r="Q201" s="8"/>
      <c r="R201" s="5"/>
    </row>
    <row r="202" spans="1:18" ht="15.6" x14ac:dyDescent="0.3">
      <c r="A202" s="84"/>
      <c r="B202" s="76" t="s">
        <v>87</v>
      </c>
      <c r="C202" s="54"/>
      <c r="D202" s="25"/>
      <c r="E202" s="25"/>
      <c r="F202" s="30"/>
      <c r="G202" s="30"/>
      <c r="H202" s="30"/>
      <c r="I202" s="30"/>
      <c r="J202" s="30"/>
      <c r="K202" s="30"/>
      <c r="L202" s="30"/>
      <c r="M202" s="30">
        <v>5</v>
      </c>
      <c r="N202" s="85">
        <v>133</v>
      </c>
      <c r="O202" s="25"/>
      <c r="P202" s="79"/>
      <c r="Q202" s="86"/>
      <c r="R202" s="5"/>
    </row>
    <row r="203" spans="1:18" ht="15.6" x14ac:dyDescent="0.3">
      <c r="A203" s="84"/>
      <c r="B203" s="76" t="s">
        <v>203</v>
      </c>
      <c r="C203" s="54"/>
      <c r="D203" s="25"/>
      <c r="E203" s="25"/>
      <c r="F203" s="30"/>
      <c r="G203" s="30"/>
      <c r="H203" s="30"/>
      <c r="I203" s="30"/>
      <c r="J203" s="30"/>
      <c r="K203" s="30"/>
      <c r="L203" s="30"/>
      <c r="M203" s="151">
        <f>+L240</f>
        <v>48</v>
      </c>
      <c r="N203" s="85">
        <f>+N240</f>
        <v>5648</v>
      </c>
      <c r="O203" s="25"/>
      <c r="P203" s="79"/>
      <c r="Q203" s="86"/>
      <c r="R203" s="5"/>
    </row>
    <row r="204" spans="1:18" ht="15.6" x14ac:dyDescent="0.3">
      <c r="A204" s="84"/>
      <c r="B204" s="76" t="s">
        <v>88</v>
      </c>
      <c r="C204" s="54"/>
      <c r="D204" s="25"/>
      <c r="E204" s="25"/>
      <c r="F204" s="30"/>
      <c r="G204" s="30"/>
      <c r="H204" s="30"/>
      <c r="I204" s="30"/>
      <c r="J204" s="30"/>
      <c r="K204" s="30"/>
      <c r="L204" s="30"/>
      <c r="M204" s="151">
        <f>+L251</f>
        <v>0</v>
      </c>
      <c r="N204" s="85">
        <f>+N251</f>
        <v>0</v>
      </c>
      <c r="O204" s="25"/>
      <c r="P204" s="79"/>
      <c r="Q204" s="86"/>
      <c r="R204" s="5"/>
    </row>
    <row r="205" spans="1:18" ht="15.6" x14ac:dyDescent="0.3">
      <c r="A205" s="84"/>
      <c r="B205" s="122" t="s">
        <v>89</v>
      </c>
      <c r="C205" s="54"/>
      <c r="D205" s="25"/>
      <c r="E205" s="25"/>
      <c r="F205" s="25"/>
      <c r="G205" s="25"/>
      <c r="H205" s="25"/>
      <c r="I205" s="25"/>
      <c r="J205" s="25"/>
      <c r="K205" s="25"/>
      <c r="L205" s="25"/>
      <c r="M205" s="25"/>
      <c r="N205" s="85">
        <v>0</v>
      </c>
      <c r="O205" s="25"/>
      <c r="P205" s="79"/>
      <c r="Q205" s="86"/>
      <c r="R205" s="5"/>
    </row>
    <row r="206" spans="1:18" ht="15.6" x14ac:dyDescent="0.3">
      <c r="A206" s="84"/>
      <c r="B206" s="122" t="s">
        <v>90</v>
      </c>
      <c r="C206" s="54"/>
      <c r="D206" s="25"/>
      <c r="E206" s="25"/>
      <c r="F206" s="25"/>
      <c r="G206" s="25"/>
      <c r="H206" s="25"/>
      <c r="I206" s="25"/>
      <c r="J206" s="25"/>
      <c r="K206" s="25"/>
      <c r="L206" s="25"/>
      <c r="M206" s="25"/>
      <c r="N206" s="62" t="s">
        <v>122</v>
      </c>
      <c r="O206" s="25"/>
      <c r="P206" s="79"/>
      <c r="Q206" s="86"/>
      <c r="R206" s="5"/>
    </row>
    <row r="207" spans="1:18" ht="15.6" x14ac:dyDescent="0.3">
      <c r="A207" s="87"/>
      <c r="B207" s="122" t="s">
        <v>91</v>
      </c>
      <c r="C207" s="76"/>
      <c r="D207" s="76"/>
      <c r="E207" s="25"/>
      <c r="F207" s="25"/>
      <c r="G207" s="25"/>
      <c r="H207" s="25"/>
      <c r="I207" s="25"/>
      <c r="J207" s="167"/>
      <c r="K207" s="25"/>
      <c r="L207" s="25"/>
      <c r="M207" s="25"/>
      <c r="N207" s="85"/>
      <c r="O207" s="25"/>
      <c r="P207" s="79"/>
      <c r="Q207" s="88"/>
      <c r="R207" s="5"/>
    </row>
    <row r="208" spans="1:18" ht="15.6" x14ac:dyDescent="0.3">
      <c r="A208" s="87"/>
      <c r="B208" s="135" t="s">
        <v>92</v>
      </c>
      <c r="C208" s="76"/>
      <c r="D208" s="76"/>
      <c r="E208" s="25"/>
      <c r="F208" s="25"/>
      <c r="G208" s="25"/>
      <c r="H208" s="25"/>
      <c r="I208" s="25"/>
      <c r="J208" s="25"/>
      <c r="K208" s="25"/>
      <c r="L208" s="25"/>
      <c r="M208" s="25"/>
      <c r="N208" s="85">
        <f>P153</f>
        <v>40</v>
      </c>
      <c r="O208" s="25"/>
      <c r="P208" s="79"/>
      <c r="Q208" s="88"/>
      <c r="R208" s="5"/>
    </row>
    <row r="209" spans="1:18" ht="15.6" x14ac:dyDescent="0.3">
      <c r="A209" s="84"/>
      <c r="B209" s="76" t="s">
        <v>93</v>
      </c>
      <c r="C209" s="54"/>
      <c r="D209" s="54"/>
      <c r="E209" s="25"/>
      <c r="F209" s="25"/>
      <c r="G209" s="25"/>
      <c r="H209" s="25"/>
      <c r="I209" s="25"/>
      <c r="J209" s="25"/>
      <c r="K209" s="25"/>
      <c r="L209" s="25"/>
      <c r="M209" s="25"/>
      <c r="N209" s="85">
        <f>'Oct 06'!N208+'Jan 07'!N208</f>
        <v>319</v>
      </c>
      <c r="O209" s="25"/>
      <c r="P209" s="79"/>
      <c r="Q209" s="88"/>
      <c r="R209" s="5"/>
    </row>
    <row r="210" spans="1:18" ht="15.6" x14ac:dyDescent="0.3">
      <c r="A210" s="87"/>
      <c r="B210" s="122" t="s">
        <v>278</v>
      </c>
      <c r="C210" s="76"/>
      <c r="D210" s="76"/>
      <c r="E210" s="25"/>
      <c r="F210" s="25"/>
      <c r="G210" s="25"/>
      <c r="H210" s="25"/>
      <c r="I210" s="25"/>
      <c r="J210" s="25"/>
      <c r="K210" s="25"/>
      <c r="L210" s="25"/>
      <c r="M210" s="25"/>
      <c r="N210" s="85"/>
      <c r="O210" s="25"/>
      <c r="P210" s="79"/>
      <c r="Q210" s="88"/>
      <c r="R210" s="5"/>
    </row>
    <row r="211" spans="1:18" ht="15.6" x14ac:dyDescent="0.3">
      <c r="A211" s="87"/>
      <c r="B211" s="76" t="s">
        <v>276</v>
      </c>
      <c r="C211" s="76"/>
      <c r="D211" s="76"/>
      <c r="E211" s="25"/>
      <c r="F211" s="25"/>
      <c r="G211" s="25"/>
      <c r="H211" s="25"/>
      <c r="I211" s="25"/>
      <c r="J211" s="25"/>
      <c r="K211" s="25"/>
      <c r="L211" s="25"/>
      <c r="M211" s="30">
        <v>1</v>
      </c>
      <c r="N211" s="85">
        <v>36</v>
      </c>
      <c r="O211" s="25"/>
      <c r="P211" s="79"/>
      <c r="Q211" s="88"/>
      <c r="R211" s="5"/>
    </row>
    <row r="212" spans="1:18" ht="15.6" x14ac:dyDescent="0.3">
      <c r="A212" s="84"/>
      <c r="B212" s="76" t="s">
        <v>95</v>
      </c>
      <c r="C212" s="89"/>
      <c r="D212" s="90"/>
      <c r="E212" s="25"/>
      <c r="F212" s="25"/>
      <c r="G212" s="25"/>
      <c r="H212" s="25"/>
      <c r="I212" s="25"/>
      <c r="J212" s="25"/>
      <c r="K212" s="25"/>
      <c r="L212" s="25"/>
      <c r="M212" s="25"/>
      <c r="N212" s="62">
        <v>12.39</v>
      </c>
      <c r="O212" s="25"/>
      <c r="P212" s="79"/>
      <c r="Q212" s="88"/>
      <c r="R212" s="5"/>
    </row>
    <row r="213" spans="1:18" ht="15.6" x14ac:dyDescent="0.3">
      <c r="A213" s="84"/>
      <c r="B213" s="76" t="s">
        <v>96</v>
      </c>
      <c r="C213" s="89"/>
      <c r="D213" s="90"/>
      <c r="E213" s="25"/>
      <c r="F213" s="25"/>
      <c r="G213" s="25"/>
      <c r="H213" s="25"/>
      <c r="I213" s="25"/>
      <c r="J213" s="25"/>
      <c r="K213" s="25"/>
      <c r="L213" s="25"/>
      <c r="M213" s="25"/>
      <c r="N213" s="62">
        <v>6.31</v>
      </c>
      <c r="O213" s="25"/>
      <c r="P213" s="79"/>
      <c r="Q213" s="88"/>
      <c r="R213" s="5"/>
    </row>
    <row r="214" spans="1:18" ht="15.6" x14ac:dyDescent="0.3">
      <c r="A214" s="84"/>
      <c r="B214" s="122" t="s">
        <v>251</v>
      </c>
      <c r="C214" s="89"/>
      <c r="D214" s="90"/>
      <c r="E214" s="25"/>
      <c r="F214" s="25"/>
      <c r="G214" s="25"/>
      <c r="H214" s="25"/>
      <c r="I214" s="25"/>
      <c r="J214" s="25"/>
      <c r="K214" s="25"/>
      <c r="L214" s="25"/>
      <c r="M214" s="25"/>
      <c r="N214" s="91"/>
      <c r="O214" s="25"/>
      <c r="P214" s="79"/>
      <c r="Q214" s="88"/>
      <c r="R214" s="5"/>
    </row>
    <row r="215" spans="1:18" ht="15.6" x14ac:dyDescent="0.3">
      <c r="A215" s="84"/>
      <c r="B215" s="76" t="s">
        <v>276</v>
      </c>
      <c r="C215" s="89"/>
      <c r="D215" s="90"/>
      <c r="E215" s="25"/>
      <c r="F215" s="25"/>
      <c r="G215" s="25"/>
      <c r="H215" s="25"/>
      <c r="I215" s="25"/>
      <c r="J215" s="25"/>
      <c r="K215" s="25"/>
      <c r="L215" s="25"/>
      <c r="M215" s="30">
        <v>10</v>
      </c>
      <c r="N215" s="85">
        <v>890</v>
      </c>
      <c r="O215" s="25"/>
      <c r="P215" s="79"/>
      <c r="Q215" s="88"/>
      <c r="R215" s="5"/>
    </row>
    <row r="216" spans="1:18" ht="15.6" x14ac:dyDescent="0.3">
      <c r="A216" s="84"/>
      <c r="B216" s="76" t="s">
        <v>252</v>
      </c>
      <c r="C216" s="89"/>
      <c r="D216" s="90"/>
      <c r="E216" s="25"/>
      <c r="F216" s="25"/>
      <c r="G216" s="25"/>
      <c r="H216" s="25"/>
      <c r="I216" s="25"/>
      <c r="J216" s="25"/>
      <c r="K216" s="25"/>
      <c r="L216" s="25"/>
      <c r="M216" s="25"/>
      <c r="N216" s="62">
        <v>6.9</v>
      </c>
      <c r="O216" s="25"/>
      <c r="P216" s="79"/>
      <c r="Q216" s="88"/>
      <c r="R216" s="5"/>
    </row>
    <row r="217" spans="1:18" ht="15.6" x14ac:dyDescent="0.3">
      <c r="A217" s="84"/>
      <c r="B217" s="76"/>
      <c r="C217" s="89"/>
      <c r="D217" s="90"/>
      <c r="E217" s="25"/>
      <c r="F217" s="25"/>
      <c r="G217" s="25"/>
      <c r="H217" s="25"/>
      <c r="I217" s="25"/>
      <c r="J217" s="25"/>
      <c r="K217" s="25"/>
      <c r="L217" s="25"/>
      <c r="M217" s="25"/>
      <c r="N217" s="91"/>
      <c r="O217" s="25"/>
      <c r="P217" s="79"/>
      <c r="Q217" s="88"/>
      <c r="R217" s="5"/>
    </row>
    <row r="218" spans="1:18" ht="17.399999999999999" x14ac:dyDescent="0.3">
      <c r="A218" s="84"/>
      <c r="B218" s="160" t="s">
        <v>244</v>
      </c>
      <c r="C218" s="161"/>
      <c r="D218" s="162"/>
      <c r="E218" s="163"/>
      <c r="F218" s="163"/>
      <c r="G218" s="163"/>
      <c r="H218" s="163"/>
      <c r="I218" s="166"/>
      <c r="J218" s="169" t="s">
        <v>243</v>
      </c>
      <c r="K218" s="163"/>
      <c r="L218" s="163"/>
      <c r="M218" s="25"/>
      <c r="N218" s="91"/>
      <c r="O218" s="25"/>
      <c r="P218" s="79"/>
      <c r="Q218" s="88"/>
      <c r="R218" s="5"/>
    </row>
    <row r="219" spans="1:18" ht="15.6" x14ac:dyDescent="0.3">
      <c r="A219" s="84"/>
      <c r="B219" s="156"/>
      <c r="C219" s="157"/>
      <c r="D219" s="158"/>
      <c r="E219" s="146"/>
      <c r="F219" s="146"/>
      <c r="G219" s="146"/>
      <c r="H219" s="146"/>
      <c r="I219" s="146"/>
      <c r="J219" s="146"/>
      <c r="K219" s="146"/>
      <c r="L219" s="146"/>
      <c r="M219" s="25"/>
      <c r="N219" s="91"/>
      <c r="O219" s="25"/>
      <c r="P219" s="79"/>
      <c r="Q219" s="88"/>
      <c r="R219" s="5"/>
    </row>
    <row r="220" spans="1:18" ht="15.6" x14ac:dyDescent="0.3">
      <c r="A220" s="6"/>
      <c r="B220" s="14" t="s">
        <v>236</v>
      </c>
      <c r="C220" s="81"/>
      <c r="D220" s="82"/>
      <c r="E220" s="81"/>
      <c r="F220" s="17"/>
      <c r="G220" s="17"/>
      <c r="H220" s="17"/>
      <c r="I220" s="17"/>
      <c r="J220" s="17"/>
      <c r="K220" s="17"/>
      <c r="L220" s="83" t="s">
        <v>113</v>
      </c>
      <c r="M220" s="17" t="s">
        <v>114</v>
      </c>
      <c r="N220" s="83" t="s">
        <v>123</v>
      </c>
      <c r="O220" s="17" t="s">
        <v>114</v>
      </c>
      <c r="P220" s="8"/>
      <c r="Q220" s="92"/>
      <c r="R220" s="5"/>
    </row>
    <row r="221" spans="1:18" ht="15.6" x14ac:dyDescent="0.3">
      <c r="A221" s="24"/>
      <c r="B221" s="54" t="s">
        <v>98</v>
      </c>
      <c r="C221" s="93"/>
      <c r="D221" s="25"/>
      <c r="E221" s="93"/>
      <c r="F221" s="93"/>
      <c r="G221" s="93"/>
      <c r="H221" s="93"/>
      <c r="I221" s="93"/>
      <c r="J221" s="93"/>
      <c r="K221" s="93"/>
      <c r="L221" s="54">
        <v>6581</v>
      </c>
      <c r="M221" s="94">
        <f t="shared" ref="M221:M228" si="1">L221/$L$229</f>
        <v>0.99231001206272618</v>
      </c>
      <c r="N221" s="53">
        <v>625901</v>
      </c>
      <c r="O221" s="136">
        <f t="shared" ref="O221:O228" si="2">N221/$N$229</f>
        <v>0.99308380668295626</v>
      </c>
      <c r="P221" s="79"/>
      <c r="Q221" s="88"/>
      <c r="R221" s="5"/>
    </row>
    <row r="222" spans="1:18" ht="15.6" x14ac:dyDescent="0.3">
      <c r="A222" s="24"/>
      <c r="B222" s="54" t="s">
        <v>99</v>
      </c>
      <c r="C222" s="93"/>
      <c r="D222" s="25"/>
      <c r="E222" s="94"/>
      <c r="F222" s="93"/>
      <c r="G222" s="93"/>
      <c r="H222" s="93"/>
      <c r="I222" s="93"/>
      <c r="J222" s="93"/>
      <c r="K222" s="93"/>
      <c r="L222" s="54">
        <v>25</v>
      </c>
      <c r="M222" s="94">
        <f t="shared" si="1"/>
        <v>3.7696019300361883E-3</v>
      </c>
      <c r="N222" s="53">
        <v>3016</v>
      </c>
      <c r="O222" s="136">
        <f t="shared" si="2"/>
        <v>4.7853266905721449E-3</v>
      </c>
      <c r="P222" s="79"/>
      <c r="Q222" s="88"/>
      <c r="R222" s="5"/>
    </row>
    <row r="223" spans="1:18" ht="15.6" x14ac:dyDescent="0.3">
      <c r="A223" s="24"/>
      <c r="B223" s="54" t="s">
        <v>100</v>
      </c>
      <c r="C223" s="93"/>
      <c r="D223" s="25"/>
      <c r="E223" s="94"/>
      <c r="F223" s="93"/>
      <c r="G223" s="93"/>
      <c r="H223" s="93"/>
      <c r="I223" s="93"/>
      <c r="J223" s="93"/>
      <c r="K223" s="93"/>
      <c r="L223" s="54">
        <v>10</v>
      </c>
      <c r="M223" s="94">
        <f t="shared" si="1"/>
        <v>1.5078407720144752E-3</v>
      </c>
      <c r="N223" s="53">
        <v>494</v>
      </c>
      <c r="O223" s="136">
        <f t="shared" si="2"/>
        <v>7.8380350966267894E-4</v>
      </c>
      <c r="P223" s="79"/>
      <c r="Q223" s="88"/>
      <c r="R223" s="5"/>
    </row>
    <row r="224" spans="1:18" ht="15.6" x14ac:dyDescent="0.3">
      <c r="A224" s="24"/>
      <c r="B224" s="54" t="s">
        <v>227</v>
      </c>
      <c r="C224" s="93"/>
      <c r="D224" s="25"/>
      <c r="E224" s="94"/>
      <c r="F224" s="93"/>
      <c r="G224" s="93"/>
      <c r="H224" s="93"/>
      <c r="I224" s="93"/>
      <c r="J224" s="93"/>
      <c r="K224" s="93"/>
      <c r="L224" s="54">
        <v>5</v>
      </c>
      <c r="M224" s="94">
        <f t="shared" si="1"/>
        <v>7.5392038600723761E-4</v>
      </c>
      <c r="N224" s="53">
        <v>456</v>
      </c>
      <c r="O224" s="136">
        <f t="shared" si="2"/>
        <v>7.23510931996319E-4</v>
      </c>
      <c r="P224" s="79"/>
      <c r="Q224" s="88"/>
      <c r="R224" s="5"/>
    </row>
    <row r="225" spans="1:18" ht="15.6" x14ac:dyDescent="0.3">
      <c r="A225" s="24"/>
      <c r="B225" s="54" t="s">
        <v>228</v>
      </c>
      <c r="C225" s="93"/>
      <c r="D225" s="25"/>
      <c r="E225" s="94"/>
      <c r="F225" s="93"/>
      <c r="G225" s="93"/>
      <c r="H225" s="93"/>
      <c r="I225" s="93"/>
      <c r="J225" s="93"/>
      <c r="K225" s="93"/>
      <c r="L225" s="54">
        <v>2</v>
      </c>
      <c r="M225" s="94">
        <f t="shared" si="1"/>
        <v>3.0156815440289503E-4</v>
      </c>
      <c r="N225" s="53">
        <v>78</v>
      </c>
      <c r="O225" s="136">
        <f t="shared" si="2"/>
        <v>1.2375844889410721E-4</v>
      </c>
      <c r="P225" s="79"/>
      <c r="Q225" s="88"/>
      <c r="R225" s="5"/>
    </row>
    <row r="226" spans="1:18" ht="15.6" x14ac:dyDescent="0.3">
      <c r="A226" s="24"/>
      <c r="B226" s="54" t="s">
        <v>229</v>
      </c>
      <c r="C226" s="93"/>
      <c r="D226" s="25"/>
      <c r="E226" s="94"/>
      <c r="F226" s="93"/>
      <c r="G226" s="93"/>
      <c r="H226" s="93"/>
      <c r="I226" s="93"/>
      <c r="J226" s="93"/>
      <c r="K226" s="93"/>
      <c r="L226" s="54">
        <v>2</v>
      </c>
      <c r="M226" s="94">
        <f t="shared" si="1"/>
        <v>3.0156815440289503E-4</v>
      </c>
      <c r="N226" s="53">
        <v>68</v>
      </c>
      <c r="O226" s="136">
        <f t="shared" si="2"/>
        <v>1.0789198108717037E-4</v>
      </c>
      <c r="P226" s="79"/>
      <c r="Q226" s="88"/>
      <c r="R226" s="5"/>
    </row>
    <row r="227" spans="1:18" ht="15.6" x14ac:dyDescent="0.3">
      <c r="A227" s="24"/>
      <c r="B227" s="54" t="s">
        <v>230</v>
      </c>
      <c r="C227" s="93"/>
      <c r="D227" s="25"/>
      <c r="E227" s="94"/>
      <c r="F227" s="93"/>
      <c r="G227" s="93"/>
      <c r="H227" s="93"/>
      <c r="I227" s="93"/>
      <c r="J227" s="93"/>
      <c r="K227" s="93"/>
      <c r="L227" s="54">
        <v>3</v>
      </c>
      <c r="M227" s="94">
        <f t="shared" si="1"/>
        <v>4.5235223160434258E-4</v>
      </c>
      <c r="N227" s="53">
        <v>64</v>
      </c>
      <c r="O227" s="136">
        <f t="shared" si="2"/>
        <v>1.0154539396439564E-4</v>
      </c>
      <c r="P227" s="79"/>
      <c r="Q227" s="88"/>
      <c r="R227" s="5"/>
    </row>
    <row r="228" spans="1:18" ht="15.6" x14ac:dyDescent="0.3">
      <c r="A228" s="24"/>
      <c r="B228" s="54" t="s">
        <v>231</v>
      </c>
      <c r="C228" s="93"/>
      <c r="D228" s="25"/>
      <c r="E228" s="94"/>
      <c r="F228" s="93"/>
      <c r="G228" s="93"/>
      <c r="H228" s="93"/>
      <c r="I228" s="93"/>
      <c r="J228" s="93"/>
      <c r="K228" s="93"/>
      <c r="L228" s="54">
        <v>4</v>
      </c>
      <c r="M228" s="94">
        <f t="shared" si="1"/>
        <v>6.0313630880579007E-4</v>
      </c>
      <c r="N228" s="53">
        <v>183</v>
      </c>
      <c r="O228" s="136">
        <f t="shared" si="2"/>
        <v>2.9035636086694383E-4</v>
      </c>
      <c r="P228" s="79"/>
      <c r="Q228" s="88"/>
      <c r="R228" s="5"/>
    </row>
    <row r="229" spans="1:18" ht="15.6" x14ac:dyDescent="0.3">
      <c r="A229" s="24"/>
      <c r="B229" s="25" t="s">
        <v>129</v>
      </c>
      <c r="C229" s="25"/>
      <c r="D229" s="25"/>
      <c r="E229" s="25"/>
      <c r="F229" s="95"/>
      <c r="G229" s="95"/>
      <c r="H229" s="95"/>
      <c r="I229" s="95"/>
      <c r="J229" s="95"/>
      <c r="K229" s="95"/>
      <c r="L229" s="34">
        <f>SUM(L221:L228)</f>
        <v>6632</v>
      </c>
      <c r="M229" s="136">
        <f>SUM(M221:M228)</f>
        <v>0.99999999999999989</v>
      </c>
      <c r="N229" s="53">
        <f>SUM(N221:N228)</f>
        <v>630260</v>
      </c>
      <c r="O229" s="136">
        <f>SUM(O221:O228)</f>
        <v>1</v>
      </c>
      <c r="P229" s="25"/>
      <c r="Q229" s="25"/>
      <c r="R229" s="5"/>
    </row>
    <row r="230" spans="1:18" ht="15.6" x14ac:dyDescent="0.3">
      <c r="A230" s="24"/>
      <c r="B230" s="25"/>
      <c r="C230" s="25"/>
      <c r="D230" s="25"/>
      <c r="E230" s="25"/>
      <c r="F230" s="95"/>
      <c r="G230" s="95"/>
      <c r="H230" s="95"/>
      <c r="I230" s="95"/>
      <c r="J230" s="95"/>
      <c r="K230" s="95"/>
      <c r="L230" s="34"/>
      <c r="M230" s="136"/>
      <c r="N230" s="53"/>
      <c r="O230" s="136"/>
      <c r="P230" s="25"/>
      <c r="Q230" s="25"/>
      <c r="R230" s="5"/>
    </row>
    <row r="231" spans="1:18" ht="15.6" x14ac:dyDescent="0.3">
      <c r="A231" s="148"/>
      <c r="B231" s="14" t="s">
        <v>238</v>
      </c>
      <c r="C231" s="81"/>
      <c r="D231" s="82"/>
      <c r="E231" s="81"/>
      <c r="F231" s="17"/>
      <c r="G231" s="17"/>
      <c r="H231" s="17"/>
      <c r="I231" s="17"/>
      <c r="J231" s="17"/>
      <c r="K231" s="17"/>
      <c r="L231" s="83" t="s">
        <v>113</v>
      </c>
      <c r="M231" s="17" t="s">
        <v>114</v>
      </c>
      <c r="N231" s="83" t="s">
        <v>123</v>
      </c>
      <c r="O231" s="17" t="s">
        <v>114</v>
      </c>
      <c r="P231" s="8"/>
      <c r="Q231" s="149"/>
      <c r="R231" s="5"/>
    </row>
    <row r="232" spans="1:18" ht="15.6" x14ac:dyDescent="0.3">
      <c r="A232" s="24"/>
      <c r="B232" s="54" t="s">
        <v>98</v>
      </c>
      <c r="C232" s="93"/>
      <c r="D232" s="25"/>
      <c r="E232" s="93"/>
      <c r="F232" s="93"/>
      <c r="G232" s="93"/>
      <c r="H232" s="93"/>
      <c r="I232" s="93"/>
      <c r="J232" s="93"/>
      <c r="K232" s="93"/>
      <c r="L232" s="54">
        <v>9</v>
      </c>
      <c r="M232" s="94">
        <f t="shared" ref="M232:M239" si="3">L232/$L$240</f>
        <v>0.1875</v>
      </c>
      <c r="N232" s="53">
        <v>656</v>
      </c>
      <c r="O232" s="136">
        <f t="shared" ref="O232:O239" si="4">N232/$N$240</f>
        <v>0.11614730878186968</v>
      </c>
      <c r="P232" s="79"/>
      <c r="Q232" s="25"/>
      <c r="R232" s="5"/>
    </row>
    <row r="233" spans="1:18" ht="15.6" x14ac:dyDescent="0.3">
      <c r="A233" s="24"/>
      <c r="B233" s="54" t="s">
        <v>99</v>
      </c>
      <c r="C233" s="93"/>
      <c r="D233" s="25"/>
      <c r="E233" s="94"/>
      <c r="F233" s="93"/>
      <c r="G233" s="93"/>
      <c r="H233" s="93"/>
      <c r="I233" s="93"/>
      <c r="J233" s="93"/>
      <c r="K233" s="93"/>
      <c r="L233" s="54">
        <v>2</v>
      </c>
      <c r="M233" s="94">
        <f t="shared" si="3"/>
        <v>4.1666666666666664E-2</v>
      </c>
      <c r="N233" s="53">
        <v>177</v>
      </c>
      <c r="O233" s="136">
        <f t="shared" si="4"/>
        <v>3.1338526912181301E-2</v>
      </c>
      <c r="P233" s="79"/>
      <c r="Q233" s="25"/>
      <c r="R233" s="5"/>
    </row>
    <row r="234" spans="1:18" ht="15.6" x14ac:dyDescent="0.3">
      <c r="A234" s="24"/>
      <c r="B234" s="54" t="s">
        <v>100</v>
      </c>
      <c r="C234" s="93"/>
      <c r="D234" s="25"/>
      <c r="E234" s="94"/>
      <c r="F234" s="93"/>
      <c r="G234" s="93"/>
      <c r="H234" s="93"/>
      <c r="I234" s="93"/>
      <c r="J234" s="93"/>
      <c r="K234" s="93"/>
      <c r="L234" s="54">
        <v>0</v>
      </c>
      <c r="M234" s="94">
        <f t="shared" si="3"/>
        <v>0</v>
      </c>
      <c r="N234" s="53">
        <v>0</v>
      </c>
      <c r="O234" s="136">
        <f t="shared" si="4"/>
        <v>0</v>
      </c>
      <c r="P234" s="79"/>
      <c r="Q234" s="25"/>
      <c r="R234" s="5"/>
    </row>
    <row r="235" spans="1:18" ht="15.6" x14ac:dyDescent="0.3">
      <c r="A235" s="24"/>
      <c r="B235" s="54" t="s">
        <v>227</v>
      </c>
      <c r="C235" s="93"/>
      <c r="D235" s="25"/>
      <c r="E235" s="94"/>
      <c r="F235" s="93"/>
      <c r="G235" s="93"/>
      <c r="H235" s="93"/>
      <c r="I235" s="93"/>
      <c r="J235" s="93"/>
      <c r="K235" s="93"/>
      <c r="L235" s="54">
        <v>5</v>
      </c>
      <c r="M235" s="94">
        <f t="shared" si="3"/>
        <v>0.10416666666666667</v>
      </c>
      <c r="N235" s="53">
        <v>1151</v>
      </c>
      <c r="O235" s="136">
        <f t="shared" si="4"/>
        <v>0.20378895184135978</v>
      </c>
      <c r="P235" s="79"/>
      <c r="Q235" s="25"/>
      <c r="R235" s="5"/>
    </row>
    <row r="236" spans="1:18" ht="15.6" x14ac:dyDescent="0.3">
      <c r="A236" s="24"/>
      <c r="B236" s="54" t="s">
        <v>228</v>
      </c>
      <c r="C236" s="93"/>
      <c r="D236" s="25"/>
      <c r="E236" s="94"/>
      <c r="F236" s="93"/>
      <c r="G236" s="93"/>
      <c r="H236" s="93"/>
      <c r="I236" s="93"/>
      <c r="J236" s="93"/>
      <c r="K236" s="93"/>
      <c r="L236" s="54">
        <v>0</v>
      </c>
      <c r="M236" s="94">
        <f t="shared" si="3"/>
        <v>0</v>
      </c>
      <c r="N236" s="53">
        <v>0</v>
      </c>
      <c r="O236" s="136">
        <f t="shared" si="4"/>
        <v>0</v>
      </c>
      <c r="P236" s="79"/>
      <c r="Q236" s="25"/>
      <c r="R236" s="5"/>
    </row>
    <row r="237" spans="1:18" ht="15.6" x14ac:dyDescent="0.3">
      <c r="A237" s="24"/>
      <c r="B237" s="54" t="s">
        <v>229</v>
      </c>
      <c r="C237" s="93"/>
      <c r="D237" s="25"/>
      <c r="E237" s="94"/>
      <c r="F237" s="93"/>
      <c r="G237" s="93"/>
      <c r="H237" s="93"/>
      <c r="I237" s="93"/>
      <c r="J237" s="93"/>
      <c r="K237" s="93"/>
      <c r="L237" s="54">
        <v>2</v>
      </c>
      <c r="M237" s="94">
        <f t="shared" si="3"/>
        <v>4.1666666666666664E-2</v>
      </c>
      <c r="N237" s="53">
        <v>296</v>
      </c>
      <c r="O237" s="136">
        <f t="shared" si="4"/>
        <v>5.2407932011331447E-2</v>
      </c>
      <c r="P237" s="79"/>
      <c r="Q237" s="25"/>
      <c r="R237" s="5"/>
    </row>
    <row r="238" spans="1:18" ht="15.6" x14ac:dyDescent="0.3">
      <c r="A238" s="24"/>
      <c r="B238" s="54" t="s">
        <v>230</v>
      </c>
      <c r="C238" s="93"/>
      <c r="D238" s="25"/>
      <c r="E238" s="94"/>
      <c r="F238" s="93"/>
      <c r="G238" s="93"/>
      <c r="H238" s="93"/>
      <c r="I238" s="93"/>
      <c r="J238" s="93"/>
      <c r="K238" s="93"/>
      <c r="L238" s="54">
        <v>5</v>
      </c>
      <c r="M238" s="94">
        <f t="shared" si="3"/>
        <v>0.10416666666666667</v>
      </c>
      <c r="N238" s="53">
        <v>565</v>
      </c>
      <c r="O238" s="136">
        <f t="shared" si="4"/>
        <v>0.10003541076487252</v>
      </c>
      <c r="P238" s="79"/>
      <c r="Q238" s="25"/>
      <c r="R238" s="5"/>
    </row>
    <row r="239" spans="1:18" ht="15.6" x14ac:dyDescent="0.3">
      <c r="A239" s="24"/>
      <c r="B239" s="54" t="s">
        <v>231</v>
      </c>
      <c r="C239" s="93"/>
      <c r="D239" s="25"/>
      <c r="E239" s="94"/>
      <c r="F239" s="93"/>
      <c r="G239" s="93"/>
      <c r="H239" s="93"/>
      <c r="I239" s="93"/>
      <c r="J239" s="93"/>
      <c r="K239" s="93"/>
      <c r="L239" s="54">
        <v>25</v>
      </c>
      <c r="M239" s="94">
        <f t="shared" si="3"/>
        <v>0.52083333333333337</v>
      </c>
      <c r="N239" s="53">
        <v>2803</v>
      </c>
      <c r="O239" s="136">
        <f t="shared" si="4"/>
        <v>0.49628186968838528</v>
      </c>
      <c r="P239" s="79"/>
      <c r="Q239" s="25"/>
      <c r="R239" s="5"/>
    </row>
    <row r="240" spans="1:18" ht="15.6" x14ac:dyDescent="0.3">
      <c r="A240" s="24"/>
      <c r="B240" s="25" t="s">
        <v>129</v>
      </c>
      <c r="C240" s="25"/>
      <c r="D240" s="25"/>
      <c r="E240" s="25"/>
      <c r="F240" s="95"/>
      <c r="G240" s="95"/>
      <c r="H240" s="95"/>
      <c r="I240" s="95"/>
      <c r="J240" s="95"/>
      <c r="K240" s="95"/>
      <c r="L240" s="34">
        <f>SUM(L232:L239)</f>
        <v>48</v>
      </c>
      <c r="M240" s="136">
        <f>SUM(M232:M239)</f>
        <v>1</v>
      </c>
      <c r="N240" s="53">
        <f>SUM(N232:N239)</f>
        <v>5648</v>
      </c>
      <c r="O240" s="136">
        <f>SUM(O232:O239)</f>
        <v>1</v>
      </c>
      <c r="P240" s="25"/>
      <c r="Q240" s="25"/>
      <c r="R240" s="5"/>
    </row>
    <row r="241" spans="1:18" ht="15.6" x14ac:dyDescent="0.3">
      <c r="A241" s="24"/>
      <c r="B241" s="25"/>
      <c r="C241" s="25"/>
      <c r="D241" s="25"/>
      <c r="E241" s="25"/>
      <c r="F241" s="95"/>
      <c r="G241" s="95"/>
      <c r="H241" s="95"/>
      <c r="I241" s="95"/>
      <c r="J241" s="95"/>
      <c r="K241" s="95"/>
      <c r="L241" s="34"/>
      <c r="M241" s="136"/>
      <c r="N241" s="53"/>
      <c r="O241" s="136"/>
      <c r="P241" s="25"/>
      <c r="Q241" s="25"/>
      <c r="R241" s="5"/>
    </row>
    <row r="242" spans="1:18" ht="15.6" x14ac:dyDescent="0.3">
      <c r="A242" s="148"/>
      <c r="B242" s="14" t="s">
        <v>239</v>
      </c>
      <c r="C242" s="81"/>
      <c r="D242" s="82"/>
      <c r="E242" s="81"/>
      <c r="F242" s="17"/>
      <c r="G242" s="17"/>
      <c r="H242" s="17"/>
      <c r="I242" s="17"/>
      <c r="J242" s="17"/>
      <c r="K242" s="17"/>
      <c r="L242" s="83" t="s">
        <v>113</v>
      </c>
      <c r="M242" s="17" t="s">
        <v>114</v>
      </c>
      <c r="N242" s="83" t="s">
        <v>123</v>
      </c>
      <c r="O242" s="17" t="s">
        <v>114</v>
      </c>
      <c r="P242" s="150"/>
      <c r="Q242" s="149"/>
      <c r="R242" s="5"/>
    </row>
    <row r="243" spans="1:18" ht="15.6" x14ac:dyDescent="0.3">
      <c r="A243" s="24"/>
      <c r="B243" s="54" t="s">
        <v>98</v>
      </c>
      <c r="C243" s="93"/>
      <c r="D243" s="25"/>
      <c r="E243" s="93"/>
      <c r="F243" s="93"/>
      <c r="G243" s="93"/>
      <c r="H243" s="93"/>
      <c r="I243" s="93"/>
      <c r="J243" s="93"/>
      <c r="K243" s="93"/>
      <c r="L243" s="54">
        <v>0</v>
      </c>
      <c r="M243" s="94">
        <v>0</v>
      </c>
      <c r="N243" s="53">
        <v>0</v>
      </c>
      <c r="O243" s="136">
        <v>0</v>
      </c>
      <c r="P243" s="25"/>
      <c r="Q243" s="25"/>
      <c r="R243" s="5"/>
    </row>
    <row r="244" spans="1:18" ht="15.6" x14ac:dyDescent="0.3">
      <c r="A244" s="24"/>
      <c r="B244" s="54" t="s">
        <v>99</v>
      </c>
      <c r="C244" s="93"/>
      <c r="D244" s="25"/>
      <c r="E244" s="94"/>
      <c r="F244" s="93"/>
      <c r="G244" s="93"/>
      <c r="H244" s="93"/>
      <c r="I244" s="93"/>
      <c r="J244" s="93"/>
      <c r="K244" s="93"/>
      <c r="L244" s="54">
        <v>0</v>
      </c>
      <c r="M244" s="94">
        <v>0</v>
      </c>
      <c r="N244" s="53">
        <v>0</v>
      </c>
      <c r="O244" s="136">
        <v>0</v>
      </c>
      <c r="P244" s="25"/>
      <c r="Q244" s="25"/>
      <c r="R244" s="5"/>
    </row>
    <row r="245" spans="1:18" ht="15.6" x14ac:dyDescent="0.3">
      <c r="A245" s="24"/>
      <c r="B245" s="54" t="s">
        <v>100</v>
      </c>
      <c r="C245" s="93"/>
      <c r="D245" s="25"/>
      <c r="E245" s="94"/>
      <c r="F245" s="93"/>
      <c r="G245" s="93"/>
      <c r="H245" s="93"/>
      <c r="I245" s="93"/>
      <c r="J245" s="93"/>
      <c r="K245" s="93"/>
      <c r="L245" s="54">
        <v>0</v>
      </c>
      <c r="M245" s="94">
        <v>0</v>
      </c>
      <c r="N245" s="53">
        <v>0</v>
      </c>
      <c r="O245" s="136">
        <v>0</v>
      </c>
      <c r="P245" s="25"/>
      <c r="Q245" s="25"/>
      <c r="R245" s="5"/>
    </row>
    <row r="246" spans="1:18" ht="15.6" x14ac:dyDescent="0.3">
      <c r="A246" s="24"/>
      <c r="B246" s="54" t="s">
        <v>227</v>
      </c>
      <c r="C246" s="93"/>
      <c r="D246" s="25"/>
      <c r="E246" s="94"/>
      <c r="F246" s="93"/>
      <c r="G246" s="93"/>
      <c r="H246" s="93"/>
      <c r="I246" s="93"/>
      <c r="J246" s="93"/>
      <c r="K246" s="93"/>
      <c r="L246" s="54">
        <v>0</v>
      </c>
      <c r="M246" s="94">
        <v>0</v>
      </c>
      <c r="N246" s="53">
        <v>0</v>
      </c>
      <c r="O246" s="136">
        <v>0</v>
      </c>
      <c r="P246" s="25"/>
      <c r="Q246" s="25"/>
      <c r="R246" s="5"/>
    </row>
    <row r="247" spans="1:18" ht="15.6" x14ac:dyDescent="0.3">
      <c r="A247" s="24"/>
      <c r="B247" s="54" t="s">
        <v>228</v>
      </c>
      <c r="C247" s="93"/>
      <c r="D247" s="25"/>
      <c r="E247" s="94"/>
      <c r="F247" s="93"/>
      <c r="G247" s="93"/>
      <c r="H247" s="93"/>
      <c r="I247" s="93"/>
      <c r="J247" s="93"/>
      <c r="K247" s="93"/>
      <c r="L247" s="54">
        <v>0</v>
      </c>
      <c r="M247" s="94">
        <v>0</v>
      </c>
      <c r="N247" s="53">
        <v>0</v>
      </c>
      <c r="O247" s="136">
        <v>0</v>
      </c>
      <c r="P247" s="25"/>
      <c r="Q247" s="25"/>
      <c r="R247" s="5"/>
    </row>
    <row r="248" spans="1:18" ht="15.6" x14ac:dyDescent="0.3">
      <c r="A248" s="24"/>
      <c r="B248" s="54" t="s">
        <v>229</v>
      </c>
      <c r="C248" s="93"/>
      <c r="D248" s="25"/>
      <c r="E248" s="94"/>
      <c r="F248" s="93"/>
      <c r="G248" s="93"/>
      <c r="H248" s="93"/>
      <c r="I248" s="93"/>
      <c r="J248" s="93"/>
      <c r="K248" s="93"/>
      <c r="L248" s="54">
        <v>0</v>
      </c>
      <c r="M248" s="94">
        <v>0</v>
      </c>
      <c r="N248" s="53">
        <v>0</v>
      </c>
      <c r="O248" s="136">
        <v>0</v>
      </c>
      <c r="P248" s="25"/>
      <c r="Q248" s="25"/>
      <c r="R248" s="5"/>
    </row>
    <row r="249" spans="1:18" ht="15.6" x14ac:dyDescent="0.3">
      <c r="A249" s="24"/>
      <c r="B249" s="54" t="s">
        <v>230</v>
      </c>
      <c r="C249" s="93"/>
      <c r="D249" s="25"/>
      <c r="E249" s="94"/>
      <c r="F249" s="93"/>
      <c r="G249" s="93"/>
      <c r="H249" s="93"/>
      <c r="I249" s="93"/>
      <c r="J249" s="93"/>
      <c r="K249" s="93"/>
      <c r="L249" s="54">
        <v>0</v>
      </c>
      <c r="M249" s="136">
        <v>0</v>
      </c>
      <c r="N249" s="53">
        <v>0</v>
      </c>
      <c r="O249" s="136">
        <v>0</v>
      </c>
      <c r="P249" s="25"/>
      <c r="Q249" s="25"/>
      <c r="R249" s="5"/>
    </row>
    <row r="250" spans="1:18" ht="15.6" x14ac:dyDescent="0.3">
      <c r="A250" s="24"/>
      <c r="B250" s="54" t="s">
        <v>231</v>
      </c>
      <c r="C250" s="93"/>
      <c r="D250" s="25"/>
      <c r="E250" s="94"/>
      <c r="F250" s="93"/>
      <c r="G250" s="93"/>
      <c r="H250" s="93"/>
      <c r="I250" s="93"/>
      <c r="J250" s="93"/>
      <c r="K250" s="93"/>
      <c r="L250" s="54">
        <v>0</v>
      </c>
      <c r="M250" s="94">
        <v>0</v>
      </c>
      <c r="N250" s="53">
        <v>0</v>
      </c>
      <c r="O250" s="136">
        <v>0</v>
      </c>
      <c r="P250" s="25"/>
      <c r="Q250" s="25"/>
      <c r="R250" s="5"/>
    </row>
    <row r="251" spans="1:18" ht="15.6" x14ac:dyDescent="0.3">
      <c r="A251" s="24"/>
      <c r="B251" s="25" t="s">
        <v>129</v>
      </c>
      <c r="C251" s="25"/>
      <c r="D251" s="25"/>
      <c r="E251" s="25"/>
      <c r="F251" s="95"/>
      <c r="G251" s="95"/>
      <c r="H251" s="95"/>
      <c r="I251" s="95"/>
      <c r="J251" s="95"/>
      <c r="K251" s="95"/>
      <c r="L251" s="34">
        <f>SUM(L243:L250)</f>
        <v>0</v>
      </c>
      <c r="M251" s="136">
        <f>SUM(M243:M250)</f>
        <v>0</v>
      </c>
      <c r="N251" s="53">
        <f>SUM(N243:N250)</f>
        <v>0</v>
      </c>
      <c r="O251" s="136">
        <f>SUM(O243:O250)</f>
        <v>0</v>
      </c>
      <c r="P251" s="25"/>
      <c r="Q251" s="25"/>
      <c r="R251" s="5"/>
    </row>
    <row r="252" spans="1:18" ht="15.6" x14ac:dyDescent="0.3">
      <c r="A252" s="24"/>
      <c r="B252" s="25"/>
      <c r="C252" s="25"/>
      <c r="D252" s="25"/>
      <c r="E252" s="25"/>
      <c r="F252" s="95"/>
      <c r="G252" s="95"/>
      <c r="H252" s="95"/>
      <c r="I252" s="95"/>
      <c r="J252" s="95"/>
      <c r="K252" s="95"/>
      <c r="L252" s="34"/>
      <c r="M252" s="136"/>
      <c r="N252" s="53"/>
      <c r="O252" s="136"/>
      <c r="P252" s="25"/>
      <c r="Q252" s="25"/>
      <c r="R252" s="5"/>
    </row>
    <row r="253" spans="1:18" ht="15.6" x14ac:dyDescent="0.3">
      <c r="A253" s="24"/>
      <c r="B253" s="152" t="s">
        <v>240</v>
      </c>
      <c r="C253" s="25"/>
      <c r="D253" s="25"/>
      <c r="E253" s="25"/>
      <c r="F253" s="95"/>
      <c r="G253" s="95"/>
      <c r="H253" s="95"/>
      <c r="I253" s="95"/>
      <c r="J253" s="95"/>
      <c r="K253" s="95"/>
      <c r="L253" s="173">
        <f>+L229+L240+L251</f>
        <v>6680</v>
      </c>
      <c r="M253" s="136"/>
      <c r="N253" s="153">
        <f>+N251+N240+N229</f>
        <v>635908</v>
      </c>
      <c r="O253" s="136"/>
      <c r="P253" s="25"/>
      <c r="Q253" s="25"/>
      <c r="R253" s="5"/>
    </row>
    <row r="254" spans="1:18" ht="15.6" x14ac:dyDescent="0.3">
      <c r="A254" s="24"/>
      <c r="B254" s="25"/>
      <c r="C254" s="25"/>
      <c r="D254" s="25"/>
      <c r="E254" s="25"/>
      <c r="F254" s="95"/>
      <c r="G254" s="95"/>
      <c r="H254" s="95"/>
      <c r="I254" s="95"/>
      <c r="J254" s="95"/>
      <c r="K254" s="95"/>
      <c r="L254" s="95"/>
      <c r="M254" s="95"/>
      <c r="N254" s="53"/>
      <c r="O254" s="95"/>
      <c r="P254" s="25"/>
      <c r="Q254" s="25"/>
      <c r="R254" s="5"/>
    </row>
    <row r="255" spans="1:18" ht="15.6" x14ac:dyDescent="0.3">
      <c r="A255" s="6"/>
      <c r="B255" s="8"/>
      <c r="C255" s="8"/>
      <c r="D255" s="8"/>
      <c r="E255" s="8"/>
      <c r="F255" s="96"/>
      <c r="G255" s="96"/>
      <c r="H255" s="96"/>
      <c r="I255" s="96"/>
      <c r="J255" s="96"/>
      <c r="K255" s="96"/>
      <c r="L255" s="96"/>
      <c r="M255" s="96"/>
      <c r="N255" s="97"/>
      <c r="O255" s="96"/>
      <c r="P255" s="8"/>
      <c r="Q255" s="8"/>
      <c r="R255" s="5"/>
    </row>
    <row r="256" spans="1:18" ht="15.6" x14ac:dyDescent="0.3">
      <c r="A256" s="145"/>
      <c r="B256" s="14" t="s">
        <v>234</v>
      </c>
      <c r="C256" s="15"/>
      <c r="D256" s="17"/>
      <c r="E256" s="15"/>
      <c r="F256" s="14"/>
      <c r="G256" s="140"/>
      <c r="H256" s="140"/>
      <c r="I256" s="140"/>
      <c r="J256" s="140"/>
      <c r="K256" s="140"/>
      <c r="L256" s="140"/>
      <c r="M256" s="140"/>
      <c r="N256" s="140"/>
      <c r="O256" s="140"/>
      <c r="P256" s="140"/>
      <c r="Q256" s="140"/>
      <c r="R256" s="5"/>
    </row>
    <row r="257" spans="1:18" ht="15.6" x14ac:dyDescent="0.3">
      <c r="A257" s="145"/>
      <c r="B257" s="140"/>
      <c r="C257" s="8"/>
      <c r="D257" s="8"/>
      <c r="E257" s="8"/>
      <c r="F257" s="8"/>
      <c r="G257" s="140"/>
      <c r="H257" s="140"/>
      <c r="I257" s="140"/>
      <c r="J257" s="140"/>
      <c r="K257" s="140"/>
      <c r="L257" s="140"/>
      <c r="M257" s="140"/>
      <c r="N257" s="140"/>
      <c r="O257" s="140"/>
      <c r="P257" s="140"/>
      <c r="Q257" s="140"/>
      <c r="R257" s="5"/>
    </row>
    <row r="258" spans="1:18" ht="15.6" x14ac:dyDescent="0.3">
      <c r="A258" s="145"/>
      <c r="B258" s="13" t="s">
        <v>232</v>
      </c>
      <c r="C258" s="13"/>
      <c r="D258" s="134"/>
      <c r="E258" s="13"/>
      <c r="F258" s="13"/>
      <c r="G258" s="140"/>
      <c r="H258" s="140"/>
      <c r="I258" s="140"/>
      <c r="J258" s="140"/>
      <c r="K258" s="140"/>
      <c r="L258" s="140"/>
      <c r="M258" s="140"/>
      <c r="N258" s="140"/>
      <c r="O258" s="140"/>
      <c r="P258" s="140"/>
      <c r="Q258" s="140"/>
      <c r="R258" s="5"/>
    </row>
    <row r="259" spans="1:18" ht="15.6" x14ac:dyDescent="0.3">
      <c r="A259" s="145"/>
      <c r="B259" s="13" t="s">
        <v>233</v>
      </c>
      <c r="C259" s="13"/>
      <c r="D259" s="134"/>
      <c r="E259" s="13"/>
      <c r="F259" s="13"/>
      <c r="G259" s="140"/>
      <c r="H259" s="140"/>
      <c r="I259" s="140"/>
      <c r="J259" s="140"/>
      <c r="K259" s="140"/>
      <c r="L259" s="140"/>
      <c r="M259" s="140"/>
      <c r="N259" s="140"/>
      <c r="O259" s="140"/>
      <c r="P259" s="140"/>
      <c r="Q259" s="140"/>
      <c r="R259" s="5"/>
    </row>
    <row r="260" spans="1:18" ht="15.6" x14ac:dyDescent="0.3">
      <c r="A260" s="145"/>
      <c r="B260" s="13"/>
      <c r="C260" s="13"/>
      <c r="D260" s="13"/>
      <c r="E260" s="99"/>
      <c r="F260" s="140"/>
      <c r="G260" s="140"/>
      <c r="H260" s="140"/>
      <c r="I260" s="140"/>
      <c r="J260" s="140"/>
      <c r="K260" s="140"/>
      <c r="L260" s="140"/>
      <c r="M260" s="140"/>
      <c r="N260" s="140"/>
      <c r="O260" s="140"/>
      <c r="P260" s="140"/>
      <c r="Q260" s="140"/>
      <c r="R260" s="5"/>
    </row>
    <row r="261" spans="1:18" ht="15.6" x14ac:dyDescent="0.3">
      <c r="A261" s="145"/>
      <c r="B261" s="13"/>
      <c r="C261" s="13"/>
      <c r="D261" s="13"/>
      <c r="E261" s="99"/>
      <c r="F261" s="140"/>
      <c r="G261" s="140"/>
      <c r="H261" s="140"/>
      <c r="I261" s="140"/>
      <c r="J261" s="140"/>
      <c r="K261" s="140"/>
      <c r="L261" s="140"/>
      <c r="M261" s="140"/>
      <c r="N261" s="140"/>
      <c r="O261" s="140"/>
      <c r="P261" s="140"/>
      <c r="Q261" s="140"/>
      <c r="R261" s="5"/>
    </row>
    <row r="262" spans="1:18" ht="18" thickBot="1" x14ac:dyDescent="0.35">
      <c r="A262" s="145"/>
      <c r="B262" s="49" t="str">
        <f>B181</f>
        <v>PM7 INVESTOR REPORT QUARTER ENDING JANUARY 2007</v>
      </c>
      <c r="C262" s="13"/>
      <c r="D262" s="13"/>
      <c r="E262" s="99"/>
      <c r="F262" s="140"/>
      <c r="G262" s="140"/>
      <c r="H262" s="140"/>
      <c r="I262" s="140"/>
      <c r="J262" s="140"/>
      <c r="K262" s="140"/>
      <c r="L262" s="140"/>
      <c r="M262" s="140"/>
      <c r="N262" s="140"/>
      <c r="O262" s="140"/>
      <c r="P262" s="140"/>
      <c r="Q262" s="140"/>
      <c r="R262" s="5"/>
    </row>
    <row r="263" spans="1:18" x14ac:dyDescent="0.25">
      <c r="A263" s="100"/>
      <c r="B263" s="100"/>
      <c r="C263" s="100"/>
      <c r="D263" s="100"/>
      <c r="E263" s="100"/>
      <c r="F263" s="100"/>
      <c r="G263" s="100"/>
      <c r="H263" s="100"/>
      <c r="I263" s="100"/>
      <c r="J263" s="100"/>
      <c r="K263" s="100"/>
      <c r="L263" s="100"/>
      <c r="M263" s="100"/>
      <c r="N263" s="100"/>
      <c r="O263" s="100"/>
      <c r="P263" s="100"/>
      <c r="Q263" s="100"/>
    </row>
  </sheetData>
  <phoneticPr fontId="0" type="noConversion"/>
  <hyperlinks>
    <hyperlink ref="H9" r:id="rId1"/>
    <hyperlink ref="J218"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1" max="14" man="1"/>
    <brk id="181" max="14"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S263"/>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0.94750000000000001</v>
      </c>
      <c r="N17" s="17" t="s">
        <v>173</v>
      </c>
      <c r="O17" s="138">
        <v>5.2499999999999998E-2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39227</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178</v>
      </c>
      <c r="K28" s="123"/>
      <c r="L28" s="123" t="s">
        <v>178</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302980.5</v>
      </c>
      <c r="E34" s="31"/>
      <c r="F34" s="131">
        <f>+F33*F40</f>
        <v>148108.84</v>
      </c>
      <c r="G34" s="31"/>
      <c r="H34" s="124">
        <f>+H33*H40</f>
        <v>336652.5</v>
      </c>
      <c r="I34" s="31"/>
      <c r="J34" s="130">
        <v>82500</v>
      </c>
      <c r="K34" s="31"/>
      <c r="L34" s="124">
        <v>65000</v>
      </c>
      <c r="M34" s="31"/>
      <c r="N34" s="31"/>
      <c r="O34" s="142"/>
      <c r="P34" s="31"/>
      <c r="Q34" s="34"/>
      <c r="R34" s="5"/>
    </row>
    <row r="35" spans="1:18" ht="15.6" x14ac:dyDescent="0.3">
      <c r="A35" s="28"/>
      <c r="B35" s="29" t="s">
        <v>158</v>
      </c>
      <c r="C35" s="36"/>
      <c r="D35" s="129">
        <f>+D33*D39</f>
        <v>286001.55</v>
      </c>
      <c r="E35" s="35"/>
      <c r="F35" s="132">
        <f>+F33*F39</f>
        <v>139806.48000000001</v>
      </c>
      <c r="G35" s="35"/>
      <c r="H35" s="125">
        <f>+H33*H39</f>
        <v>317787.5</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170309.44350758853</v>
      </c>
      <c r="E37" s="31"/>
      <c r="F37" s="31">
        <f>+F34</f>
        <v>148108.84</v>
      </c>
      <c r="G37" s="31"/>
      <c r="H37" s="31">
        <f>+H34/1.481481</f>
        <v>227240.51135316619</v>
      </c>
      <c r="I37" s="31"/>
      <c r="J37" s="31">
        <v>46374</v>
      </c>
      <c r="K37" s="31"/>
      <c r="L37" s="31">
        <v>43875</v>
      </c>
      <c r="M37" s="31"/>
      <c r="N37" s="31"/>
      <c r="O37" s="142"/>
      <c r="P37" s="31">
        <f>SUM(C37:L37)</f>
        <v>635907.79486075474</v>
      </c>
      <c r="Q37" s="34"/>
      <c r="R37" s="5"/>
    </row>
    <row r="38" spans="1:18" ht="15.6" x14ac:dyDescent="0.3">
      <c r="A38" s="28"/>
      <c r="B38" s="29" t="s">
        <v>281</v>
      </c>
      <c r="C38" s="36"/>
      <c r="D38" s="35">
        <f>D35/1.779</f>
        <v>160765.34569983138</v>
      </c>
      <c r="E38" s="35"/>
      <c r="F38" s="35">
        <f>+F35</f>
        <v>139806.48000000001</v>
      </c>
      <c r="G38" s="35"/>
      <c r="H38" s="35">
        <f>H35/1.481481</f>
        <v>214506.63221465546</v>
      </c>
      <c r="I38" s="35"/>
      <c r="J38" s="35">
        <v>46374</v>
      </c>
      <c r="K38" s="35"/>
      <c r="L38" s="35">
        <v>43875</v>
      </c>
      <c r="M38" s="35"/>
      <c r="N38" s="35"/>
      <c r="O38" s="37"/>
      <c r="P38" s="35">
        <f>SUM(D38:L38)</f>
        <v>605327.45791448676</v>
      </c>
      <c r="Q38" s="34"/>
      <c r="R38" s="5"/>
    </row>
    <row r="39" spans="1:18" ht="15.6" x14ac:dyDescent="0.3">
      <c r="A39" s="28"/>
      <c r="B39" s="122" t="s">
        <v>154</v>
      </c>
      <c r="C39" s="126"/>
      <c r="D39" s="139">
        <v>0.63555899999999999</v>
      </c>
      <c r="E39" s="139"/>
      <c r="F39" s="139">
        <v>0.63548400000000005</v>
      </c>
      <c r="G39" s="139"/>
      <c r="H39" s="139">
        <v>0.635575</v>
      </c>
      <c r="I39" s="139"/>
      <c r="J39" s="139">
        <v>1</v>
      </c>
      <c r="K39" s="139"/>
      <c r="L39" s="139">
        <v>1</v>
      </c>
      <c r="M39" s="31"/>
      <c r="N39" s="31"/>
      <c r="O39" s="142"/>
      <c r="P39" s="31"/>
      <c r="Q39" s="34"/>
      <c r="R39" s="5"/>
    </row>
    <row r="40" spans="1:18" ht="15.6" x14ac:dyDescent="0.3">
      <c r="A40" s="28"/>
      <c r="B40" s="122" t="s">
        <v>155</v>
      </c>
      <c r="C40" s="126"/>
      <c r="D40" s="139">
        <v>0.67329000000000006</v>
      </c>
      <c r="E40" s="139"/>
      <c r="F40" s="139">
        <v>0.67322199999999999</v>
      </c>
      <c r="G40" s="139"/>
      <c r="H40" s="139">
        <v>0.67330500000000004</v>
      </c>
      <c r="I40" s="139"/>
      <c r="J40" s="139">
        <v>1</v>
      </c>
      <c r="K40" s="139"/>
      <c r="L40" s="139">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5.57E-2</v>
      </c>
      <c r="E42" s="39"/>
      <c r="F42" s="38">
        <v>5.7456300000000002E-2</v>
      </c>
      <c r="G42" s="39"/>
      <c r="H42" s="38">
        <v>4.0239999999999998E-2</v>
      </c>
      <c r="I42" s="39"/>
      <c r="J42" s="38">
        <v>6.1100000000000002E-2</v>
      </c>
      <c r="K42" s="39"/>
      <c r="L42" s="38">
        <v>4.564E-2</v>
      </c>
      <c r="M42" s="39"/>
      <c r="N42" s="38"/>
      <c r="O42" s="141"/>
      <c r="P42" s="39"/>
      <c r="Q42" s="25"/>
      <c r="R42" s="5"/>
    </row>
    <row r="43" spans="1:18" ht="15.6" x14ac:dyDescent="0.3">
      <c r="A43" s="24"/>
      <c r="B43" s="25" t="s">
        <v>14</v>
      </c>
      <c r="C43" s="25"/>
      <c r="D43" s="38">
        <v>5.5837499999999998E-2</v>
      </c>
      <c r="E43" s="39"/>
      <c r="F43" s="38">
        <v>5.4375E-2</v>
      </c>
      <c r="G43" s="39"/>
      <c r="H43" s="38">
        <v>3.7969999999999997E-2</v>
      </c>
      <c r="I43" s="39"/>
      <c r="J43" s="38">
        <v>6.12375E-2</v>
      </c>
      <c r="K43" s="39"/>
      <c r="L43" s="38">
        <v>4.3369999999999999E-2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5.8401300000000003E-2</v>
      </c>
      <c r="E45" s="39"/>
      <c r="F45" s="38">
        <f>+F42</f>
        <v>5.7456300000000002E-2</v>
      </c>
      <c r="G45" s="39"/>
      <c r="H45" s="38">
        <v>5.8281300000000001E-2</v>
      </c>
      <c r="I45" s="39"/>
      <c r="J45" s="38">
        <v>6.45313E-2</v>
      </c>
      <c r="K45" s="39"/>
      <c r="L45" s="38">
        <v>6.45313E-2</v>
      </c>
      <c r="M45" s="39"/>
      <c r="N45" s="38"/>
      <c r="O45" s="141"/>
      <c r="P45" s="39">
        <f>SUMPRODUCT(D45:L45,D37:L37)/P37</f>
        <v>5.900829783515335E-2</v>
      </c>
      <c r="Q45" s="25"/>
      <c r="R45" s="5"/>
    </row>
    <row r="46" spans="1:18" ht="15.6" x14ac:dyDescent="0.3">
      <c r="A46" s="24"/>
      <c r="B46" s="25" t="s">
        <v>283</v>
      </c>
      <c r="C46" s="25"/>
      <c r="D46" s="38">
        <v>5.5320000000000001E-2</v>
      </c>
      <c r="E46" s="39"/>
      <c r="F46" s="38">
        <f>+F43</f>
        <v>5.4375E-2</v>
      </c>
      <c r="G46" s="39"/>
      <c r="H46" s="38">
        <v>5.5199999999999999E-2</v>
      </c>
      <c r="I46" s="39"/>
      <c r="J46" s="38">
        <v>6.1449999999999998E-2</v>
      </c>
      <c r="K46" s="39"/>
      <c r="L46" s="38">
        <v>6.1449999999999998E-2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0.17521408362798024</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39217</v>
      </c>
      <c r="Q57" s="25"/>
      <c r="R57" s="5"/>
    </row>
    <row r="58" spans="1:18" ht="15.6" x14ac:dyDescent="0.3">
      <c r="A58" s="24"/>
      <c r="B58" s="25" t="s">
        <v>142</v>
      </c>
      <c r="C58" s="25"/>
      <c r="D58" s="25"/>
      <c r="E58" s="25"/>
      <c r="F58" s="58"/>
      <c r="G58" s="58"/>
      <c r="H58" s="58"/>
      <c r="I58" s="58"/>
      <c r="J58" s="58"/>
      <c r="K58" s="58"/>
      <c r="L58" s="25">
        <f>+P58-N58+1</f>
        <v>92</v>
      </c>
      <c r="M58" s="58"/>
      <c r="N58" s="45">
        <v>39036</v>
      </c>
      <c r="O58" s="46"/>
      <c r="P58" s="45">
        <v>39127</v>
      </c>
      <c r="Q58" s="25"/>
      <c r="R58" s="5"/>
    </row>
    <row r="59" spans="1:18" ht="15.6" x14ac:dyDescent="0.3">
      <c r="A59" s="24"/>
      <c r="B59" s="25" t="s">
        <v>143</v>
      </c>
      <c r="C59" s="25"/>
      <c r="D59" s="25"/>
      <c r="E59" s="25"/>
      <c r="F59" s="25"/>
      <c r="G59" s="25"/>
      <c r="H59" s="25"/>
      <c r="I59" s="25"/>
      <c r="J59" s="25"/>
      <c r="K59" s="25"/>
      <c r="L59" s="25">
        <f>+P59-N59+1</f>
        <v>89</v>
      </c>
      <c r="M59" s="25"/>
      <c r="N59" s="45">
        <v>39128</v>
      </c>
      <c r="O59" s="46"/>
      <c r="P59" s="45">
        <v>39216</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39203</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260</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635908</v>
      </c>
      <c r="I70" s="34"/>
      <c r="J70" s="34">
        <f>30580+7409+96+1</f>
        <v>38086</v>
      </c>
      <c r="K70" s="34"/>
      <c r="L70" s="34">
        <f>7409+96</f>
        <v>7505</v>
      </c>
      <c r="M70" s="34"/>
      <c r="N70" s="34">
        <v>0</v>
      </c>
      <c r="O70" s="34"/>
      <c r="P70" s="53">
        <f>+H70-J70+L70-N70</f>
        <v>605327</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635908</v>
      </c>
      <c r="I73" s="34"/>
      <c r="J73" s="34">
        <f>SUM(J70:J72)</f>
        <v>38086</v>
      </c>
      <c r="K73" s="34"/>
      <c r="L73" s="34">
        <f>SUM(L70:L72)</f>
        <v>7505</v>
      </c>
      <c r="M73" s="34"/>
      <c r="N73" s="34">
        <f>SUM(N70:N72)</f>
        <v>0</v>
      </c>
      <c r="O73" s="34"/>
      <c r="P73" s="54">
        <f>SUM(P70:P72)</f>
        <v>605327</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v>0</v>
      </c>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v>0</v>
      </c>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635908</v>
      </c>
      <c r="I86" s="34"/>
      <c r="J86" s="34"/>
      <c r="K86" s="34"/>
      <c r="L86" s="34"/>
      <c r="M86" s="34"/>
      <c r="N86" s="54"/>
      <c r="O86" s="34"/>
      <c r="P86" s="54">
        <f>SUM(P73:P85)</f>
        <v>605327</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39202</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f>38086-123</f>
        <v>37963</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11105+579-1841-74</f>
        <v>9769</v>
      </c>
      <c r="Q92" s="25"/>
      <c r="R92" s="5"/>
    </row>
    <row r="93" spans="1:18" ht="15.6" x14ac:dyDescent="0.3">
      <c r="A93" s="24"/>
      <c r="B93" s="25" t="s">
        <v>249</v>
      </c>
      <c r="C93" s="25"/>
      <c r="D93" s="25"/>
      <c r="E93" s="25"/>
      <c r="F93" s="40"/>
      <c r="G93" s="57"/>
      <c r="H93" s="127"/>
      <c r="I93" s="25"/>
      <c r="J93" s="25"/>
      <c r="K93" s="25"/>
      <c r="L93" s="25"/>
      <c r="M93" s="25"/>
      <c r="N93" s="34"/>
      <c r="O93" s="25"/>
      <c r="P93" s="53">
        <f>661+20</f>
        <v>681</v>
      </c>
      <c r="Q93" s="25"/>
      <c r="R93" s="5"/>
    </row>
    <row r="94" spans="1:18" ht="15.6" x14ac:dyDescent="0.3">
      <c r="A94" s="24"/>
      <c r="B94" s="25" t="s">
        <v>250</v>
      </c>
      <c r="C94" s="25"/>
      <c r="D94" s="25"/>
      <c r="E94" s="25"/>
      <c r="F94" s="40"/>
      <c r="G94" s="57"/>
      <c r="H94" s="127"/>
      <c r="I94" s="25"/>
      <c r="J94" s="25"/>
      <c r="K94" s="25"/>
      <c r="L94" s="25"/>
      <c r="M94" s="25"/>
      <c r="N94" s="34"/>
      <c r="O94" s="25"/>
      <c r="P94" s="53">
        <v>389</v>
      </c>
      <c r="Q94" s="25"/>
      <c r="R94" s="5"/>
    </row>
    <row r="95" spans="1:18" ht="15.6" x14ac:dyDescent="0.3">
      <c r="A95" s="24"/>
      <c r="B95" s="25" t="s">
        <v>259</v>
      </c>
      <c r="C95" s="25"/>
      <c r="D95" s="25"/>
      <c r="E95" s="25"/>
      <c r="F95" s="40"/>
      <c r="G95" s="57"/>
      <c r="H95" s="127"/>
      <c r="I95" s="25"/>
      <c r="J95" s="25"/>
      <c r="K95" s="25"/>
      <c r="L95" s="25"/>
      <c r="M95" s="25"/>
      <c r="N95" s="34"/>
      <c r="O95" s="25"/>
      <c r="P95" s="53">
        <v>180</v>
      </c>
      <c r="Q95" s="25"/>
      <c r="R95" s="5"/>
    </row>
    <row r="96" spans="1:18" ht="15.6" x14ac:dyDescent="0.3">
      <c r="A96" s="24"/>
      <c r="B96" s="25" t="s">
        <v>160</v>
      </c>
      <c r="C96" s="25"/>
      <c r="D96" s="25"/>
      <c r="E96" s="25"/>
      <c r="F96" s="25"/>
      <c r="G96" s="25"/>
      <c r="H96" s="25"/>
      <c r="I96" s="25"/>
      <c r="J96" s="25"/>
      <c r="K96" s="25"/>
      <c r="L96" s="25"/>
      <c r="M96" s="25"/>
      <c r="N96" s="34"/>
      <c r="O96" s="25"/>
      <c r="P96" s="53">
        <v>0</v>
      </c>
      <c r="Q96" s="25"/>
      <c r="R96" s="5"/>
    </row>
    <row r="97" spans="1:19" ht="15.6" x14ac:dyDescent="0.3">
      <c r="A97" s="24"/>
      <c r="B97" s="25" t="s">
        <v>192</v>
      </c>
      <c r="C97" s="25"/>
      <c r="D97" s="25"/>
      <c r="E97" s="25"/>
      <c r="F97" s="25"/>
      <c r="G97" s="25"/>
      <c r="H97" s="25"/>
      <c r="I97" s="25"/>
      <c r="J97" s="25"/>
      <c r="K97" s="25"/>
      <c r="L97" s="25"/>
      <c r="M97" s="25"/>
      <c r="N97" s="34"/>
      <c r="O97" s="25"/>
      <c r="P97" s="53">
        <v>550</v>
      </c>
      <c r="Q97" s="25"/>
      <c r="R97" s="5"/>
    </row>
    <row r="98" spans="1:19" ht="15.6" x14ac:dyDescent="0.3">
      <c r="A98" s="24"/>
      <c r="B98" s="25" t="s">
        <v>35</v>
      </c>
      <c r="C98" s="25"/>
      <c r="D98" s="25"/>
      <c r="E98" s="25"/>
      <c r="F98" s="25"/>
      <c r="G98" s="25"/>
      <c r="H98" s="25"/>
      <c r="I98" s="25"/>
      <c r="J98" s="25"/>
      <c r="K98" s="25"/>
      <c r="L98" s="25"/>
      <c r="M98" s="25"/>
      <c r="N98" s="34">
        <f>SUM(N90:N97)</f>
        <v>37963</v>
      </c>
      <c r="O98" s="25"/>
      <c r="P98" s="54">
        <f>SUM(P90:P97)</f>
        <v>11569</v>
      </c>
      <c r="Q98" s="25"/>
      <c r="R98" s="5"/>
    </row>
    <row r="99" spans="1:19" ht="15.6" x14ac:dyDescent="0.3">
      <c r="A99" s="24"/>
      <c r="B99" s="25" t="s">
        <v>237</v>
      </c>
      <c r="C99" s="25"/>
      <c r="D99" s="25"/>
      <c r="E99" s="25"/>
      <c r="F99" s="25"/>
      <c r="G99" s="25"/>
      <c r="H99" s="25"/>
      <c r="I99" s="25"/>
      <c r="J99" s="25"/>
      <c r="K99" s="25"/>
      <c r="L99" s="25"/>
      <c r="M99" s="25"/>
      <c r="N99" s="34">
        <v>-6</v>
      </c>
      <c r="O99" s="25"/>
      <c r="P99" s="54">
        <f>-N99</f>
        <v>6</v>
      </c>
      <c r="Q99" s="25"/>
      <c r="R99" s="5"/>
    </row>
    <row r="100" spans="1:19" ht="15.6" x14ac:dyDescent="0.3">
      <c r="A100" s="24"/>
      <c r="B100" s="25" t="s">
        <v>36</v>
      </c>
      <c r="C100" s="25"/>
      <c r="D100" s="25"/>
      <c r="E100" s="25"/>
      <c r="F100" s="25"/>
      <c r="G100" s="25"/>
      <c r="H100" s="25"/>
      <c r="I100" s="25"/>
      <c r="J100" s="25"/>
      <c r="K100" s="25"/>
      <c r="L100" s="25"/>
      <c r="M100" s="25"/>
      <c r="N100" s="34">
        <f>-P100</f>
        <v>0</v>
      </c>
      <c r="O100" s="25"/>
      <c r="P100" s="53">
        <v>0</v>
      </c>
      <c r="Q100" s="25"/>
      <c r="R100" s="5"/>
    </row>
    <row r="101" spans="1:19" ht="15.6" x14ac:dyDescent="0.3">
      <c r="A101" s="24"/>
      <c r="B101" s="25" t="s">
        <v>37</v>
      </c>
      <c r="C101" s="25"/>
      <c r="D101" s="25"/>
      <c r="E101" s="25"/>
      <c r="F101" s="25"/>
      <c r="G101" s="25"/>
      <c r="H101" s="25"/>
      <c r="I101" s="25"/>
      <c r="J101" s="25"/>
      <c r="K101" s="25"/>
      <c r="L101" s="25"/>
      <c r="M101" s="25"/>
      <c r="N101" s="34">
        <f>N98+N100+N99</f>
        <v>37957</v>
      </c>
      <c r="O101" s="25"/>
      <c r="P101" s="54">
        <f>P98+P100+P99</f>
        <v>11575</v>
      </c>
      <c r="Q101" s="25"/>
      <c r="R101" s="5"/>
      <c r="S101" s="154"/>
    </row>
    <row r="102" spans="1:19" ht="15.6" x14ac:dyDescent="0.3">
      <c r="A102" s="24"/>
      <c r="B102" s="118" t="s">
        <v>38</v>
      </c>
      <c r="C102" s="25"/>
      <c r="D102" s="25"/>
      <c r="E102" s="25"/>
      <c r="F102" s="25"/>
      <c r="G102" s="25"/>
      <c r="H102" s="25"/>
      <c r="I102" s="25"/>
      <c r="J102" s="25"/>
      <c r="K102" s="25"/>
      <c r="L102" s="25"/>
      <c r="M102" s="25"/>
      <c r="N102" s="34"/>
      <c r="O102" s="25"/>
      <c r="P102" s="53"/>
      <c r="Q102" s="25"/>
      <c r="R102" s="5"/>
    </row>
    <row r="103" spans="1:19" ht="15.6" x14ac:dyDescent="0.3">
      <c r="A103" s="24">
        <v>1</v>
      </c>
      <c r="B103" s="25" t="s">
        <v>39</v>
      </c>
      <c r="C103" s="25"/>
      <c r="D103" s="25"/>
      <c r="E103" s="25"/>
      <c r="F103" s="25"/>
      <c r="G103" s="25"/>
      <c r="H103" s="25"/>
      <c r="I103" s="25"/>
      <c r="J103" s="25"/>
      <c r="K103" s="25"/>
      <c r="L103" s="25"/>
      <c r="M103" s="25"/>
      <c r="N103" s="25"/>
      <c r="O103" s="25"/>
      <c r="P103" s="53">
        <v>0</v>
      </c>
      <c r="Q103" s="25"/>
      <c r="R103" s="5"/>
    </row>
    <row r="104" spans="1:19" ht="15.6" x14ac:dyDescent="0.3">
      <c r="A104" s="24">
        <f>+A103+1</f>
        <v>2</v>
      </c>
      <c r="B104" s="25" t="s">
        <v>40</v>
      </c>
      <c r="C104" s="25"/>
      <c r="D104" s="25"/>
      <c r="E104" s="25"/>
      <c r="F104" s="25"/>
      <c r="G104" s="25"/>
      <c r="H104" s="25"/>
      <c r="I104" s="25"/>
      <c r="J104" s="25"/>
      <c r="K104" s="25"/>
      <c r="L104" s="25"/>
      <c r="M104" s="25"/>
      <c r="N104" s="25"/>
      <c r="O104" s="25"/>
      <c r="P104" s="53">
        <v>-2</v>
      </c>
      <c r="Q104" s="25"/>
      <c r="R104" s="5"/>
    </row>
    <row r="105" spans="1:19" ht="15.6" x14ac:dyDescent="0.3">
      <c r="A105" s="24">
        <f>+A104+1</f>
        <v>3</v>
      </c>
      <c r="B105" s="25" t="s">
        <v>226</v>
      </c>
      <c r="C105" s="25"/>
      <c r="D105" s="25"/>
      <c r="E105" s="25"/>
      <c r="F105" s="25"/>
      <c r="G105" s="25"/>
      <c r="H105" s="25"/>
      <c r="I105" s="25"/>
      <c r="J105" s="25"/>
      <c r="K105" s="25"/>
      <c r="L105" s="25"/>
      <c r="M105" s="25"/>
      <c r="N105" s="25"/>
      <c r="O105" s="25"/>
      <c r="P105" s="53">
        <f>-153-43-8</f>
        <v>-204</v>
      </c>
      <c r="Q105" s="25"/>
      <c r="R105" s="5"/>
    </row>
    <row r="106" spans="1:19" ht="15.6" x14ac:dyDescent="0.3">
      <c r="A106" s="24" t="s">
        <v>151</v>
      </c>
      <c r="B106" s="25" t="s">
        <v>131</v>
      </c>
      <c r="C106" s="25"/>
      <c r="D106" s="25"/>
      <c r="E106" s="25"/>
      <c r="F106" s="25"/>
      <c r="G106" s="25"/>
      <c r="H106" s="25"/>
      <c r="I106" s="25"/>
      <c r="J106" s="25"/>
      <c r="K106" s="25"/>
      <c r="L106" s="25"/>
      <c r="M106" s="25"/>
      <c r="N106" s="25"/>
      <c r="O106" s="25"/>
      <c r="P106" s="53">
        <v>0</v>
      </c>
      <c r="Q106" s="25"/>
      <c r="R106" s="5"/>
    </row>
    <row r="107" spans="1:19" ht="15.6" x14ac:dyDescent="0.3">
      <c r="A107" s="24" t="s">
        <v>152</v>
      </c>
      <c r="B107" s="25" t="s">
        <v>195</v>
      </c>
      <c r="C107" s="25"/>
      <c r="D107" s="25"/>
      <c r="E107" s="25"/>
      <c r="F107" s="25"/>
      <c r="G107" s="25"/>
      <c r="H107" s="25"/>
      <c r="I107" s="25"/>
      <c r="J107" s="25"/>
      <c r="K107" s="25"/>
      <c r="L107" s="25"/>
      <c r="M107" s="25"/>
      <c r="N107" s="25"/>
      <c r="O107" s="25"/>
      <c r="P107" s="53">
        <v>-2426</v>
      </c>
      <c r="Q107" s="25"/>
      <c r="R107" s="5"/>
      <c r="S107" s="109"/>
    </row>
    <row r="108" spans="1:19" ht="15.6" x14ac:dyDescent="0.3">
      <c r="A108" s="24" t="s">
        <v>217</v>
      </c>
      <c r="B108" s="25" t="s">
        <v>196</v>
      </c>
      <c r="C108" s="25"/>
      <c r="D108" s="25"/>
      <c r="E108" s="25"/>
      <c r="F108" s="25"/>
      <c r="G108" s="25"/>
      <c r="H108" s="25"/>
      <c r="I108" s="25"/>
      <c r="J108" s="25"/>
      <c r="K108" s="25"/>
      <c r="L108" s="25"/>
      <c r="M108" s="25"/>
      <c r="N108" s="25"/>
      <c r="O108" s="25"/>
      <c r="P108" s="53">
        <v>-2075</v>
      </c>
      <c r="Q108" s="25"/>
      <c r="R108" s="5"/>
      <c r="S108" s="109"/>
    </row>
    <row r="109" spans="1:19" ht="15.6" x14ac:dyDescent="0.3">
      <c r="A109" s="24" t="s">
        <v>218</v>
      </c>
      <c r="B109" s="25" t="s">
        <v>197</v>
      </c>
      <c r="C109" s="25"/>
      <c r="D109" s="25"/>
      <c r="E109" s="25"/>
      <c r="F109" s="25"/>
      <c r="G109" s="25"/>
      <c r="H109" s="25"/>
      <c r="I109" s="25"/>
      <c r="J109" s="25"/>
      <c r="K109" s="25"/>
      <c r="L109" s="25"/>
      <c r="M109" s="25"/>
      <c r="N109" s="25"/>
      <c r="O109" s="25"/>
      <c r="P109" s="53">
        <v>-3229</v>
      </c>
      <c r="Q109" s="25"/>
      <c r="R109" s="5"/>
      <c r="S109" s="109"/>
    </row>
    <row r="110" spans="1:19" ht="15.6" x14ac:dyDescent="0.3">
      <c r="A110" s="24" t="s">
        <v>147</v>
      </c>
      <c r="B110" s="25" t="s">
        <v>146</v>
      </c>
      <c r="C110" s="25"/>
      <c r="D110" s="25"/>
      <c r="E110" s="25"/>
      <c r="F110" s="25"/>
      <c r="G110" s="25"/>
      <c r="H110" s="25"/>
      <c r="I110" s="25"/>
      <c r="J110" s="25"/>
      <c r="K110" s="25"/>
      <c r="L110" s="25"/>
      <c r="M110" s="25"/>
      <c r="N110" s="25"/>
      <c r="O110" s="25"/>
      <c r="P110" s="53">
        <v>-730</v>
      </c>
      <c r="Q110" s="25"/>
      <c r="R110" s="5"/>
      <c r="S110" s="109"/>
    </row>
    <row r="111" spans="1:19" ht="15.6" x14ac:dyDescent="0.3">
      <c r="A111" s="24" t="s">
        <v>148</v>
      </c>
      <c r="B111" s="25" t="s">
        <v>198</v>
      </c>
      <c r="C111" s="25"/>
      <c r="D111" s="25"/>
      <c r="E111" s="25"/>
      <c r="F111" s="25"/>
      <c r="G111" s="25"/>
      <c r="H111" s="25"/>
      <c r="I111" s="25"/>
      <c r="J111" s="25"/>
      <c r="K111" s="25"/>
      <c r="L111" s="25"/>
      <c r="M111" s="25"/>
      <c r="N111" s="25"/>
      <c r="O111" s="25"/>
      <c r="P111" s="53">
        <v>-690</v>
      </c>
      <c r="Q111" s="25"/>
      <c r="R111" s="5"/>
      <c r="S111" s="109"/>
    </row>
    <row r="112" spans="1:19" ht="15.6" x14ac:dyDescent="0.3">
      <c r="A112" s="24">
        <v>6</v>
      </c>
      <c r="B112" s="25" t="s">
        <v>41</v>
      </c>
      <c r="C112" s="25"/>
      <c r="D112" s="25"/>
      <c r="E112" s="25"/>
      <c r="F112" s="25"/>
      <c r="G112" s="25"/>
      <c r="H112" s="25"/>
      <c r="I112" s="25"/>
      <c r="J112" s="25"/>
      <c r="K112" s="25"/>
      <c r="L112" s="25"/>
      <c r="M112" s="25"/>
      <c r="N112" s="25"/>
      <c r="O112" s="25"/>
      <c r="P112" s="53">
        <v>-10</v>
      </c>
      <c r="Q112" s="25"/>
      <c r="R112" s="5"/>
    </row>
    <row r="113" spans="1:18" ht="15.6" x14ac:dyDescent="0.3">
      <c r="A113" s="24">
        <f t="shared" ref="A113:A118" si="0">+A112+1</f>
        <v>7</v>
      </c>
      <c r="B113" s="25" t="s">
        <v>53</v>
      </c>
      <c r="C113" s="25"/>
      <c r="D113" s="25"/>
      <c r="E113" s="25"/>
      <c r="F113" s="25"/>
      <c r="G113" s="25"/>
      <c r="H113" s="25"/>
      <c r="I113" s="25"/>
      <c r="J113" s="25"/>
      <c r="K113" s="25"/>
      <c r="L113" s="25"/>
      <c r="M113" s="25"/>
      <c r="N113" s="34">
        <f>-P113</f>
        <v>123</v>
      </c>
      <c r="O113" s="25"/>
      <c r="P113" s="53">
        <v>-123</v>
      </c>
      <c r="Q113" s="25"/>
      <c r="R113" s="5"/>
    </row>
    <row r="114" spans="1:18" ht="15.6" x14ac:dyDescent="0.3">
      <c r="A114" s="24">
        <f t="shared" si="0"/>
        <v>8</v>
      </c>
      <c r="B114" s="25" t="s">
        <v>149</v>
      </c>
      <c r="C114" s="25"/>
      <c r="D114" s="25"/>
      <c r="E114" s="25"/>
      <c r="F114" s="25"/>
      <c r="G114" s="25"/>
      <c r="H114" s="25"/>
      <c r="I114" s="25"/>
      <c r="J114" s="25"/>
      <c r="K114" s="25"/>
      <c r="L114" s="25"/>
      <c r="M114" s="25"/>
      <c r="N114" s="25"/>
      <c r="O114" s="25"/>
      <c r="P114" s="53">
        <v>0</v>
      </c>
      <c r="Q114" s="25"/>
      <c r="R114" s="5"/>
    </row>
    <row r="115" spans="1:18" ht="15.6" x14ac:dyDescent="0.3">
      <c r="A115" s="24">
        <f t="shared" si="0"/>
        <v>9</v>
      </c>
      <c r="B115" s="25" t="s">
        <v>42</v>
      </c>
      <c r="C115" s="25"/>
      <c r="D115" s="25"/>
      <c r="E115" s="25"/>
      <c r="F115" s="25"/>
      <c r="G115" s="25"/>
      <c r="H115" s="25"/>
      <c r="I115" s="25"/>
      <c r="J115" s="25"/>
      <c r="K115" s="25"/>
      <c r="L115" s="25"/>
      <c r="M115" s="25"/>
      <c r="N115" s="25"/>
      <c r="O115" s="25"/>
      <c r="P115" s="53">
        <v>0</v>
      </c>
      <c r="Q115" s="25"/>
      <c r="R115" s="5"/>
    </row>
    <row r="116" spans="1:18" ht="15.6" x14ac:dyDescent="0.3">
      <c r="A116" s="24">
        <f t="shared" si="0"/>
        <v>10</v>
      </c>
      <c r="B116" s="25" t="s">
        <v>43</v>
      </c>
      <c r="C116" s="25"/>
      <c r="D116" s="25"/>
      <c r="E116" s="25"/>
      <c r="F116" s="25"/>
      <c r="G116" s="25"/>
      <c r="H116" s="25"/>
      <c r="I116" s="25"/>
      <c r="J116" s="25"/>
      <c r="K116" s="25"/>
      <c r="L116" s="25"/>
      <c r="M116" s="25"/>
      <c r="N116" s="25"/>
      <c r="O116" s="25"/>
      <c r="P116" s="53">
        <v>0</v>
      </c>
      <c r="Q116" s="25"/>
      <c r="R116" s="5"/>
    </row>
    <row r="117" spans="1:18" ht="15.6" x14ac:dyDescent="0.3">
      <c r="A117" s="24">
        <f t="shared" si="0"/>
        <v>11</v>
      </c>
      <c r="B117" s="25" t="s">
        <v>215</v>
      </c>
      <c r="C117" s="25"/>
      <c r="D117" s="25"/>
      <c r="E117" s="25"/>
      <c r="F117" s="25"/>
      <c r="G117" s="25"/>
      <c r="H117" s="25"/>
      <c r="I117" s="25"/>
      <c r="J117" s="25"/>
      <c r="K117" s="25"/>
      <c r="L117" s="25"/>
      <c r="M117" s="25"/>
      <c r="N117" s="25"/>
      <c r="O117" s="25"/>
      <c r="P117" s="53">
        <v>-313</v>
      </c>
      <c r="Q117" s="25"/>
      <c r="R117" s="5"/>
    </row>
    <row r="118" spans="1:18" ht="15.6" x14ac:dyDescent="0.3">
      <c r="A118" s="24">
        <f t="shared" si="0"/>
        <v>12</v>
      </c>
      <c r="B118" s="25" t="s">
        <v>150</v>
      </c>
      <c r="C118" s="25"/>
      <c r="D118" s="25"/>
      <c r="E118" s="25"/>
      <c r="F118" s="25"/>
      <c r="G118" s="25"/>
      <c r="H118" s="25"/>
      <c r="I118" s="25"/>
      <c r="J118" s="25"/>
      <c r="K118" s="25"/>
      <c r="L118" s="25"/>
      <c r="M118" s="25"/>
      <c r="N118" s="25"/>
      <c r="O118" s="25"/>
      <c r="P118" s="53">
        <f>-P101-SUM(P103:P117)</f>
        <v>-1773</v>
      </c>
      <c r="Q118" s="25"/>
      <c r="R118" s="5"/>
    </row>
    <row r="119" spans="1:18" ht="15.6" x14ac:dyDescent="0.3">
      <c r="A119" s="24"/>
      <c r="B119" s="118" t="s">
        <v>44</v>
      </c>
      <c r="C119" s="25"/>
      <c r="D119" s="25"/>
      <c r="E119" s="25"/>
      <c r="F119" s="25"/>
      <c r="G119" s="25"/>
      <c r="H119" s="25"/>
      <c r="I119" s="25"/>
      <c r="J119" s="25"/>
      <c r="K119" s="25"/>
      <c r="L119" s="25"/>
      <c r="M119" s="25"/>
      <c r="N119" s="25"/>
      <c r="O119" s="25"/>
      <c r="P119" s="59"/>
      <c r="Q119" s="25"/>
      <c r="R119" s="5"/>
    </row>
    <row r="120" spans="1:18" ht="15.6" x14ac:dyDescent="0.3">
      <c r="A120" s="24"/>
      <c r="B120" s="25" t="s">
        <v>45</v>
      </c>
      <c r="C120" s="25"/>
      <c r="D120" s="25"/>
      <c r="E120" s="25"/>
      <c r="F120" s="25"/>
      <c r="G120" s="25"/>
      <c r="H120" s="25"/>
      <c r="I120" s="25"/>
      <c r="J120" s="25"/>
      <c r="K120" s="25"/>
      <c r="L120" s="25"/>
      <c r="M120" s="25"/>
      <c r="N120" s="34">
        <v>-28</v>
      </c>
      <c r="O120" s="34"/>
      <c r="P120" s="53"/>
      <c r="Q120" s="25"/>
      <c r="R120" s="5"/>
    </row>
    <row r="121" spans="1:18" ht="15.6" x14ac:dyDescent="0.3">
      <c r="A121" s="24"/>
      <c r="B121" s="25" t="s">
        <v>46</v>
      </c>
      <c r="C121" s="25"/>
      <c r="D121" s="25"/>
      <c r="E121" s="25"/>
      <c r="F121" s="25"/>
      <c r="G121" s="25"/>
      <c r="H121" s="25"/>
      <c r="I121" s="25"/>
      <c r="J121" s="25"/>
      <c r="K121" s="25"/>
      <c r="L121" s="25"/>
      <c r="M121" s="25"/>
      <c r="N121" s="34">
        <f>-M168</f>
        <v>-7471</v>
      </c>
      <c r="O121" s="34"/>
      <c r="P121" s="53"/>
      <c r="Q121" s="25"/>
      <c r="R121" s="5"/>
    </row>
    <row r="122" spans="1:18" ht="15.6" x14ac:dyDescent="0.3">
      <c r="A122" s="24"/>
      <c r="B122" s="25" t="s">
        <v>199</v>
      </c>
      <c r="C122" s="25"/>
      <c r="D122" s="25"/>
      <c r="E122" s="25"/>
      <c r="F122" s="25"/>
      <c r="G122" s="25"/>
      <c r="H122" s="25"/>
      <c r="I122" s="25"/>
      <c r="J122" s="25"/>
      <c r="K122" s="25"/>
      <c r="L122" s="25"/>
      <c r="M122" s="25"/>
      <c r="N122" s="34">
        <v>-9544</v>
      </c>
      <c r="O122" s="34"/>
      <c r="P122" s="53"/>
      <c r="Q122" s="25"/>
      <c r="R122" s="5"/>
    </row>
    <row r="123" spans="1:18" ht="15.6" x14ac:dyDescent="0.3">
      <c r="A123" s="24"/>
      <c r="B123" s="25" t="s">
        <v>200</v>
      </c>
      <c r="C123" s="25"/>
      <c r="D123" s="25"/>
      <c r="E123" s="25"/>
      <c r="F123" s="25"/>
      <c r="G123" s="25"/>
      <c r="H123" s="25"/>
      <c r="I123" s="25"/>
      <c r="J123" s="25"/>
      <c r="K123" s="25"/>
      <c r="L123" s="25"/>
      <c r="M123" s="25"/>
      <c r="N123" s="34">
        <v>-8303</v>
      </c>
      <c r="O123" s="34"/>
      <c r="P123" s="53"/>
      <c r="Q123" s="25"/>
      <c r="R123" s="5"/>
    </row>
    <row r="124" spans="1:18" ht="15.6" x14ac:dyDescent="0.3">
      <c r="A124" s="24"/>
      <c r="B124" s="25" t="s">
        <v>201</v>
      </c>
      <c r="C124" s="25"/>
      <c r="D124" s="25"/>
      <c r="E124" s="25"/>
      <c r="F124" s="25"/>
      <c r="G124" s="25"/>
      <c r="H124" s="25"/>
      <c r="I124" s="25"/>
      <c r="J124" s="25"/>
      <c r="K124" s="25"/>
      <c r="L124" s="25"/>
      <c r="M124" s="25"/>
      <c r="N124" s="34">
        <v>-12734</v>
      </c>
      <c r="O124" s="34"/>
      <c r="P124" s="53"/>
      <c r="Q124" s="25"/>
      <c r="R124" s="5"/>
    </row>
    <row r="125" spans="1:18" ht="15.6" x14ac:dyDescent="0.3">
      <c r="A125" s="24"/>
      <c r="B125" s="25" t="s">
        <v>159</v>
      </c>
      <c r="C125" s="25"/>
      <c r="D125" s="25"/>
      <c r="E125" s="25"/>
      <c r="F125" s="25"/>
      <c r="G125" s="25"/>
      <c r="H125" s="25"/>
      <c r="I125" s="25"/>
      <c r="J125" s="25"/>
      <c r="K125" s="25"/>
      <c r="L125" s="25"/>
      <c r="M125" s="25"/>
      <c r="N125" s="34">
        <v>0</v>
      </c>
      <c r="O125" s="34"/>
      <c r="P125" s="53"/>
      <c r="Q125" s="25"/>
      <c r="R125" s="5"/>
    </row>
    <row r="126" spans="1:18" ht="15.6" x14ac:dyDescent="0.3">
      <c r="A126" s="24"/>
      <c r="B126" s="25" t="s">
        <v>214</v>
      </c>
      <c r="C126" s="25"/>
      <c r="D126" s="25"/>
      <c r="E126" s="25"/>
      <c r="F126" s="25"/>
      <c r="G126" s="25"/>
      <c r="H126" s="25"/>
      <c r="I126" s="25"/>
      <c r="J126" s="25"/>
      <c r="K126" s="25"/>
      <c r="L126" s="25"/>
      <c r="M126" s="25"/>
      <c r="N126" s="34">
        <v>0</v>
      </c>
      <c r="O126" s="34"/>
      <c r="P126" s="53"/>
      <c r="Q126" s="25"/>
      <c r="R126" s="5"/>
    </row>
    <row r="127" spans="1:18" ht="15.6" x14ac:dyDescent="0.3">
      <c r="A127" s="24"/>
      <c r="B127" s="25" t="s">
        <v>47</v>
      </c>
      <c r="C127" s="25"/>
      <c r="D127" s="25"/>
      <c r="E127" s="25"/>
      <c r="F127" s="25"/>
      <c r="G127" s="25"/>
      <c r="H127" s="25"/>
      <c r="I127" s="25"/>
      <c r="J127" s="25"/>
      <c r="K127" s="25"/>
      <c r="L127" s="25"/>
      <c r="M127" s="25"/>
      <c r="N127" s="34">
        <f>SUM(N120:N126)</f>
        <v>-38080</v>
      </c>
      <c r="O127" s="34"/>
      <c r="P127" s="34">
        <f>SUM(P102:P126)</f>
        <v>-11575</v>
      </c>
      <c r="Q127" s="25"/>
      <c r="R127" s="5"/>
    </row>
    <row r="128" spans="1:18" ht="15.6" x14ac:dyDescent="0.3">
      <c r="A128" s="24"/>
      <c r="B128" s="25" t="s">
        <v>48</v>
      </c>
      <c r="C128" s="25"/>
      <c r="D128" s="25"/>
      <c r="E128" s="25"/>
      <c r="F128" s="25"/>
      <c r="G128" s="25"/>
      <c r="H128" s="25"/>
      <c r="I128" s="25"/>
      <c r="J128" s="25"/>
      <c r="K128" s="25"/>
      <c r="L128" s="25"/>
      <c r="M128" s="25"/>
      <c r="N128" s="34">
        <f>N101+N127+N113</f>
        <v>0</v>
      </c>
      <c r="O128" s="34"/>
      <c r="P128" s="34">
        <f>P101+P127</f>
        <v>0</v>
      </c>
      <c r="Q128" s="25"/>
      <c r="R128" s="5"/>
    </row>
    <row r="129" spans="1:19" ht="15.6" x14ac:dyDescent="0.3">
      <c r="A129" s="24"/>
      <c r="B129" s="25"/>
      <c r="C129" s="25"/>
      <c r="D129" s="25"/>
      <c r="E129" s="25"/>
      <c r="F129" s="25"/>
      <c r="G129" s="25"/>
      <c r="H129" s="25"/>
      <c r="I129" s="25"/>
      <c r="J129" s="25"/>
      <c r="K129" s="25"/>
      <c r="L129" s="25"/>
      <c r="M129" s="25"/>
      <c r="N129" s="34"/>
      <c r="O129" s="34"/>
      <c r="P129" s="34"/>
      <c r="Q129" s="25"/>
      <c r="R129" s="5"/>
    </row>
    <row r="130" spans="1:19" ht="15.6" x14ac:dyDescent="0.3">
      <c r="A130" s="6"/>
      <c r="B130" s="146"/>
      <c r="C130" s="146"/>
      <c r="D130" s="146"/>
      <c r="E130" s="146"/>
      <c r="F130" s="146"/>
      <c r="G130" s="146"/>
      <c r="H130" s="146"/>
      <c r="I130" s="146"/>
      <c r="J130" s="146"/>
      <c r="K130" s="146"/>
      <c r="L130" s="146"/>
      <c r="M130" s="146"/>
      <c r="N130" s="147"/>
      <c r="O130" s="147"/>
      <c r="P130" s="147"/>
      <c r="Q130" s="146"/>
      <c r="R130" s="5"/>
    </row>
    <row r="131" spans="1:19" ht="18" thickBot="1" x14ac:dyDescent="0.35">
      <c r="A131" s="101"/>
      <c r="B131" s="102" t="str">
        <f>B65</f>
        <v>PM7 INVESTOR REPORT QUARTER ENDING APRIL 2007</v>
      </c>
      <c r="C131" s="103"/>
      <c r="D131" s="103"/>
      <c r="E131" s="103"/>
      <c r="F131" s="103"/>
      <c r="G131" s="103"/>
      <c r="H131" s="103"/>
      <c r="I131" s="103"/>
      <c r="J131" s="103"/>
      <c r="K131" s="103"/>
      <c r="L131" s="103"/>
      <c r="M131" s="103"/>
      <c r="N131" s="103"/>
      <c r="O131" s="103"/>
      <c r="P131" s="106"/>
      <c r="Q131" s="105"/>
      <c r="R131" s="5"/>
    </row>
    <row r="132" spans="1:19" ht="15.6" x14ac:dyDescent="0.3">
      <c r="A132" s="2"/>
      <c r="B132" s="60" t="s">
        <v>49</v>
      </c>
      <c r="C132" s="4"/>
      <c r="D132" s="4"/>
      <c r="E132" s="4"/>
      <c r="F132" s="4"/>
      <c r="G132" s="4"/>
      <c r="H132" s="4"/>
      <c r="I132" s="4"/>
      <c r="J132" s="4"/>
      <c r="K132" s="4"/>
      <c r="L132" s="4"/>
      <c r="M132" s="4"/>
      <c r="N132" s="4"/>
      <c r="O132" s="4"/>
      <c r="P132" s="50"/>
      <c r="Q132" s="4"/>
      <c r="R132" s="5"/>
    </row>
    <row r="133" spans="1:19" ht="15.6" x14ac:dyDescent="0.3">
      <c r="A133" s="6"/>
      <c r="B133" s="21"/>
      <c r="C133" s="8"/>
      <c r="D133" s="8"/>
      <c r="E133" s="8"/>
      <c r="F133" s="8"/>
      <c r="G133" s="8"/>
      <c r="H133" s="8"/>
      <c r="I133" s="8"/>
      <c r="J133" s="8"/>
      <c r="K133" s="8"/>
      <c r="L133" s="8"/>
      <c r="M133" s="8"/>
      <c r="N133" s="8"/>
      <c r="O133" s="8"/>
      <c r="P133" s="52"/>
      <c r="Q133" s="8"/>
      <c r="R133" s="5"/>
    </row>
    <row r="134" spans="1:19" ht="15.6" x14ac:dyDescent="0.3">
      <c r="A134" s="6"/>
      <c r="B134" s="119" t="s">
        <v>50</v>
      </c>
      <c r="C134" s="8"/>
      <c r="D134" s="8"/>
      <c r="E134" s="8"/>
      <c r="F134" s="8"/>
      <c r="G134" s="8"/>
      <c r="H134" s="8"/>
      <c r="I134" s="8"/>
      <c r="J134" s="8"/>
      <c r="K134" s="8"/>
      <c r="L134" s="8"/>
      <c r="M134" s="8"/>
      <c r="N134" s="8"/>
      <c r="O134" s="8"/>
      <c r="P134" s="52"/>
      <c r="Q134" s="8"/>
      <c r="R134" s="5"/>
    </row>
    <row r="135" spans="1:19" ht="15.6" x14ac:dyDescent="0.3">
      <c r="A135" s="24"/>
      <c r="B135" s="25" t="s">
        <v>51</v>
      </c>
      <c r="C135" s="25"/>
      <c r="D135" s="25"/>
      <c r="E135" s="25"/>
      <c r="F135" s="25"/>
      <c r="G135" s="25"/>
      <c r="H135" s="25"/>
      <c r="I135" s="25"/>
      <c r="J135" s="25"/>
      <c r="K135" s="25"/>
      <c r="L135" s="25"/>
      <c r="M135" s="25"/>
      <c r="N135" s="25"/>
      <c r="O135" s="25"/>
      <c r="P135" s="53">
        <f>+P36*0.022</f>
        <v>19815.399999999998</v>
      </c>
      <c r="Q135" s="25"/>
      <c r="R135" s="5"/>
    </row>
    <row r="136" spans="1:19" ht="15.6" x14ac:dyDescent="0.3">
      <c r="A136" s="24"/>
      <c r="B136" s="25" t="s">
        <v>52</v>
      </c>
      <c r="C136" s="25"/>
      <c r="D136" s="25"/>
      <c r="E136" s="25"/>
      <c r="F136" s="25"/>
      <c r="G136" s="25"/>
      <c r="H136" s="25"/>
      <c r="I136" s="25"/>
      <c r="J136" s="25"/>
      <c r="K136" s="25"/>
      <c r="L136" s="25"/>
      <c r="M136" s="25"/>
      <c r="N136" s="25"/>
      <c r="O136" s="25"/>
      <c r="P136" s="53">
        <v>19815</v>
      </c>
      <c r="Q136" s="25"/>
      <c r="R136" s="5"/>
    </row>
    <row r="137" spans="1:19" ht="15.6" x14ac:dyDescent="0.3">
      <c r="A137" s="24"/>
      <c r="B137" s="25" t="s">
        <v>161</v>
      </c>
      <c r="C137" s="25"/>
      <c r="D137" s="25"/>
      <c r="E137" s="25"/>
      <c r="F137" s="25"/>
      <c r="G137" s="25"/>
      <c r="H137" s="25"/>
      <c r="I137" s="25"/>
      <c r="J137" s="25"/>
      <c r="K137" s="25"/>
      <c r="L137" s="25"/>
      <c r="M137" s="25"/>
      <c r="N137" s="25"/>
      <c r="O137" s="25"/>
      <c r="P137" s="53">
        <v>0</v>
      </c>
      <c r="Q137" s="25"/>
      <c r="R137" s="5"/>
    </row>
    <row r="138" spans="1:19" ht="15.6" x14ac:dyDescent="0.3">
      <c r="A138" s="24"/>
      <c r="B138" s="25" t="s">
        <v>144</v>
      </c>
      <c r="C138" s="25"/>
      <c r="D138" s="25"/>
      <c r="E138" s="25"/>
      <c r="F138" s="25"/>
      <c r="G138" s="25"/>
      <c r="H138" s="25"/>
      <c r="I138" s="25"/>
      <c r="J138" s="25"/>
      <c r="K138" s="25"/>
      <c r="L138" s="25"/>
      <c r="M138" s="25"/>
      <c r="N138" s="25"/>
      <c r="O138" s="25"/>
      <c r="P138" s="53">
        <v>0</v>
      </c>
      <c r="Q138" s="25"/>
      <c r="R138" s="5"/>
    </row>
    <row r="139" spans="1:19" ht="15.6" x14ac:dyDescent="0.3">
      <c r="A139" s="24"/>
      <c r="B139" s="25" t="s">
        <v>145</v>
      </c>
      <c r="C139" s="25"/>
      <c r="D139" s="25"/>
      <c r="E139" s="25"/>
      <c r="F139" s="25"/>
      <c r="G139" s="25"/>
      <c r="H139" s="25"/>
      <c r="I139" s="25"/>
      <c r="J139" s="25"/>
      <c r="K139" s="25"/>
      <c r="L139" s="25"/>
      <c r="M139" s="25"/>
      <c r="N139" s="25"/>
      <c r="O139" s="25"/>
      <c r="P139" s="53">
        <v>0</v>
      </c>
      <c r="Q139" s="25"/>
      <c r="R139" s="5"/>
    </row>
    <row r="140" spans="1:19" ht="15.6" x14ac:dyDescent="0.3">
      <c r="A140" s="24"/>
      <c r="B140" s="25" t="s">
        <v>53</v>
      </c>
      <c r="C140" s="25"/>
      <c r="D140" s="25"/>
      <c r="E140" s="25"/>
      <c r="F140" s="25"/>
      <c r="G140" s="25"/>
      <c r="H140" s="25"/>
      <c r="I140" s="25"/>
      <c r="J140" s="25"/>
      <c r="K140" s="25"/>
      <c r="L140" s="25"/>
      <c r="M140" s="25"/>
      <c r="N140" s="25"/>
      <c r="O140" s="25"/>
      <c r="P140" s="53">
        <v>0</v>
      </c>
      <c r="Q140" s="25"/>
      <c r="R140" s="5"/>
    </row>
    <row r="141" spans="1:19" ht="15.6" x14ac:dyDescent="0.3">
      <c r="A141" s="24"/>
      <c r="B141" s="25" t="s">
        <v>153</v>
      </c>
      <c r="C141" s="25"/>
      <c r="D141" s="25"/>
      <c r="E141" s="25"/>
      <c r="F141" s="25"/>
      <c r="G141" s="25"/>
      <c r="H141" s="25"/>
      <c r="I141" s="25"/>
      <c r="J141" s="25"/>
      <c r="K141" s="25"/>
      <c r="L141" s="25"/>
      <c r="M141" s="25"/>
      <c r="N141" s="25"/>
      <c r="O141" s="25"/>
      <c r="P141" s="53">
        <v>0</v>
      </c>
      <c r="Q141" s="25"/>
      <c r="R141" s="5"/>
    </row>
    <row r="142" spans="1:19" ht="15.6" x14ac:dyDescent="0.3">
      <c r="A142" s="24"/>
      <c r="B142" s="25" t="s">
        <v>202</v>
      </c>
      <c r="C142" s="25"/>
      <c r="D142" s="25"/>
      <c r="E142" s="25"/>
      <c r="F142" s="25"/>
      <c r="G142" s="25"/>
      <c r="H142" s="25"/>
      <c r="I142" s="25"/>
      <c r="J142" s="25"/>
      <c r="K142" s="25"/>
      <c r="L142" s="25"/>
      <c r="M142" s="25"/>
      <c r="N142" s="25"/>
      <c r="O142" s="25"/>
      <c r="P142" s="53">
        <v>0</v>
      </c>
      <c r="Q142" s="25"/>
      <c r="R142" s="5"/>
      <c r="S142" s="109"/>
    </row>
    <row r="143" spans="1:19" ht="15.6" x14ac:dyDescent="0.3">
      <c r="A143" s="24"/>
      <c r="B143" s="25" t="s">
        <v>54</v>
      </c>
      <c r="C143" s="25"/>
      <c r="D143" s="25"/>
      <c r="E143" s="25"/>
      <c r="F143" s="25"/>
      <c r="G143" s="25"/>
      <c r="H143" s="25"/>
      <c r="I143" s="25"/>
      <c r="J143" s="25"/>
      <c r="K143" s="25"/>
      <c r="L143" s="25"/>
      <c r="M143" s="25"/>
      <c r="N143" s="25"/>
      <c r="O143" s="25"/>
      <c r="P143" s="53">
        <f>SUM(P136:P142)</f>
        <v>19815</v>
      </c>
      <c r="Q143" s="25"/>
      <c r="R143" s="5"/>
    </row>
    <row r="144" spans="1:19" ht="15.6" x14ac:dyDescent="0.3">
      <c r="A144" s="24"/>
      <c r="B144" s="25"/>
      <c r="C144" s="25"/>
      <c r="D144" s="25"/>
      <c r="E144" s="25"/>
      <c r="F144" s="25"/>
      <c r="G144" s="25"/>
      <c r="H144" s="25"/>
      <c r="I144" s="25"/>
      <c r="J144" s="25"/>
      <c r="K144" s="25"/>
      <c r="L144" s="25"/>
      <c r="M144" s="25"/>
      <c r="N144" s="25"/>
      <c r="O144" s="25"/>
      <c r="P144" s="61"/>
      <c r="Q144" s="25"/>
      <c r="R144" s="5"/>
    </row>
    <row r="145" spans="1:18" ht="15.6" x14ac:dyDescent="0.3">
      <c r="A145" s="6"/>
      <c r="B145" s="119" t="s">
        <v>28</v>
      </c>
      <c r="C145" s="8"/>
      <c r="D145" s="8"/>
      <c r="E145" s="8"/>
      <c r="F145" s="8"/>
      <c r="G145" s="8"/>
      <c r="H145" s="8"/>
      <c r="I145" s="8"/>
      <c r="J145" s="8"/>
      <c r="K145" s="8"/>
      <c r="L145" s="8"/>
      <c r="M145" s="8"/>
      <c r="N145" s="8"/>
      <c r="O145" s="8"/>
      <c r="P145" s="52"/>
      <c r="Q145" s="8"/>
      <c r="R145" s="5"/>
    </row>
    <row r="146" spans="1:18" ht="15.6" x14ac:dyDescent="0.3">
      <c r="A146" s="24"/>
      <c r="B146" s="25" t="s">
        <v>55</v>
      </c>
      <c r="C146" s="25"/>
      <c r="D146" s="25"/>
      <c r="E146" s="25"/>
      <c r="F146" s="25"/>
      <c r="G146" s="25"/>
      <c r="H146" s="25"/>
      <c r="I146" s="25"/>
      <c r="J146" s="25"/>
      <c r="K146" s="25"/>
      <c r="L146" s="25"/>
      <c r="M146" s="25"/>
      <c r="N146" s="25"/>
      <c r="O146" s="25"/>
      <c r="P146" s="59" t="s">
        <v>137</v>
      </c>
      <c r="Q146" s="25"/>
      <c r="R146" s="5"/>
    </row>
    <row r="147" spans="1:18" ht="15.6" x14ac:dyDescent="0.3">
      <c r="A147" s="24"/>
      <c r="B147" s="25" t="s">
        <v>56</v>
      </c>
      <c r="C147" s="141"/>
      <c r="D147" s="141"/>
      <c r="E147" s="141"/>
      <c r="F147" s="141"/>
      <c r="G147" s="141"/>
      <c r="H147" s="141"/>
      <c r="I147" s="141"/>
      <c r="J147" s="141"/>
      <c r="K147" s="141"/>
      <c r="L147" s="141"/>
      <c r="M147" s="141"/>
      <c r="N147" s="141"/>
      <c r="O147" s="141"/>
      <c r="P147" s="59" t="s">
        <v>137</v>
      </c>
      <c r="Q147" s="25"/>
      <c r="R147" s="5"/>
    </row>
    <row r="148" spans="1:18" ht="15.6" x14ac:dyDescent="0.3">
      <c r="A148" s="24"/>
      <c r="B148" s="25" t="s">
        <v>57</v>
      </c>
      <c r="C148" s="25"/>
      <c r="D148" s="25"/>
      <c r="E148" s="25"/>
      <c r="F148" s="25"/>
      <c r="G148" s="25"/>
      <c r="H148" s="25"/>
      <c r="I148" s="25"/>
      <c r="J148" s="25"/>
      <c r="K148" s="25"/>
      <c r="L148" s="25"/>
      <c r="M148" s="25"/>
      <c r="N148" s="25"/>
      <c r="O148" s="25"/>
      <c r="P148" s="59" t="s">
        <v>137</v>
      </c>
      <c r="Q148" s="25"/>
      <c r="R148" s="5"/>
    </row>
    <row r="149" spans="1:18" ht="15.6" x14ac:dyDescent="0.3">
      <c r="A149" s="24"/>
      <c r="B149" s="25" t="s">
        <v>58</v>
      </c>
      <c r="C149" s="25"/>
      <c r="D149" s="25"/>
      <c r="E149" s="25"/>
      <c r="F149" s="25"/>
      <c r="G149" s="25"/>
      <c r="H149" s="25"/>
      <c r="I149" s="25"/>
      <c r="J149" s="25"/>
      <c r="K149" s="25"/>
      <c r="L149" s="25"/>
      <c r="M149" s="25"/>
      <c r="N149" s="25"/>
      <c r="O149" s="25"/>
      <c r="P149" s="59" t="s">
        <v>137</v>
      </c>
      <c r="Q149" s="25"/>
      <c r="R149" s="5"/>
    </row>
    <row r="150" spans="1:18" ht="15.6" x14ac:dyDescent="0.3">
      <c r="A150" s="24"/>
      <c r="B150" s="25"/>
      <c r="C150" s="25"/>
      <c r="D150" s="25"/>
      <c r="E150" s="25"/>
      <c r="F150" s="25"/>
      <c r="G150" s="25"/>
      <c r="H150" s="25"/>
      <c r="I150" s="25"/>
      <c r="J150" s="25"/>
      <c r="K150" s="25"/>
      <c r="L150" s="25"/>
      <c r="M150" s="25"/>
      <c r="N150" s="25"/>
      <c r="O150" s="25"/>
      <c r="P150" s="61"/>
      <c r="Q150" s="25"/>
      <c r="R150" s="5"/>
    </row>
    <row r="151" spans="1:18" ht="15.6" x14ac:dyDescent="0.3">
      <c r="A151" s="6"/>
      <c r="B151" s="119" t="s">
        <v>59</v>
      </c>
      <c r="C151" s="8"/>
      <c r="D151" s="8"/>
      <c r="E151" s="8"/>
      <c r="F151" s="8"/>
      <c r="G151" s="8"/>
      <c r="H151" s="8"/>
      <c r="I151" s="8"/>
      <c r="J151" s="8"/>
      <c r="K151" s="8"/>
      <c r="L151" s="8"/>
      <c r="M151" s="8"/>
      <c r="N151" s="8"/>
      <c r="O151" s="8"/>
      <c r="P151" s="63"/>
      <c r="Q151" s="8"/>
      <c r="R151" s="5"/>
    </row>
    <row r="152" spans="1:18" ht="15.6" x14ac:dyDescent="0.3">
      <c r="A152" s="24"/>
      <c r="B152" s="25" t="s">
        <v>60</v>
      </c>
      <c r="C152" s="25"/>
      <c r="D152" s="25"/>
      <c r="E152" s="25"/>
      <c r="F152" s="25"/>
      <c r="G152" s="25"/>
      <c r="H152" s="25"/>
      <c r="I152" s="25"/>
      <c r="J152" s="25"/>
      <c r="K152" s="25"/>
      <c r="L152" s="25"/>
      <c r="M152" s="25"/>
      <c r="N152" s="25"/>
      <c r="O152" s="25"/>
      <c r="P152" s="53">
        <v>0</v>
      </c>
      <c r="Q152" s="25"/>
      <c r="R152" s="5"/>
    </row>
    <row r="153" spans="1:18" ht="15.6" x14ac:dyDescent="0.3">
      <c r="A153" s="24"/>
      <c r="B153" s="25" t="s">
        <v>61</v>
      </c>
      <c r="C153" s="25"/>
      <c r="D153" s="25"/>
      <c r="E153" s="25"/>
      <c r="F153" s="25"/>
      <c r="G153" s="25"/>
      <c r="H153" s="25"/>
      <c r="I153" s="25"/>
      <c r="J153" s="25"/>
      <c r="K153" s="25"/>
      <c r="L153" s="25"/>
      <c r="M153" s="25"/>
      <c r="N153" s="25"/>
      <c r="O153" s="25"/>
      <c r="P153" s="53">
        <f>-P113</f>
        <v>123</v>
      </c>
      <c r="Q153" s="25"/>
      <c r="R153" s="5"/>
    </row>
    <row r="154" spans="1:18" ht="15.6" x14ac:dyDescent="0.3">
      <c r="A154" s="24"/>
      <c r="B154" s="25" t="s">
        <v>62</v>
      </c>
      <c r="C154" s="25"/>
      <c r="D154" s="25"/>
      <c r="E154" s="25"/>
      <c r="F154" s="25"/>
      <c r="G154" s="25"/>
      <c r="H154" s="25"/>
      <c r="I154" s="25"/>
      <c r="J154" s="25"/>
      <c r="K154" s="25"/>
      <c r="L154" s="25"/>
      <c r="M154" s="25"/>
      <c r="N154" s="25"/>
      <c r="O154" s="25"/>
      <c r="P154" s="53">
        <f>P153+P152</f>
        <v>123</v>
      </c>
      <c r="Q154" s="25"/>
      <c r="R154" s="5"/>
    </row>
    <row r="155" spans="1:18" ht="15.6" x14ac:dyDescent="0.3">
      <c r="A155" s="24"/>
      <c r="B155" s="403" t="s">
        <v>297</v>
      </c>
      <c r="C155" s="25"/>
      <c r="D155" s="25"/>
      <c r="E155" s="25"/>
      <c r="F155" s="25"/>
      <c r="G155" s="25"/>
      <c r="H155" s="25"/>
      <c r="I155" s="25"/>
      <c r="J155" s="25"/>
      <c r="K155" s="25"/>
      <c r="L155" s="25"/>
      <c r="M155" s="25"/>
      <c r="N155" s="25"/>
      <c r="O155" s="25"/>
      <c r="P155" s="53">
        <f>P113</f>
        <v>-123</v>
      </c>
      <c r="Q155" s="25"/>
      <c r="R155" s="5"/>
    </row>
    <row r="156" spans="1:18" ht="15.6" x14ac:dyDescent="0.3">
      <c r="A156" s="24"/>
      <c r="B156" s="25" t="s">
        <v>63</v>
      </c>
      <c r="C156" s="25"/>
      <c r="D156" s="25"/>
      <c r="E156" s="25"/>
      <c r="F156" s="25"/>
      <c r="G156" s="25"/>
      <c r="H156" s="25"/>
      <c r="I156" s="25"/>
      <c r="J156" s="25"/>
      <c r="K156" s="25"/>
      <c r="L156" s="25"/>
      <c r="M156" s="25"/>
      <c r="N156" s="25"/>
      <c r="O156" s="25"/>
      <c r="P156" s="53">
        <f>P154+P155</f>
        <v>0</v>
      </c>
      <c r="Q156" s="25"/>
      <c r="R156" s="5"/>
    </row>
    <row r="157" spans="1:18" ht="16.2" thickBot="1" x14ac:dyDescent="0.35">
      <c r="A157" s="24"/>
      <c r="B157" s="25"/>
      <c r="C157" s="25"/>
      <c r="D157" s="25"/>
      <c r="E157" s="25"/>
      <c r="F157" s="25"/>
      <c r="G157" s="25"/>
      <c r="H157" s="25"/>
      <c r="I157" s="25"/>
      <c r="J157" s="25"/>
      <c r="K157" s="25"/>
      <c r="L157" s="25"/>
      <c r="M157" s="25"/>
      <c r="N157" s="25"/>
      <c r="O157" s="25"/>
      <c r="P157" s="61"/>
      <c r="Q157" s="25"/>
      <c r="R157" s="5"/>
    </row>
    <row r="158" spans="1:18" ht="15.6" x14ac:dyDescent="0.3">
      <c r="A158" s="2"/>
      <c r="B158" s="4"/>
      <c r="C158" s="4"/>
      <c r="D158" s="4"/>
      <c r="E158" s="4"/>
      <c r="F158" s="4"/>
      <c r="G158" s="4"/>
      <c r="H158" s="4"/>
      <c r="I158" s="4"/>
      <c r="J158" s="4"/>
      <c r="K158" s="4"/>
      <c r="L158" s="4"/>
      <c r="M158" s="4"/>
      <c r="N158" s="4"/>
      <c r="O158" s="4"/>
      <c r="P158" s="50"/>
      <c r="Q158" s="4"/>
      <c r="R158" s="5"/>
    </row>
    <row r="159" spans="1:18" ht="15.6" x14ac:dyDescent="0.3">
      <c r="A159" s="6"/>
      <c r="B159" s="119" t="s">
        <v>64</v>
      </c>
      <c r="C159" s="8"/>
      <c r="D159" s="8"/>
      <c r="E159" s="8"/>
      <c r="F159" s="8"/>
      <c r="G159" s="8"/>
      <c r="H159" s="8"/>
      <c r="I159" s="8"/>
      <c r="J159" s="8"/>
      <c r="K159" s="8"/>
      <c r="L159" s="8"/>
      <c r="M159" s="8"/>
      <c r="N159" s="8"/>
      <c r="O159" s="8"/>
      <c r="P159" s="52"/>
      <c r="Q159" s="8"/>
      <c r="R159" s="5"/>
    </row>
    <row r="160" spans="1:18" ht="15.6" x14ac:dyDescent="0.3">
      <c r="A160" s="6"/>
      <c r="B160" s="21"/>
      <c r="C160" s="8"/>
      <c r="D160" s="8"/>
      <c r="E160" s="8"/>
      <c r="F160" s="8"/>
      <c r="G160" s="8"/>
      <c r="H160" s="8"/>
      <c r="I160" s="8"/>
      <c r="J160" s="8"/>
      <c r="K160" s="8"/>
      <c r="L160" s="8"/>
      <c r="M160" s="8"/>
      <c r="N160" s="8"/>
      <c r="O160" s="8"/>
      <c r="P160" s="52"/>
      <c r="Q160" s="8"/>
      <c r="R160" s="5"/>
    </row>
    <row r="161" spans="1:18" ht="15.6" x14ac:dyDescent="0.3">
      <c r="A161" s="24"/>
      <c r="B161" s="25" t="s">
        <v>221</v>
      </c>
      <c r="C161" s="25"/>
      <c r="D161" s="25"/>
      <c r="E161" s="25"/>
      <c r="F161" s="25"/>
      <c r="G161" s="25"/>
      <c r="H161" s="25"/>
      <c r="I161" s="25"/>
      <c r="J161" s="25"/>
      <c r="K161" s="25"/>
      <c r="L161" s="25"/>
      <c r="M161" s="25"/>
      <c r="N161" s="25"/>
      <c r="O161" s="25"/>
      <c r="P161" s="53">
        <f>P73</f>
        <v>605327</v>
      </c>
      <c r="Q161" s="25"/>
      <c r="R161" s="5"/>
    </row>
    <row r="162" spans="1:18" ht="15.6" x14ac:dyDescent="0.3">
      <c r="A162" s="24"/>
      <c r="B162" s="25" t="s">
        <v>65</v>
      </c>
      <c r="C162" s="25"/>
      <c r="D162" s="25"/>
      <c r="E162" s="25"/>
      <c r="F162" s="25"/>
      <c r="G162" s="25"/>
      <c r="H162" s="25"/>
      <c r="I162" s="25"/>
      <c r="J162" s="25"/>
      <c r="K162" s="25"/>
      <c r="L162" s="25"/>
      <c r="M162" s="25"/>
      <c r="N162" s="25"/>
      <c r="O162" s="25"/>
      <c r="P162" s="53">
        <f>P86</f>
        <v>605327</v>
      </c>
      <c r="Q162" s="25"/>
      <c r="R162" s="5"/>
    </row>
    <row r="163" spans="1:18" ht="16.2" thickBot="1" x14ac:dyDescent="0.35">
      <c r="A163" s="24"/>
      <c r="B163" s="25"/>
      <c r="C163" s="25"/>
      <c r="D163" s="25"/>
      <c r="E163" s="25"/>
      <c r="F163" s="25"/>
      <c r="G163" s="25"/>
      <c r="H163" s="25"/>
      <c r="I163" s="25"/>
      <c r="J163" s="25"/>
      <c r="K163" s="25"/>
      <c r="L163" s="25"/>
      <c r="M163" s="25"/>
      <c r="N163" s="25"/>
      <c r="O163" s="25"/>
      <c r="P163" s="61"/>
      <c r="Q163" s="25"/>
      <c r="R163" s="5"/>
    </row>
    <row r="164" spans="1:18" ht="15.6" x14ac:dyDescent="0.3">
      <c r="A164" s="2"/>
      <c r="B164" s="4"/>
      <c r="C164" s="4"/>
      <c r="D164" s="4"/>
      <c r="E164" s="4"/>
      <c r="F164" s="4"/>
      <c r="G164" s="4"/>
      <c r="H164" s="4"/>
      <c r="I164" s="4"/>
      <c r="J164" s="4"/>
      <c r="K164" s="4"/>
      <c r="L164" s="4"/>
      <c r="M164" s="4"/>
      <c r="N164" s="4"/>
      <c r="O164" s="4"/>
      <c r="P164" s="50"/>
      <c r="Q164" s="4"/>
      <c r="R164" s="5"/>
    </row>
    <row r="165" spans="1:18" ht="15.6" x14ac:dyDescent="0.3">
      <c r="A165" s="6"/>
      <c r="B165" s="119" t="s">
        <v>66</v>
      </c>
      <c r="C165" s="117"/>
      <c r="D165" s="117"/>
      <c r="E165" s="117"/>
      <c r="F165" s="120"/>
      <c r="G165" s="120"/>
      <c r="H165" s="120"/>
      <c r="I165" s="120"/>
      <c r="J165" s="120"/>
      <c r="K165" s="120"/>
      <c r="L165" s="120"/>
      <c r="M165" s="120" t="s">
        <v>112</v>
      </c>
      <c r="N165" s="120" t="s">
        <v>120</v>
      </c>
      <c r="O165" s="111"/>
      <c r="P165" s="121" t="s">
        <v>129</v>
      </c>
      <c r="Q165" s="10"/>
      <c r="R165" s="5"/>
    </row>
    <row r="166" spans="1:18" ht="15.6" x14ac:dyDescent="0.3">
      <c r="A166" s="24"/>
      <c r="B166" s="25" t="s">
        <v>67</v>
      </c>
      <c r="C166" s="25"/>
      <c r="D166" s="25"/>
      <c r="E166" s="25"/>
      <c r="F166" s="25"/>
      <c r="G166" s="25"/>
      <c r="H166" s="25"/>
      <c r="I166" s="25"/>
      <c r="J166" s="25"/>
      <c r="K166" s="25"/>
      <c r="L166" s="25"/>
      <c r="M166" s="53">
        <v>144000</v>
      </c>
      <c r="N166" s="40">
        <v>0</v>
      </c>
      <c r="O166" s="25"/>
      <c r="P166" s="53"/>
      <c r="Q166" s="25"/>
      <c r="R166" s="5"/>
    </row>
    <row r="167" spans="1:18" ht="15.6" x14ac:dyDescent="0.3">
      <c r="A167" s="24"/>
      <c r="B167" s="25" t="s">
        <v>68</v>
      </c>
      <c r="C167" s="25"/>
      <c r="D167" s="25"/>
      <c r="E167" s="25"/>
      <c r="F167" s="25"/>
      <c r="G167" s="25"/>
      <c r="H167" s="25"/>
      <c r="I167" s="25"/>
      <c r="J167" s="25"/>
      <c r="K167" s="25"/>
      <c r="L167" s="25"/>
      <c r="M167" s="53">
        <f>'Jan 07'!M169</f>
        <v>56811</v>
      </c>
      <c r="N167" s="53">
        <f>'Jan 07'!N169</f>
        <v>9286</v>
      </c>
      <c r="O167" s="25"/>
      <c r="P167" s="53">
        <f>M167+N167</f>
        <v>66097</v>
      </c>
      <c r="Q167" s="25"/>
      <c r="R167" s="5"/>
    </row>
    <row r="168" spans="1:18" ht="15.6" x14ac:dyDescent="0.3">
      <c r="A168" s="24"/>
      <c r="B168" s="25" t="s">
        <v>69</v>
      </c>
      <c r="C168" s="25"/>
      <c r="D168" s="25"/>
      <c r="E168" s="25"/>
      <c r="F168" s="25"/>
      <c r="G168" s="25"/>
      <c r="H168" s="25"/>
      <c r="I168" s="25"/>
      <c r="J168" s="25"/>
      <c r="K168" s="25"/>
      <c r="L168" s="25"/>
      <c r="M168" s="34">
        <v>7471</v>
      </c>
      <c r="N168" s="34">
        <f>-N99-N120</f>
        <v>34</v>
      </c>
      <c r="O168" s="25"/>
      <c r="P168" s="53">
        <f>M168+N168</f>
        <v>7505</v>
      </c>
      <c r="Q168" s="25"/>
      <c r="R168" s="5"/>
    </row>
    <row r="169" spans="1:18" ht="15.6" x14ac:dyDescent="0.3">
      <c r="A169" s="24"/>
      <c r="B169" s="25" t="s">
        <v>70</v>
      </c>
      <c r="C169" s="25"/>
      <c r="D169" s="25"/>
      <c r="E169" s="25"/>
      <c r="F169" s="25"/>
      <c r="G169" s="25"/>
      <c r="H169" s="25"/>
      <c r="I169" s="25"/>
      <c r="J169" s="25"/>
      <c r="K169" s="25"/>
      <c r="L169" s="25"/>
      <c r="M169" s="53">
        <f>M167+M168</f>
        <v>64282</v>
      </c>
      <c r="N169" s="53">
        <f>N168+N167</f>
        <v>9320</v>
      </c>
      <c r="O169" s="25"/>
      <c r="P169" s="53">
        <f>M169+N169</f>
        <v>73602</v>
      </c>
      <c r="Q169" s="25"/>
      <c r="R169" s="5"/>
    </row>
    <row r="170" spans="1:18" ht="15.6" x14ac:dyDescent="0.3">
      <c r="A170" s="24"/>
      <c r="B170" s="25" t="s">
        <v>71</v>
      </c>
      <c r="C170" s="25"/>
      <c r="D170" s="25"/>
      <c r="E170" s="25"/>
      <c r="F170" s="25"/>
      <c r="G170" s="25"/>
      <c r="H170" s="25"/>
      <c r="I170" s="25"/>
      <c r="J170" s="25"/>
      <c r="K170" s="25"/>
      <c r="L170" s="25"/>
      <c r="M170" s="53">
        <f>M166-M169-N169</f>
        <v>70398</v>
      </c>
      <c r="N170" s="40"/>
      <c r="O170" s="25"/>
      <c r="P170" s="53"/>
      <c r="Q170" s="25"/>
      <c r="R170" s="5"/>
    </row>
    <row r="171" spans="1:18" ht="16.2" thickBot="1" x14ac:dyDescent="0.35">
      <c r="A171" s="24"/>
      <c r="B171" s="25"/>
      <c r="C171" s="25"/>
      <c r="D171" s="25"/>
      <c r="E171" s="25"/>
      <c r="F171" s="25"/>
      <c r="G171" s="25"/>
      <c r="H171" s="25"/>
      <c r="I171" s="25"/>
      <c r="J171" s="25"/>
      <c r="K171" s="25"/>
      <c r="L171" s="25"/>
      <c r="M171" s="25"/>
      <c r="N171" s="25"/>
      <c r="O171" s="25"/>
      <c r="P171" s="61"/>
      <c r="Q171" s="25"/>
      <c r="R171" s="5"/>
    </row>
    <row r="172" spans="1:18" ht="15.6" x14ac:dyDescent="0.3">
      <c r="A172" s="2"/>
      <c r="B172" s="4"/>
      <c r="C172" s="4"/>
      <c r="D172" s="4"/>
      <c r="E172" s="4"/>
      <c r="F172" s="4"/>
      <c r="G172" s="4"/>
      <c r="H172" s="4"/>
      <c r="I172" s="4"/>
      <c r="J172" s="4"/>
      <c r="K172" s="4"/>
      <c r="L172" s="4"/>
      <c r="M172" s="4"/>
      <c r="N172" s="4"/>
      <c r="O172" s="4"/>
      <c r="P172" s="50"/>
      <c r="Q172" s="4"/>
      <c r="R172" s="5"/>
    </row>
    <row r="173" spans="1:18" ht="15.6" x14ac:dyDescent="0.3">
      <c r="A173" s="6"/>
      <c r="B173" s="119" t="s">
        <v>72</v>
      </c>
      <c r="C173" s="8"/>
      <c r="D173" s="8"/>
      <c r="E173" s="8"/>
      <c r="F173" s="8"/>
      <c r="G173" s="8"/>
      <c r="H173" s="8"/>
      <c r="I173" s="8"/>
      <c r="J173" s="8"/>
      <c r="K173" s="8"/>
      <c r="L173" s="8"/>
      <c r="M173" s="8"/>
      <c r="N173" s="8"/>
      <c r="O173" s="8"/>
      <c r="P173" s="65"/>
      <c r="Q173" s="8"/>
      <c r="R173" s="5"/>
    </row>
    <row r="174" spans="1:18" ht="15.6" x14ac:dyDescent="0.3">
      <c r="A174" s="24"/>
      <c r="B174" s="25" t="s">
        <v>73</v>
      </c>
      <c r="C174" s="25"/>
      <c r="D174" s="25"/>
      <c r="E174" s="25"/>
      <c r="F174" s="25"/>
      <c r="G174" s="25"/>
      <c r="H174" s="25"/>
      <c r="I174" s="25"/>
      <c r="J174" s="25"/>
      <c r="K174" s="25"/>
      <c r="L174" s="25"/>
      <c r="M174" s="25"/>
      <c r="N174" s="25"/>
      <c r="O174" s="25"/>
      <c r="P174" s="66">
        <f>(P101+P103+P104+P105+P106)/-(P107+P108+P109)</f>
        <v>1.4707632600258733</v>
      </c>
      <c r="Q174" s="25" t="s">
        <v>130</v>
      </c>
      <c r="R174" s="5"/>
    </row>
    <row r="175" spans="1:18" ht="15.6" x14ac:dyDescent="0.3">
      <c r="A175" s="24"/>
      <c r="B175" s="25" t="s">
        <v>74</v>
      </c>
      <c r="C175" s="25"/>
      <c r="D175" s="25"/>
      <c r="E175" s="25"/>
      <c r="F175" s="25"/>
      <c r="G175" s="25"/>
      <c r="H175" s="25"/>
      <c r="I175" s="25"/>
      <c r="J175" s="25"/>
      <c r="K175" s="25"/>
      <c r="L175" s="25"/>
      <c r="M175" s="25"/>
      <c r="N175" s="25"/>
      <c r="O175" s="25"/>
      <c r="P175" s="66">
        <v>1.39</v>
      </c>
      <c r="Q175" s="25" t="s">
        <v>130</v>
      </c>
      <c r="R175" s="5"/>
    </row>
    <row r="176" spans="1:18" ht="15.6" x14ac:dyDescent="0.3">
      <c r="A176" s="24"/>
      <c r="B176" s="25" t="s">
        <v>75</v>
      </c>
      <c r="C176" s="25"/>
      <c r="D176" s="25"/>
      <c r="E176" s="25"/>
      <c r="F176" s="25"/>
      <c r="G176" s="25"/>
      <c r="H176" s="25"/>
      <c r="I176" s="25"/>
      <c r="J176" s="25"/>
      <c r="K176" s="25"/>
      <c r="L176" s="25"/>
      <c r="M176" s="25"/>
      <c r="N176" s="25"/>
      <c r="O176" s="25"/>
      <c r="P176" s="59">
        <f>(P101+P103+P104+P105+P106+P107+P108+P109)/-(P110+P111)</f>
        <v>2.5626760563380282</v>
      </c>
      <c r="Q176" s="25" t="s">
        <v>130</v>
      </c>
      <c r="R176" s="5"/>
    </row>
    <row r="177" spans="1:18" ht="15.6" x14ac:dyDescent="0.3">
      <c r="A177" s="24"/>
      <c r="B177" s="25" t="s">
        <v>76</v>
      </c>
      <c r="C177" s="25"/>
      <c r="D177" s="25"/>
      <c r="E177" s="25"/>
      <c r="F177" s="25"/>
      <c r="G177" s="25"/>
      <c r="H177" s="25"/>
      <c r="I177" s="25"/>
      <c r="J177" s="25"/>
      <c r="K177" s="25"/>
      <c r="L177" s="25"/>
      <c r="M177" s="25"/>
      <c r="N177" s="25"/>
      <c r="O177" s="25"/>
      <c r="P177" s="66">
        <v>2.65</v>
      </c>
      <c r="Q177" s="25" t="s">
        <v>130</v>
      </c>
      <c r="R177" s="5"/>
    </row>
    <row r="178" spans="1:18" ht="15.6" x14ac:dyDescent="0.3">
      <c r="A178" s="24"/>
      <c r="B178" s="25"/>
      <c r="C178" s="25"/>
      <c r="D178" s="25"/>
      <c r="E178" s="25"/>
      <c r="F178" s="25"/>
      <c r="G178" s="25"/>
      <c r="H178" s="25"/>
      <c r="I178" s="25"/>
      <c r="J178" s="25"/>
      <c r="K178" s="25"/>
      <c r="L178" s="25"/>
      <c r="M178" s="25"/>
      <c r="N178" s="25"/>
      <c r="O178" s="25"/>
      <c r="P178" s="25"/>
      <c r="Q178" s="25"/>
      <c r="R178" s="5"/>
    </row>
    <row r="179" spans="1:18" ht="15.6" x14ac:dyDescent="0.3">
      <c r="A179" s="24"/>
      <c r="B179" s="25"/>
      <c r="C179" s="25"/>
      <c r="D179" s="25"/>
      <c r="E179" s="25"/>
      <c r="F179" s="25"/>
      <c r="G179" s="25"/>
      <c r="H179" s="25"/>
      <c r="I179" s="25"/>
      <c r="J179" s="25"/>
      <c r="K179" s="25"/>
      <c r="L179" s="25"/>
      <c r="M179" s="25"/>
      <c r="N179" s="25"/>
      <c r="O179" s="25"/>
      <c r="P179" s="25"/>
      <c r="Q179" s="25"/>
      <c r="R179" s="5"/>
    </row>
    <row r="180" spans="1:18" ht="15.6" x14ac:dyDescent="0.3">
      <c r="A180" s="6"/>
      <c r="B180" s="8"/>
      <c r="C180" s="8"/>
      <c r="D180" s="8"/>
      <c r="E180" s="8"/>
      <c r="F180" s="8"/>
      <c r="G180" s="8"/>
      <c r="H180" s="8"/>
      <c r="I180" s="8"/>
      <c r="J180" s="8"/>
      <c r="K180" s="8"/>
      <c r="L180" s="8"/>
      <c r="M180" s="8"/>
      <c r="N180" s="8"/>
      <c r="O180" s="8"/>
      <c r="P180" s="8"/>
      <c r="Q180" s="8"/>
      <c r="R180" s="5"/>
    </row>
    <row r="181" spans="1:18" ht="18" thickBot="1" x14ac:dyDescent="0.35">
      <c r="A181" s="101"/>
      <c r="B181" s="102" t="str">
        <f>B131</f>
        <v>PM7 INVESTOR REPORT QUARTER ENDING APRIL 2007</v>
      </c>
      <c r="C181" s="143"/>
      <c r="D181" s="143"/>
      <c r="E181" s="143"/>
      <c r="F181" s="143"/>
      <c r="G181" s="143"/>
      <c r="H181" s="143"/>
      <c r="I181" s="143"/>
      <c r="J181" s="143"/>
      <c r="K181" s="143"/>
      <c r="L181" s="143"/>
      <c r="M181" s="143"/>
      <c r="N181" s="143"/>
      <c r="O181" s="143"/>
      <c r="P181" s="143"/>
      <c r="Q181" s="144"/>
      <c r="R181" s="5"/>
    </row>
    <row r="182" spans="1:18" ht="15.6" x14ac:dyDescent="0.3">
      <c r="A182" s="67"/>
      <c r="B182" s="60" t="s">
        <v>77</v>
      </c>
      <c r="C182" s="68"/>
      <c r="D182" s="68"/>
      <c r="E182" s="69"/>
      <c r="F182" s="69"/>
      <c r="G182" s="69"/>
      <c r="H182" s="69"/>
      <c r="I182" s="69"/>
      <c r="J182" s="69"/>
      <c r="K182" s="69"/>
      <c r="L182" s="69"/>
      <c r="M182" s="69"/>
      <c r="N182" s="70">
        <f>H89</f>
        <v>39202</v>
      </c>
      <c r="O182" s="4"/>
      <c r="P182" s="4"/>
      <c r="Q182" s="4"/>
      <c r="R182" s="5"/>
    </row>
    <row r="183" spans="1:18" ht="15.6" x14ac:dyDescent="0.3">
      <c r="A183" s="71"/>
      <c r="B183" s="72"/>
      <c r="C183" s="73"/>
      <c r="D183" s="73"/>
      <c r="E183" s="74"/>
      <c r="F183" s="74"/>
      <c r="G183" s="74"/>
      <c r="H183" s="74"/>
      <c r="I183" s="74"/>
      <c r="J183" s="74"/>
      <c r="K183" s="74"/>
      <c r="L183" s="74"/>
      <c r="M183" s="74"/>
      <c r="N183" s="74"/>
      <c r="O183" s="8"/>
      <c r="P183" s="8"/>
      <c r="Q183" s="8"/>
      <c r="R183" s="5"/>
    </row>
    <row r="184" spans="1:18" ht="15.6" x14ac:dyDescent="0.3">
      <c r="A184" s="75"/>
      <c r="B184" s="76" t="s">
        <v>78</v>
      </c>
      <c r="C184" s="77"/>
      <c r="D184" s="77"/>
      <c r="E184" s="64"/>
      <c r="F184" s="64"/>
      <c r="G184" s="64"/>
      <c r="H184" s="64"/>
      <c r="I184" s="64"/>
      <c r="J184" s="64"/>
      <c r="K184" s="64"/>
      <c r="L184" s="64"/>
      <c r="M184" s="64"/>
      <c r="N184" s="78">
        <v>5.8069999999999997E-2</v>
      </c>
      <c r="O184" s="25"/>
      <c r="P184" s="25"/>
      <c r="Q184" s="25"/>
      <c r="R184" s="5"/>
    </row>
    <row r="185" spans="1:18" ht="15.6" x14ac:dyDescent="0.3">
      <c r="A185" s="75"/>
      <c r="B185" s="76" t="s">
        <v>219</v>
      </c>
      <c r="C185" s="77"/>
      <c r="D185" s="77"/>
      <c r="E185" s="64"/>
      <c r="F185" s="64"/>
      <c r="G185" s="64"/>
      <c r="H185" s="64"/>
      <c r="I185" s="64"/>
      <c r="J185" s="64"/>
      <c r="K185" s="64"/>
      <c r="L185" s="64"/>
      <c r="M185" s="64"/>
      <c r="N185" s="39">
        <v>5.1499999999999997E-2</v>
      </c>
      <c r="O185" s="25"/>
      <c r="P185" s="25"/>
      <c r="Q185" s="25"/>
      <c r="R185" s="5"/>
    </row>
    <row r="186" spans="1:18" ht="15.6" x14ac:dyDescent="0.3">
      <c r="A186" s="75"/>
      <c r="B186" s="76" t="s">
        <v>79</v>
      </c>
      <c r="C186" s="77"/>
      <c r="D186" s="77"/>
      <c r="E186" s="64"/>
      <c r="F186" s="64"/>
      <c r="G186" s="64"/>
      <c r="H186" s="64"/>
      <c r="I186" s="64"/>
      <c r="J186" s="64"/>
      <c r="K186" s="64"/>
      <c r="L186" s="64"/>
      <c r="M186" s="64"/>
      <c r="N186" s="78">
        <f>N184-N185</f>
        <v>6.5699999999999995E-3</v>
      </c>
      <c r="O186" s="25"/>
      <c r="P186" s="25"/>
      <c r="Q186" s="25"/>
      <c r="R186" s="5"/>
    </row>
    <row r="187" spans="1:18" ht="15.6" x14ac:dyDescent="0.3">
      <c r="A187" s="75"/>
      <c r="B187" s="76" t="s">
        <v>80</v>
      </c>
      <c r="C187" s="77"/>
      <c r="D187" s="77"/>
      <c r="E187" s="64"/>
      <c r="F187" s="64"/>
      <c r="G187" s="64"/>
      <c r="H187" s="64"/>
      <c r="I187" s="64"/>
      <c r="J187" s="64"/>
      <c r="K187" s="64"/>
      <c r="L187" s="64"/>
      <c r="M187" s="64"/>
      <c r="N187" s="78">
        <v>6.5540000000000001E-2</v>
      </c>
      <c r="O187" s="25"/>
      <c r="P187" s="25"/>
      <c r="Q187" s="25"/>
      <c r="R187" s="5"/>
    </row>
    <row r="188" spans="1:18" ht="15.6" x14ac:dyDescent="0.3">
      <c r="A188" s="75"/>
      <c r="B188" s="76" t="s">
        <v>241</v>
      </c>
      <c r="C188" s="77"/>
      <c r="D188" s="77"/>
      <c r="E188" s="64"/>
      <c r="F188" s="64"/>
      <c r="G188" s="64"/>
      <c r="H188" s="64"/>
      <c r="I188" s="64"/>
      <c r="J188" s="64"/>
      <c r="K188" s="64"/>
      <c r="L188" s="64"/>
      <c r="M188" s="64"/>
      <c r="N188" s="78">
        <f>+P45</f>
        <v>5.900829783515335E-2</v>
      </c>
      <c r="O188" s="25"/>
      <c r="P188" s="25"/>
      <c r="Q188" s="25"/>
      <c r="R188" s="5"/>
    </row>
    <row r="189" spans="1:18" ht="15.6" x14ac:dyDescent="0.3">
      <c r="A189" s="75"/>
      <c r="B189" s="76" t="s">
        <v>81</v>
      </c>
      <c r="C189" s="77"/>
      <c r="D189" s="77"/>
      <c r="E189" s="64"/>
      <c r="F189" s="64"/>
      <c r="G189" s="64"/>
      <c r="H189" s="64"/>
      <c r="I189" s="64"/>
      <c r="J189" s="64"/>
      <c r="K189" s="64"/>
      <c r="L189" s="64"/>
      <c r="M189" s="64"/>
      <c r="N189" s="78">
        <f>N187-N188</f>
        <v>6.5317021648466506E-3</v>
      </c>
      <c r="O189" s="25"/>
      <c r="P189" s="25"/>
      <c r="Q189" s="25"/>
      <c r="R189" s="5"/>
    </row>
    <row r="190" spans="1:18" ht="15.6" x14ac:dyDescent="0.3">
      <c r="A190" s="75"/>
      <c r="B190" s="76" t="s">
        <v>257</v>
      </c>
      <c r="C190" s="77"/>
      <c r="D190" s="77"/>
      <c r="E190" s="64"/>
      <c r="F190" s="64"/>
      <c r="G190" s="64"/>
      <c r="H190" s="64"/>
      <c r="I190" s="64"/>
      <c r="J190" s="64"/>
      <c r="K190" s="64"/>
      <c r="L190" s="64"/>
      <c r="M190" s="64"/>
      <c r="N190" s="78">
        <f>+P101/H73</f>
        <v>1.8202318574384972E-2</v>
      </c>
      <c r="O190" s="25"/>
      <c r="P190" s="25"/>
      <c r="Q190" s="25"/>
      <c r="R190" s="5"/>
    </row>
    <row r="191" spans="1:18" ht="15.6" x14ac:dyDescent="0.3">
      <c r="A191" s="75"/>
      <c r="B191" s="76" t="s">
        <v>170</v>
      </c>
      <c r="C191" s="77"/>
      <c r="D191" s="77"/>
      <c r="E191" s="64"/>
      <c r="F191" s="64"/>
      <c r="G191" s="64"/>
      <c r="H191" s="64"/>
      <c r="I191" s="64"/>
      <c r="J191" s="64"/>
      <c r="K191" s="64"/>
      <c r="L191" s="64"/>
      <c r="M191" s="64"/>
      <c r="N191" s="133">
        <v>49065</v>
      </c>
      <c r="O191" s="25"/>
      <c r="P191" s="25"/>
      <c r="Q191" s="25"/>
      <c r="R191" s="5"/>
    </row>
    <row r="192" spans="1:18" ht="15.6" x14ac:dyDescent="0.3">
      <c r="A192" s="75"/>
      <c r="B192" s="76" t="s">
        <v>171</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172</v>
      </c>
      <c r="C193" s="77"/>
      <c r="D193" s="77"/>
      <c r="E193" s="64"/>
      <c r="F193" s="64"/>
      <c r="G193" s="64"/>
      <c r="H193" s="64"/>
      <c r="I193" s="64"/>
      <c r="J193" s="64"/>
      <c r="K193" s="64"/>
      <c r="L193" s="64"/>
      <c r="M193" s="64"/>
      <c r="N193" s="133">
        <v>49065</v>
      </c>
      <c r="O193" s="25"/>
      <c r="P193" s="25"/>
      <c r="Q193" s="25"/>
      <c r="R193" s="5"/>
    </row>
    <row r="194" spans="1:18" ht="15.6" x14ac:dyDescent="0.3">
      <c r="A194" s="75"/>
      <c r="B194" s="76" t="s">
        <v>138</v>
      </c>
      <c r="C194" s="77"/>
      <c r="D194" s="77"/>
      <c r="E194" s="64"/>
      <c r="F194" s="64"/>
      <c r="G194" s="64"/>
      <c r="H194" s="64"/>
      <c r="I194" s="64"/>
      <c r="J194" s="64"/>
      <c r="K194" s="64"/>
      <c r="L194" s="64"/>
      <c r="M194" s="64"/>
      <c r="N194" s="133">
        <v>52352</v>
      </c>
      <c r="O194" s="25"/>
      <c r="P194" s="25"/>
      <c r="Q194" s="25"/>
      <c r="R194" s="5"/>
    </row>
    <row r="195" spans="1:18" ht="15.6" x14ac:dyDescent="0.3">
      <c r="A195" s="75"/>
      <c r="B195" s="76" t="s">
        <v>139</v>
      </c>
      <c r="C195" s="77"/>
      <c r="D195" s="77"/>
      <c r="E195" s="64"/>
      <c r="F195" s="64"/>
      <c r="G195" s="64"/>
      <c r="H195" s="64"/>
      <c r="I195" s="64"/>
      <c r="J195" s="64"/>
      <c r="K195" s="64"/>
      <c r="L195" s="64"/>
      <c r="M195" s="64"/>
      <c r="N195" s="133">
        <v>52352</v>
      </c>
      <c r="O195" s="25"/>
      <c r="P195" s="25"/>
      <c r="Q195" s="25"/>
      <c r="R195" s="5"/>
    </row>
    <row r="196" spans="1:18" ht="15.6" x14ac:dyDescent="0.3">
      <c r="A196" s="75"/>
      <c r="B196" s="76" t="s">
        <v>82</v>
      </c>
      <c r="C196" s="77"/>
      <c r="D196" s="77"/>
      <c r="E196" s="64"/>
      <c r="F196" s="64"/>
      <c r="G196" s="64"/>
      <c r="H196" s="64"/>
      <c r="I196" s="64"/>
      <c r="J196" s="64"/>
      <c r="K196" s="64"/>
      <c r="L196" s="64"/>
      <c r="M196" s="64"/>
      <c r="N196" s="137">
        <v>20.45</v>
      </c>
      <c r="O196" s="25" t="s">
        <v>125</v>
      </c>
      <c r="P196" s="25"/>
      <c r="Q196" s="25"/>
      <c r="R196" s="5"/>
    </row>
    <row r="197" spans="1:18" ht="15.6" x14ac:dyDescent="0.3">
      <c r="A197" s="75"/>
      <c r="B197" s="76" t="s">
        <v>83</v>
      </c>
      <c r="C197" s="77"/>
      <c r="D197" s="77"/>
      <c r="E197" s="64"/>
      <c r="F197" s="64"/>
      <c r="G197" s="64"/>
      <c r="H197" s="64"/>
      <c r="I197" s="64"/>
      <c r="J197" s="64"/>
      <c r="K197" s="64"/>
      <c r="L197" s="64"/>
      <c r="M197" s="64"/>
      <c r="N197" s="137">
        <v>18.739999999999998</v>
      </c>
      <c r="O197" s="25" t="s">
        <v>125</v>
      </c>
      <c r="P197" s="25"/>
      <c r="Q197" s="25"/>
      <c r="R197" s="5"/>
    </row>
    <row r="198" spans="1:18" ht="15.6" x14ac:dyDescent="0.3">
      <c r="A198" s="75"/>
      <c r="B198" s="76" t="s">
        <v>84</v>
      </c>
      <c r="C198" s="77"/>
      <c r="D198" s="77"/>
      <c r="E198" s="64"/>
      <c r="F198" s="64"/>
      <c r="G198" s="64"/>
      <c r="H198" s="64"/>
      <c r="I198" s="64"/>
      <c r="J198" s="64"/>
      <c r="K198" s="64"/>
      <c r="L198" s="64"/>
      <c r="M198" s="64"/>
      <c r="N198" s="78">
        <f>+J70/H70</f>
        <v>5.9892311466438544E-2</v>
      </c>
      <c r="O198" s="25"/>
      <c r="P198" s="25"/>
      <c r="Q198" s="25"/>
      <c r="R198" s="5"/>
    </row>
    <row r="199" spans="1:18" ht="15.6" x14ac:dyDescent="0.3">
      <c r="A199" s="75"/>
      <c r="B199" s="76" t="s">
        <v>85</v>
      </c>
      <c r="C199" s="77"/>
      <c r="D199" s="77"/>
      <c r="E199" s="64"/>
      <c r="F199" s="64"/>
      <c r="G199" s="64"/>
      <c r="H199" s="64"/>
      <c r="I199" s="64"/>
      <c r="J199" s="64"/>
      <c r="K199" s="64"/>
      <c r="L199" s="64"/>
      <c r="M199" s="64"/>
      <c r="N199" s="78">
        <v>0.1603</v>
      </c>
      <c r="O199" s="25"/>
      <c r="P199" s="25"/>
      <c r="Q199" s="25"/>
      <c r="R199" s="5"/>
    </row>
    <row r="200" spans="1:18" ht="15.6" x14ac:dyDescent="0.3">
      <c r="A200" s="75"/>
      <c r="B200" s="76"/>
      <c r="C200" s="76"/>
      <c r="D200" s="76"/>
      <c r="E200" s="25"/>
      <c r="F200" s="25"/>
      <c r="G200" s="25"/>
      <c r="H200" s="25"/>
      <c r="I200" s="25"/>
      <c r="J200" s="25"/>
      <c r="K200" s="25"/>
      <c r="L200" s="25"/>
      <c r="M200" s="25"/>
      <c r="N200" s="61"/>
      <c r="O200" s="25"/>
      <c r="P200" s="79"/>
      <c r="Q200" s="25"/>
      <c r="R200" s="5"/>
    </row>
    <row r="201" spans="1:18" ht="15.6" x14ac:dyDescent="0.3">
      <c r="A201" s="80"/>
      <c r="B201" s="14" t="s">
        <v>86</v>
      </c>
      <c r="C201" s="81"/>
      <c r="D201" s="82"/>
      <c r="E201" s="81"/>
      <c r="F201" s="17"/>
      <c r="G201" s="17"/>
      <c r="H201" s="17"/>
      <c r="I201" s="17"/>
      <c r="J201" s="17"/>
      <c r="K201" s="17"/>
      <c r="L201" s="17"/>
      <c r="M201" s="17" t="s">
        <v>113</v>
      </c>
      <c r="N201" s="83" t="s">
        <v>121</v>
      </c>
      <c r="O201" s="8"/>
      <c r="P201" s="8"/>
      <c r="Q201" s="8"/>
      <c r="R201" s="5"/>
    </row>
    <row r="202" spans="1:18" ht="15.6" x14ac:dyDescent="0.3">
      <c r="A202" s="84"/>
      <c r="B202" s="76" t="s">
        <v>87</v>
      </c>
      <c r="C202" s="54"/>
      <c r="D202" s="25"/>
      <c r="E202" s="25"/>
      <c r="F202" s="30"/>
      <c r="G202" s="30"/>
      <c r="H202" s="30"/>
      <c r="I202" s="30"/>
      <c r="J202" s="30"/>
      <c r="K202" s="30"/>
      <c r="L202" s="30"/>
      <c r="M202" s="30">
        <v>4</v>
      </c>
      <c r="N202" s="85">
        <v>165</v>
      </c>
      <c r="O202" s="25"/>
      <c r="P202" s="79"/>
      <c r="Q202" s="86"/>
      <c r="R202" s="5"/>
    </row>
    <row r="203" spans="1:18" ht="15.6" x14ac:dyDescent="0.3">
      <c r="A203" s="84"/>
      <c r="B203" s="76" t="s">
        <v>203</v>
      </c>
      <c r="C203" s="54"/>
      <c r="D203" s="25"/>
      <c r="E203" s="25"/>
      <c r="F203" s="30"/>
      <c r="G203" s="30"/>
      <c r="H203" s="30"/>
      <c r="I203" s="30"/>
      <c r="J203" s="30"/>
      <c r="K203" s="30"/>
      <c r="L203" s="30"/>
      <c r="M203" s="151">
        <f>+L240</f>
        <v>35</v>
      </c>
      <c r="N203" s="85">
        <f>+N240</f>
        <v>3561</v>
      </c>
      <c r="O203" s="25"/>
      <c r="P203" s="79"/>
      <c r="Q203" s="86"/>
      <c r="R203" s="5"/>
    </row>
    <row r="204" spans="1:18" ht="15.6" x14ac:dyDescent="0.3">
      <c r="A204" s="84"/>
      <c r="B204" s="76" t="s">
        <v>88</v>
      </c>
      <c r="C204" s="54"/>
      <c r="D204" s="25"/>
      <c r="E204" s="25"/>
      <c r="F204" s="30"/>
      <c r="G204" s="30"/>
      <c r="H204" s="30"/>
      <c r="I204" s="30"/>
      <c r="J204" s="30"/>
      <c r="K204" s="30"/>
      <c r="L204" s="30"/>
      <c r="M204" s="151">
        <v>1</v>
      </c>
      <c r="N204" s="85">
        <v>31</v>
      </c>
      <c r="O204" s="25"/>
      <c r="P204" s="79"/>
      <c r="Q204" s="86"/>
      <c r="R204" s="5"/>
    </row>
    <row r="205" spans="1:18" ht="15.6" x14ac:dyDescent="0.3">
      <c r="A205" s="84"/>
      <c r="B205" s="122" t="s">
        <v>89</v>
      </c>
      <c r="C205" s="54"/>
      <c r="D205" s="25"/>
      <c r="E205" s="25"/>
      <c r="F205" s="25"/>
      <c r="G205" s="25"/>
      <c r="H205" s="25"/>
      <c r="I205" s="25"/>
      <c r="J205" s="25"/>
      <c r="K205" s="25"/>
      <c r="L205" s="25"/>
      <c r="M205" s="25"/>
      <c r="N205" s="85">
        <v>0</v>
      </c>
      <c r="O205" s="25"/>
      <c r="P205" s="79"/>
      <c r="Q205" s="86"/>
      <c r="R205" s="5"/>
    </row>
    <row r="206" spans="1:18" ht="15.6" x14ac:dyDescent="0.3">
      <c r="A206" s="84"/>
      <c r="B206" s="122" t="s">
        <v>90</v>
      </c>
      <c r="C206" s="54"/>
      <c r="D206" s="25"/>
      <c r="E206" s="25"/>
      <c r="F206" s="25"/>
      <c r="G206" s="25"/>
      <c r="H206" s="25"/>
      <c r="I206" s="25"/>
      <c r="J206" s="25"/>
      <c r="K206" s="25"/>
      <c r="L206" s="25"/>
      <c r="M206" s="25"/>
      <c r="N206" s="62" t="s">
        <v>122</v>
      </c>
      <c r="O206" s="25"/>
      <c r="P206" s="79"/>
      <c r="Q206" s="86"/>
      <c r="R206" s="5"/>
    </row>
    <row r="207" spans="1:18" ht="15.6" x14ac:dyDescent="0.3">
      <c r="A207" s="87"/>
      <c r="B207" s="122" t="s">
        <v>91</v>
      </c>
      <c r="C207" s="76"/>
      <c r="D207" s="76"/>
      <c r="E207" s="25"/>
      <c r="F207" s="25"/>
      <c r="G207" s="25"/>
      <c r="H207" s="25"/>
      <c r="I207" s="25"/>
      <c r="J207" s="167"/>
      <c r="K207" s="25"/>
      <c r="L207" s="25"/>
      <c r="M207" s="25"/>
      <c r="N207" s="85"/>
      <c r="O207" s="25"/>
      <c r="P207" s="79"/>
      <c r="Q207" s="88"/>
      <c r="R207" s="5"/>
    </row>
    <row r="208" spans="1:18" ht="15.6" x14ac:dyDescent="0.3">
      <c r="A208" s="87"/>
      <c r="B208" s="135" t="s">
        <v>92</v>
      </c>
      <c r="C208" s="76"/>
      <c r="D208" s="76"/>
      <c r="E208" s="25"/>
      <c r="F208" s="25"/>
      <c r="G208" s="25"/>
      <c r="H208" s="25"/>
      <c r="I208" s="25"/>
      <c r="J208" s="25"/>
      <c r="K208" s="25"/>
      <c r="L208" s="25"/>
      <c r="M208" s="25"/>
      <c r="N208" s="85">
        <f>P153</f>
        <v>123</v>
      </c>
      <c r="O208" s="25"/>
      <c r="P208" s="79"/>
      <c r="Q208" s="88"/>
      <c r="R208" s="5"/>
    </row>
    <row r="209" spans="1:18" ht="15.6" x14ac:dyDescent="0.3">
      <c r="A209" s="84"/>
      <c r="B209" s="76" t="s">
        <v>93</v>
      </c>
      <c r="C209" s="54"/>
      <c r="D209" s="54"/>
      <c r="E209" s="25"/>
      <c r="F209" s="25"/>
      <c r="G209" s="25"/>
      <c r="H209" s="25"/>
      <c r="I209" s="25"/>
      <c r="J209" s="25"/>
      <c r="K209" s="25"/>
      <c r="L209" s="25"/>
      <c r="M209" s="25"/>
      <c r="N209" s="85">
        <f>'Jan 07'!N209+'April 07'!N208</f>
        <v>442</v>
      </c>
      <c r="O209" s="25"/>
      <c r="P209" s="79"/>
      <c r="Q209" s="88"/>
      <c r="R209" s="5"/>
    </row>
    <row r="210" spans="1:18" ht="15.6" x14ac:dyDescent="0.3">
      <c r="A210" s="87"/>
      <c r="B210" s="122" t="s">
        <v>278</v>
      </c>
      <c r="C210" s="76"/>
      <c r="D210" s="76"/>
      <c r="E210" s="25"/>
      <c r="F210" s="25"/>
      <c r="G210" s="25"/>
      <c r="H210" s="25"/>
      <c r="I210" s="25"/>
      <c r="J210" s="25"/>
      <c r="K210" s="25"/>
      <c r="L210" s="25"/>
      <c r="M210" s="25"/>
      <c r="N210" s="85"/>
      <c r="O210" s="25"/>
      <c r="P210" s="79"/>
      <c r="Q210" s="88"/>
      <c r="R210" s="5"/>
    </row>
    <row r="211" spans="1:18" ht="15.6" x14ac:dyDescent="0.3">
      <c r="A211" s="87"/>
      <c r="B211" s="76" t="s">
        <v>276</v>
      </c>
      <c r="C211" s="76"/>
      <c r="D211" s="76"/>
      <c r="E211" s="25"/>
      <c r="F211" s="25"/>
      <c r="G211" s="25"/>
      <c r="H211" s="25"/>
      <c r="I211" s="25"/>
      <c r="J211" s="25"/>
      <c r="K211" s="25"/>
      <c r="L211" s="25"/>
      <c r="M211" s="30">
        <v>0</v>
      </c>
      <c r="N211" s="85">
        <v>0</v>
      </c>
      <c r="O211" s="25"/>
      <c r="P211" s="79"/>
      <c r="Q211" s="88"/>
      <c r="R211" s="5"/>
    </row>
    <row r="212" spans="1:18" ht="15.6" x14ac:dyDescent="0.3">
      <c r="A212" s="84"/>
      <c r="B212" s="76" t="s">
        <v>95</v>
      </c>
      <c r="C212" s="89"/>
      <c r="D212" s="90"/>
      <c r="E212" s="25"/>
      <c r="F212" s="25"/>
      <c r="G212" s="25"/>
      <c r="H212" s="25"/>
      <c r="I212" s="25"/>
      <c r="J212" s="25"/>
      <c r="K212" s="25"/>
      <c r="L212" s="25"/>
      <c r="M212" s="25"/>
      <c r="N212" s="62">
        <v>0</v>
      </c>
      <c r="O212" s="25"/>
      <c r="P212" s="79"/>
      <c r="Q212" s="88"/>
      <c r="R212" s="5"/>
    </row>
    <row r="213" spans="1:18" ht="15.6" x14ac:dyDescent="0.3">
      <c r="A213" s="84"/>
      <c r="B213" s="76" t="s">
        <v>96</v>
      </c>
      <c r="C213" s="89"/>
      <c r="D213" s="90"/>
      <c r="E213" s="25"/>
      <c r="F213" s="25"/>
      <c r="G213" s="25"/>
      <c r="H213" s="25"/>
      <c r="I213" s="25"/>
      <c r="J213" s="25"/>
      <c r="K213" s="25"/>
      <c r="L213" s="25"/>
      <c r="M213" s="25"/>
      <c r="N213" s="62">
        <v>0</v>
      </c>
      <c r="O213" s="25"/>
      <c r="P213" s="79"/>
      <c r="Q213" s="88"/>
      <c r="R213" s="5"/>
    </row>
    <row r="214" spans="1:18" ht="15.6" x14ac:dyDescent="0.3">
      <c r="A214" s="84"/>
      <c r="B214" s="122" t="s">
        <v>251</v>
      </c>
      <c r="C214" s="89"/>
      <c r="D214" s="90"/>
      <c r="E214" s="25"/>
      <c r="F214" s="25"/>
      <c r="G214" s="25"/>
      <c r="H214" s="25"/>
      <c r="I214" s="25"/>
      <c r="J214" s="25"/>
      <c r="K214" s="25"/>
      <c r="L214" s="25"/>
      <c r="M214" s="25"/>
      <c r="N214" s="91"/>
      <c r="O214" s="25"/>
      <c r="P214" s="79"/>
      <c r="Q214" s="88"/>
      <c r="R214" s="5"/>
    </row>
    <row r="215" spans="1:18" ht="15.6" x14ac:dyDescent="0.3">
      <c r="A215" s="84"/>
      <c r="B215" s="76" t="s">
        <v>276</v>
      </c>
      <c r="C215" s="89"/>
      <c r="D215" s="90"/>
      <c r="E215" s="25"/>
      <c r="F215" s="25"/>
      <c r="G215" s="25"/>
      <c r="H215" s="25"/>
      <c r="I215" s="25"/>
      <c r="J215" s="25"/>
      <c r="K215" s="25"/>
      <c r="L215" s="25"/>
      <c r="M215" s="30">
        <v>15</v>
      </c>
      <c r="N215" s="85">
        <v>2342</v>
      </c>
      <c r="O215" s="25"/>
      <c r="P215" s="79"/>
      <c r="Q215" s="88"/>
      <c r="R215" s="5"/>
    </row>
    <row r="216" spans="1:18" ht="15.6" x14ac:dyDescent="0.3">
      <c r="A216" s="84"/>
      <c r="B216" s="76" t="s">
        <v>252</v>
      </c>
      <c r="C216" s="89"/>
      <c r="D216" s="90"/>
      <c r="E216" s="25"/>
      <c r="F216" s="25"/>
      <c r="G216" s="25"/>
      <c r="H216" s="25"/>
      <c r="I216" s="25"/>
      <c r="J216" s="25"/>
      <c r="K216" s="25"/>
      <c r="L216" s="25"/>
      <c r="M216" s="25"/>
      <c r="N216" s="62">
        <v>11.66</v>
      </c>
      <c r="O216" s="25"/>
      <c r="P216" s="79"/>
      <c r="Q216" s="88"/>
      <c r="R216" s="5"/>
    </row>
    <row r="217" spans="1:18" ht="15.6" x14ac:dyDescent="0.3">
      <c r="A217" s="84"/>
      <c r="B217" s="76"/>
      <c r="C217" s="89"/>
      <c r="D217" s="90"/>
      <c r="E217" s="25"/>
      <c r="F217" s="25"/>
      <c r="G217" s="25"/>
      <c r="H217" s="25"/>
      <c r="I217" s="25"/>
      <c r="J217" s="25"/>
      <c r="K217" s="25"/>
      <c r="L217" s="25"/>
      <c r="M217" s="25"/>
      <c r="N217" s="91"/>
      <c r="O217" s="25"/>
      <c r="P217" s="79"/>
      <c r="Q217" s="88"/>
      <c r="R217" s="5"/>
    </row>
    <row r="218" spans="1:18" ht="17.399999999999999" x14ac:dyDescent="0.3">
      <c r="A218" s="84"/>
      <c r="B218" s="160" t="s">
        <v>244</v>
      </c>
      <c r="C218" s="161"/>
      <c r="D218" s="162"/>
      <c r="E218" s="163"/>
      <c r="F218" s="163"/>
      <c r="G218" s="163"/>
      <c r="H218" s="163"/>
      <c r="I218" s="166"/>
      <c r="J218" s="169" t="s">
        <v>243</v>
      </c>
      <c r="K218" s="163"/>
      <c r="L218" s="163"/>
      <c r="M218" s="25"/>
      <c r="N218" s="91"/>
      <c r="O218" s="25"/>
      <c r="P218" s="79"/>
      <c r="Q218" s="88"/>
      <c r="R218" s="5"/>
    </row>
    <row r="219" spans="1:18" ht="15.6" x14ac:dyDescent="0.3">
      <c r="A219" s="84"/>
      <c r="B219" s="156"/>
      <c r="C219" s="157"/>
      <c r="D219" s="158"/>
      <c r="E219" s="146"/>
      <c r="F219" s="146"/>
      <c r="G219" s="146"/>
      <c r="H219" s="146"/>
      <c r="I219" s="146"/>
      <c r="J219" s="146"/>
      <c r="K219" s="146"/>
      <c r="L219" s="146"/>
      <c r="M219" s="25"/>
      <c r="N219" s="91"/>
      <c r="O219" s="25"/>
      <c r="P219" s="79"/>
      <c r="Q219" s="88"/>
      <c r="R219" s="5"/>
    </row>
    <row r="220" spans="1:18" ht="15.6" x14ac:dyDescent="0.3">
      <c r="A220" s="6"/>
      <c r="B220" s="14" t="s">
        <v>236</v>
      </c>
      <c r="C220" s="81"/>
      <c r="D220" s="82"/>
      <c r="E220" s="81"/>
      <c r="F220" s="17"/>
      <c r="G220" s="17"/>
      <c r="H220" s="17"/>
      <c r="I220" s="17"/>
      <c r="J220" s="17"/>
      <c r="K220" s="17"/>
      <c r="L220" s="83" t="s">
        <v>113</v>
      </c>
      <c r="M220" s="17" t="s">
        <v>114</v>
      </c>
      <c r="N220" s="83" t="s">
        <v>123</v>
      </c>
      <c r="O220" s="17" t="s">
        <v>114</v>
      </c>
      <c r="P220" s="8"/>
      <c r="Q220" s="92"/>
      <c r="R220" s="5"/>
    </row>
    <row r="221" spans="1:18" ht="15.6" x14ac:dyDescent="0.3">
      <c r="A221" s="24"/>
      <c r="B221" s="54" t="s">
        <v>98</v>
      </c>
      <c r="C221" s="93"/>
      <c r="D221" s="25"/>
      <c r="E221" s="93"/>
      <c r="F221" s="93"/>
      <c r="G221" s="93"/>
      <c r="H221" s="93"/>
      <c r="I221" s="93"/>
      <c r="J221" s="93"/>
      <c r="K221" s="93"/>
      <c r="L221" s="54">
        <v>6173</v>
      </c>
      <c r="M221" s="94">
        <f t="shared" ref="M221:M228" si="1">L221/$L$229</f>
        <v>0.99180591259640105</v>
      </c>
      <c r="N221" s="53">
        <v>597727</v>
      </c>
      <c r="O221" s="136">
        <f t="shared" ref="O221:O228" si="2">N221/$N$229</f>
        <v>0.9933392606379885</v>
      </c>
      <c r="P221" s="79"/>
      <c r="Q221" s="88"/>
      <c r="R221" s="5"/>
    </row>
    <row r="222" spans="1:18" ht="15.6" x14ac:dyDescent="0.3">
      <c r="A222" s="24"/>
      <c r="B222" s="54" t="s">
        <v>99</v>
      </c>
      <c r="C222" s="93"/>
      <c r="D222" s="25"/>
      <c r="E222" s="94"/>
      <c r="F222" s="93"/>
      <c r="G222" s="93"/>
      <c r="H222" s="93"/>
      <c r="I222" s="93"/>
      <c r="J222" s="93"/>
      <c r="K222" s="93"/>
      <c r="L222" s="54">
        <v>27</v>
      </c>
      <c r="M222" s="94">
        <f t="shared" si="1"/>
        <v>4.3380462724935736E-3</v>
      </c>
      <c r="N222" s="53">
        <v>1985</v>
      </c>
      <c r="O222" s="136">
        <f t="shared" si="2"/>
        <v>3.2987943197586977E-3</v>
      </c>
      <c r="P222" s="79"/>
      <c r="Q222" s="88"/>
      <c r="R222" s="5"/>
    </row>
    <row r="223" spans="1:18" ht="15.6" x14ac:dyDescent="0.3">
      <c r="A223" s="24"/>
      <c r="B223" s="54" t="s">
        <v>100</v>
      </c>
      <c r="C223" s="93"/>
      <c r="D223" s="25"/>
      <c r="E223" s="94"/>
      <c r="F223" s="93"/>
      <c r="G223" s="93"/>
      <c r="H223" s="93"/>
      <c r="I223" s="93"/>
      <c r="J223" s="93"/>
      <c r="K223" s="93"/>
      <c r="L223" s="54">
        <v>9</v>
      </c>
      <c r="M223" s="94">
        <f t="shared" si="1"/>
        <v>1.4460154241645244E-3</v>
      </c>
      <c r="N223" s="53">
        <v>535</v>
      </c>
      <c r="O223" s="136">
        <f t="shared" si="2"/>
        <v>8.8909569827249539E-4</v>
      </c>
      <c r="P223" s="79"/>
      <c r="Q223" s="88"/>
      <c r="R223" s="5"/>
    </row>
    <row r="224" spans="1:18" ht="15.6" x14ac:dyDescent="0.3">
      <c r="A224" s="24"/>
      <c r="B224" s="54" t="s">
        <v>227</v>
      </c>
      <c r="C224" s="93"/>
      <c r="D224" s="25"/>
      <c r="E224" s="94"/>
      <c r="F224" s="93"/>
      <c r="G224" s="93"/>
      <c r="H224" s="93"/>
      <c r="I224" s="93"/>
      <c r="J224" s="93"/>
      <c r="K224" s="93"/>
      <c r="L224" s="54">
        <v>4</v>
      </c>
      <c r="M224" s="94">
        <f t="shared" si="1"/>
        <v>6.426735218508997E-4</v>
      </c>
      <c r="N224" s="53">
        <v>1054</v>
      </c>
      <c r="O224" s="136">
        <f t="shared" si="2"/>
        <v>1.7516016186527293E-3</v>
      </c>
      <c r="P224" s="79"/>
      <c r="Q224" s="88"/>
      <c r="R224" s="5"/>
    </row>
    <row r="225" spans="1:18" ht="15.6" x14ac:dyDescent="0.3">
      <c r="A225" s="24"/>
      <c r="B225" s="54" t="s">
        <v>228</v>
      </c>
      <c r="C225" s="93"/>
      <c r="D225" s="25"/>
      <c r="E225" s="94"/>
      <c r="F225" s="93"/>
      <c r="G225" s="93"/>
      <c r="H225" s="93"/>
      <c r="I225" s="93"/>
      <c r="J225" s="93"/>
      <c r="K225" s="93"/>
      <c r="L225" s="54">
        <v>2</v>
      </c>
      <c r="M225" s="94">
        <f t="shared" si="1"/>
        <v>3.2133676092544985E-4</v>
      </c>
      <c r="N225" s="53">
        <v>80</v>
      </c>
      <c r="O225" s="136">
        <f t="shared" si="2"/>
        <v>1.3294888946130772E-4</v>
      </c>
      <c r="P225" s="79"/>
      <c r="Q225" s="88"/>
      <c r="R225" s="5"/>
    </row>
    <row r="226" spans="1:18" ht="15.6" x14ac:dyDescent="0.3">
      <c r="A226" s="24"/>
      <c r="B226" s="54" t="s">
        <v>229</v>
      </c>
      <c r="C226" s="93"/>
      <c r="D226" s="25"/>
      <c r="E226" s="94"/>
      <c r="F226" s="93"/>
      <c r="G226" s="93"/>
      <c r="H226" s="93"/>
      <c r="I226" s="93"/>
      <c r="J226" s="93"/>
      <c r="K226" s="93"/>
      <c r="L226" s="54">
        <v>2</v>
      </c>
      <c r="M226" s="94">
        <f t="shared" si="1"/>
        <v>3.2133676092544985E-4</v>
      </c>
      <c r="N226" s="53">
        <v>104</v>
      </c>
      <c r="O226" s="136">
        <f t="shared" si="2"/>
        <v>1.7283355629970002E-4</v>
      </c>
      <c r="P226" s="79"/>
      <c r="Q226" s="88"/>
      <c r="R226" s="5"/>
    </row>
    <row r="227" spans="1:18" ht="15.6" x14ac:dyDescent="0.3">
      <c r="A227" s="24"/>
      <c r="B227" s="54" t="s">
        <v>230</v>
      </c>
      <c r="C227" s="93"/>
      <c r="D227" s="25"/>
      <c r="E227" s="94"/>
      <c r="F227" s="93"/>
      <c r="G227" s="93"/>
      <c r="H227" s="93"/>
      <c r="I227" s="93"/>
      <c r="J227" s="93"/>
      <c r="K227" s="93"/>
      <c r="L227" s="54">
        <v>3</v>
      </c>
      <c r="M227" s="94">
        <f t="shared" si="1"/>
        <v>4.820051413881748E-4</v>
      </c>
      <c r="N227" s="53">
        <v>67</v>
      </c>
      <c r="O227" s="136">
        <f t="shared" si="2"/>
        <v>1.1134469492384522E-4</v>
      </c>
      <c r="P227" s="79"/>
      <c r="Q227" s="88"/>
      <c r="R227" s="5"/>
    </row>
    <row r="228" spans="1:18" ht="15.6" x14ac:dyDescent="0.3">
      <c r="A228" s="24"/>
      <c r="B228" s="54" t="s">
        <v>231</v>
      </c>
      <c r="C228" s="93"/>
      <c r="D228" s="25"/>
      <c r="E228" s="94"/>
      <c r="F228" s="93"/>
      <c r="G228" s="93"/>
      <c r="H228" s="93"/>
      <c r="I228" s="93"/>
      <c r="J228" s="93"/>
      <c r="K228" s="93"/>
      <c r="L228" s="54">
        <v>4</v>
      </c>
      <c r="M228" s="94">
        <f t="shared" si="1"/>
        <v>6.426735218508997E-4</v>
      </c>
      <c r="N228" s="53">
        <v>183</v>
      </c>
      <c r="O228" s="136">
        <f t="shared" si="2"/>
        <v>3.041205846427414E-4</v>
      </c>
      <c r="P228" s="79"/>
      <c r="Q228" s="88"/>
      <c r="R228" s="5"/>
    </row>
    <row r="229" spans="1:18" ht="15.6" x14ac:dyDescent="0.3">
      <c r="A229" s="24"/>
      <c r="B229" s="25" t="s">
        <v>129</v>
      </c>
      <c r="C229" s="25"/>
      <c r="D229" s="25"/>
      <c r="E229" s="25"/>
      <c r="F229" s="95"/>
      <c r="G229" s="95"/>
      <c r="H229" s="95"/>
      <c r="I229" s="95"/>
      <c r="J229" s="95"/>
      <c r="K229" s="95"/>
      <c r="L229" s="34">
        <f>SUM(L221:L228)</f>
        <v>6224</v>
      </c>
      <c r="M229" s="136">
        <f>SUM(M221:M228)</f>
        <v>1.0000000000000002</v>
      </c>
      <c r="N229" s="53">
        <f>SUM(N221:N228)</f>
        <v>601735</v>
      </c>
      <c r="O229" s="136">
        <f>SUM(O221:O228)</f>
        <v>0.99999999999999989</v>
      </c>
      <c r="P229" s="25"/>
      <c r="Q229" s="25"/>
      <c r="R229" s="5"/>
    </row>
    <row r="230" spans="1:18" ht="15.6" x14ac:dyDescent="0.3">
      <c r="A230" s="24"/>
      <c r="B230" s="25"/>
      <c r="C230" s="25"/>
      <c r="D230" s="25"/>
      <c r="E230" s="25"/>
      <c r="F230" s="95"/>
      <c r="G230" s="95"/>
      <c r="H230" s="95"/>
      <c r="I230" s="95"/>
      <c r="J230" s="95"/>
      <c r="K230" s="95"/>
      <c r="L230" s="34"/>
      <c r="M230" s="136"/>
      <c r="N230" s="53"/>
      <c r="O230" s="136"/>
      <c r="P230" s="25"/>
      <c r="Q230" s="25"/>
      <c r="R230" s="5"/>
    </row>
    <row r="231" spans="1:18" ht="15.6" x14ac:dyDescent="0.3">
      <c r="A231" s="148"/>
      <c r="B231" s="14" t="s">
        <v>238</v>
      </c>
      <c r="C231" s="81"/>
      <c r="D231" s="82"/>
      <c r="E231" s="81"/>
      <c r="F231" s="17"/>
      <c r="G231" s="17"/>
      <c r="H231" s="17"/>
      <c r="I231" s="17"/>
      <c r="J231" s="17"/>
      <c r="K231" s="17"/>
      <c r="L231" s="83" t="s">
        <v>113</v>
      </c>
      <c r="M231" s="17" t="s">
        <v>114</v>
      </c>
      <c r="N231" s="83" t="s">
        <v>123</v>
      </c>
      <c r="O231" s="17" t="s">
        <v>114</v>
      </c>
      <c r="P231" s="8"/>
      <c r="Q231" s="149"/>
      <c r="R231" s="5"/>
    </row>
    <row r="232" spans="1:18" ht="15.6" x14ac:dyDescent="0.3">
      <c r="A232" s="24"/>
      <c r="B232" s="54" t="s">
        <v>98</v>
      </c>
      <c r="C232" s="93"/>
      <c r="D232" s="25"/>
      <c r="E232" s="93"/>
      <c r="F232" s="93"/>
      <c r="G232" s="93"/>
      <c r="H232" s="93"/>
      <c r="I232" s="93"/>
      <c r="J232" s="93"/>
      <c r="K232" s="93"/>
      <c r="L232" s="54">
        <v>9</v>
      </c>
      <c r="M232" s="94">
        <f t="shared" ref="M232:M239" si="3">L232/$L$240</f>
        <v>0.25714285714285712</v>
      </c>
      <c r="N232" s="53">
        <v>596</v>
      </c>
      <c r="O232" s="136">
        <f t="shared" ref="O232:O239" si="4">N232/$N$240</f>
        <v>0.16736871665262568</v>
      </c>
      <c r="P232" s="79"/>
      <c r="Q232" s="25"/>
      <c r="R232" s="5"/>
    </row>
    <row r="233" spans="1:18" ht="15.6" x14ac:dyDescent="0.3">
      <c r="A233" s="24"/>
      <c r="B233" s="54" t="s">
        <v>99</v>
      </c>
      <c r="C233" s="93"/>
      <c r="D233" s="25"/>
      <c r="E233" s="94"/>
      <c r="F233" s="93"/>
      <c r="G233" s="93"/>
      <c r="H233" s="93"/>
      <c r="I233" s="93"/>
      <c r="J233" s="93"/>
      <c r="K233" s="93"/>
      <c r="L233" s="54">
        <v>0</v>
      </c>
      <c r="M233" s="94">
        <f t="shared" si="3"/>
        <v>0</v>
      </c>
      <c r="N233" s="53">
        <v>0</v>
      </c>
      <c r="O233" s="136">
        <f t="shared" si="4"/>
        <v>0</v>
      </c>
      <c r="P233" s="79"/>
      <c r="Q233" s="25"/>
      <c r="R233" s="5"/>
    </row>
    <row r="234" spans="1:18" ht="15.6" x14ac:dyDescent="0.3">
      <c r="A234" s="24"/>
      <c r="B234" s="54" t="s">
        <v>100</v>
      </c>
      <c r="C234" s="93"/>
      <c r="D234" s="25"/>
      <c r="E234" s="94"/>
      <c r="F234" s="93"/>
      <c r="G234" s="93"/>
      <c r="H234" s="93"/>
      <c r="I234" s="93"/>
      <c r="J234" s="93"/>
      <c r="K234" s="93"/>
      <c r="L234" s="54">
        <v>1</v>
      </c>
      <c r="M234" s="94">
        <f t="shared" si="3"/>
        <v>2.8571428571428571E-2</v>
      </c>
      <c r="N234" s="53">
        <v>298</v>
      </c>
      <c r="O234" s="136">
        <f t="shared" si="4"/>
        <v>8.3684358326312838E-2</v>
      </c>
      <c r="P234" s="79"/>
      <c r="Q234" s="25"/>
      <c r="R234" s="5"/>
    </row>
    <row r="235" spans="1:18" ht="15.6" x14ac:dyDescent="0.3">
      <c r="A235" s="24"/>
      <c r="B235" s="54" t="s">
        <v>227</v>
      </c>
      <c r="C235" s="93"/>
      <c r="D235" s="25"/>
      <c r="E235" s="94"/>
      <c r="F235" s="93"/>
      <c r="G235" s="93"/>
      <c r="H235" s="93"/>
      <c r="I235" s="93"/>
      <c r="J235" s="93"/>
      <c r="K235" s="93"/>
      <c r="L235" s="54">
        <v>1</v>
      </c>
      <c r="M235" s="94">
        <f t="shared" si="3"/>
        <v>2.8571428571428571E-2</v>
      </c>
      <c r="N235" s="53">
        <v>124</v>
      </c>
      <c r="O235" s="136">
        <f t="shared" si="4"/>
        <v>3.4821679303566416E-2</v>
      </c>
      <c r="P235" s="79"/>
      <c r="Q235" s="25"/>
      <c r="R235" s="5"/>
    </row>
    <row r="236" spans="1:18" ht="15.6" x14ac:dyDescent="0.3">
      <c r="A236" s="24"/>
      <c r="B236" s="54" t="s">
        <v>228</v>
      </c>
      <c r="C236" s="93"/>
      <c r="D236" s="25"/>
      <c r="E236" s="94"/>
      <c r="F236" s="93"/>
      <c r="G236" s="93"/>
      <c r="H236" s="93"/>
      <c r="I236" s="93"/>
      <c r="J236" s="93"/>
      <c r="K236" s="93"/>
      <c r="L236" s="54">
        <v>2</v>
      </c>
      <c r="M236" s="94">
        <f t="shared" si="3"/>
        <v>5.7142857142857141E-2</v>
      </c>
      <c r="N236" s="53">
        <v>371</v>
      </c>
      <c r="O236" s="136">
        <f t="shared" si="4"/>
        <v>0.10418421791631564</v>
      </c>
      <c r="P236" s="79"/>
      <c r="Q236" s="25"/>
      <c r="R236" s="5"/>
    </row>
    <row r="237" spans="1:18" ht="15.6" x14ac:dyDescent="0.3">
      <c r="A237" s="24"/>
      <c r="B237" s="54" t="s">
        <v>229</v>
      </c>
      <c r="C237" s="93"/>
      <c r="D237" s="25"/>
      <c r="E237" s="94"/>
      <c r="F237" s="93"/>
      <c r="G237" s="93"/>
      <c r="H237" s="93"/>
      <c r="I237" s="93"/>
      <c r="J237" s="93"/>
      <c r="K237" s="93"/>
      <c r="L237" s="54">
        <v>0</v>
      </c>
      <c r="M237" s="94">
        <f t="shared" si="3"/>
        <v>0</v>
      </c>
      <c r="N237" s="53">
        <v>0</v>
      </c>
      <c r="O237" s="136">
        <f t="shared" si="4"/>
        <v>0</v>
      </c>
      <c r="P237" s="79"/>
      <c r="Q237" s="25"/>
      <c r="R237" s="5"/>
    </row>
    <row r="238" spans="1:18" ht="15.6" x14ac:dyDescent="0.3">
      <c r="A238" s="24"/>
      <c r="B238" s="54" t="s">
        <v>230</v>
      </c>
      <c r="C238" s="93"/>
      <c r="D238" s="25"/>
      <c r="E238" s="94"/>
      <c r="F238" s="93"/>
      <c r="G238" s="93"/>
      <c r="H238" s="93"/>
      <c r="I238" s="93"/>
      <c r="J238" s="93"/>
      <c r="K238" s="93"/>
      <c r="L238" s="54">
        <v>5</v>
      </c>
      <c r="M238" s="94">
        <f t="shared" si="3"/>
        <v>0.14285714285714285</v>
      </c>
      <c r="N238" s="53">
        <v>497</v>
      </c>
      <c r="O238" s="136">
        <f t="shared" si="4"/>
        <v>0.13956753720864926</v>
      </c>
      <c r="P238" s="79"/>
      <c r="Q238" s="25"/>
      <c r="R238" s="5"/>
    </row>
    <row r="239" spans="1:18" ht="15.6" x14ac:dyDescent="0.3">
      <c r="A239" s="24"/>
      <c r="B239" s="54" t="s">
        <v>231</v>
      </c>
      <c r="C239" s="93"/>
      <c r="D239" s="25"/>
      <c r="E239" s="94"/>
      <c r="F239" s="93"/>
      <c r="G239" s="93"/>
      <c r="H239" s="93"/>
      <c r="I239" s="93"/>
      <c r="J239" s="93"/>
      <c r="K239" s="93"/>
      <c r="L239" s="54">
        <v>17</v>
      </c>
      <c r="M239" s="94">
        <f t="shared" si="3"/>
        <v>0.48571428571428571</v>
      </c>
      <c r="N239" s="53">
        <v>1675</v>
      </c>
      <c r="O239" s="136">
        <f t="shared" si="4"/>
        <v>0.4703734905925302</v>
      </c>
      <c r="P239" s="79"/>
      <c r="Q239" s="25"/>
      <c r="R239" s="5"/>
    </row>
    <row r="240" spans="1:18" ht="15.6" x14ac:dyDescent="0.3">
      <c r="A240" s="24"/>
      <c r="B240" s="25" t="s">
        <v>129</v>
      </c>
      <c r="C240" s="25"/>
      <c r="D240" s="25"/>
      <c r="E240" s="25"/>
      <c r="F240" s="95"/>
      <c r="G240" s="95"/>
      <c r="H240" s="95"/>
      <c r="I240" s="95"/>
      <c r="J240" s="95"/>
      <c r="K240" s="95"/>
      <c r="L240" s="34">
        <f>SUM(L232:L239)</f>
        <v>35</v>
      </c>
      <c r="M240" s="136">
        <f>SUM(M232:M239)</f>
        <v>1</v>
      </c>
      <c r="N240" s="53">
        <f>SUM(N232:N239)</f>
        <v>3561</v>
      </c>
      <c r="O240" s="136">
        <f>SUM(O232:O239)</f>
        <v>1</v>
      </c>
      <c r="P240" s="25"/>
      <c r="Q240" s="25"/>
      <c r="R240" s="5"/>
    </row>
    <row r="241" spans="1:18" ht="15.6" x14ac:dyDescent="0.3">
      <c r="A241" s="24"/>
      <c r="B241" s="25"/>
      <c r="C241" s="25"/>
      <c r="D241" s="25"/>
      <c r="E241" s="25"/>
      <c r="F241" s="95"/>
      <c r="G241" s="95"/>
      <c r="H241" s="95"/>
      <c r="I241" s="95"/>
      <c r="J241" s="95"/>
      <c r="K241" s="95"/>
      <c r="L241" s="34"/>
      <c r="M241" s="136"/>
      <c r="N241" s="53"/>
      <c r="O241" s="136"/>
      <c r="P241" s="25"/>
      <c r="Q241" s="25"/>
      <c r="R241" s="5"/>
    </row>
    <row r="242" spans="1:18" ht="15.6" x14ac:dyDescent="0.3">
      <c r="A242" s="148"/>
      <c r="B242" s="14" t="s">
        <v>239</v>
      </c>
      <c r="C242" s="81"/>
      <c r="D242" s="82"/>
      <c r="E242" s="81"/>
      <c r="F242" s="17"/>
      <c r="G242" s="17"/>
      <c r="H242" s="17"/>
      <c r="I242" s="17"/>
      <c r="J242" s="17"/>
      <c r="K242" s="17"/>
      <c r="L242" s="83" t="s">
        <v>113</v>
      </c>
      <c r="M242" s="17" t="s">
        <v>114</v>
      </c>
      <c r="N242" s="83" t="s">
        <v>123</v>
      </c>
      <c r="O242" s="17" t="s">
        <v>114</v>
      </c>
      <c r="P242" s="150"/>
      <c r="Q242" s="149"/>
      <c r="R242" s="5"/>
    </row>
    <row r="243" spans="1:18" ht="15.6" x14ac:dyDescent="0.3">
      <c r="A243" s="24"/>
      <c r="B243" s="54" t="s">
        <v>98</v>
      </c>
      <c r="C243" s="93"/>
      <c r="D243" s="25"/>
      <c r="E243" s="93"/>
      <c r="F243" s="93"/>
      <c r="G243" s="93"/>
      <c r="H243" s="93"/>
      <c r="I243" s="93"/>
      <c r="J243" s="93"/>
      <c r="K243" s="93"/>
      <c r="L243" s="54">
        <v>0</v>
      </c>
      <c r="M243" s="136">
        <f>L243/$L$251</f>
        <v>0</v>
      </c>
      <c r="N243" s="53">
        <v>0</v>
      </c>
      <c r="O243" s="136">
        <f t="shared" ref="O243:O251" si="5">N243/$N$251</f>
        <v>0</v>
      </c>
      <c r="P243" s="25"/>
      <c r="Q243" s="25"/>
      <c r="R243" s="5"/>
    </row>
    <row r="244" spans="1:18" ht="15.6" x14ac:dyDescent="0.3">
      <c r="A244" s="24"/>
      <c r="B244" s="54" t="s">
        <v>99</v>
      </c>
      <c r="C244" s="93"/>
      <c r="D244" s="25"/>
      <c r="E244" s="94"/>
      <c r="F244" s="93"/>
      <c r="G244" s="93"/>
      <c r="H244" s="93"/>
      <c r="I244" s="93"/>
      <c r="J244" s="93"/>
      <c r="K244" s="93"/>
      <c r="L244" s="54">
        <v>0</v>
      </c>
      <c r="M244" s="136">
        <f t="shared" ref="M244:M251" si="6">L244/$L$251</f>
        <v>0</v>
      </c>
      <c r="N244" s="53">
        <v>0</v>
      </c>
      <c r="O244" s="136">
        <f t="shared" si="5"/>
        <v>0</v>
      </c>
      <c r="P244" s="25"/>
      <c r="Q244" s="25"/>
      <c r="R244" s="5"/>
    </row>
    <row r="245" spans="1:18" ht="15.6" x14ac:dyDescent="0.3">
      <c r="A245" s="24"/>
      <c r="B245" s="54" t="s">
        <v>100</v>
      </c>
      <c r="C245" s="93"/>
      <c r="D245" s="25"/>
      <c r="E245" s="94"/>
      <c r="F245" s="93"/>
      <c r="G245" s="93"/>
      <c r="H245" s="93"/>
      <c r="I245" s="93"/>
      <c r="J245" s="93"/>
      <c r="K245" s="93"/>
      <c r="L245" s="54">
        <v>0</v>
      </c>
      <c r="M245" s="136">
        <f t="shared" si="6"/>
        <v>0</v>
      </c>
      <c r="N245" s="53">
        <v>0</v>
      </c>
      <c r="O245" s="136">
        <f t="shared" si="5"/>
        <v>0</v>
      </c>
      <c r="P245" s="25"/>
      <c r="Q245" s="25"/>
      <c r="R245" s="5"/>
    </row>
    <row r="246" spans="1:18" ht="15.6" x14ac:dyDescent="0.3">
      <c r="A246" s="24"/>
      <c r="B246" s="54" t="s">
        <v>227</v>
      </c>
      <c r="C246" s="93"/>
      <c r="D246" s="25"/>
      <c r="E246" s="94"/>
      <c r="F246" s="93"/>
      <c r="G246" s="93"/>
      <c r="H246" s="93"/>
      <c r="I246" s="93"/>
      <c r="J246" s="93"/>
      <c r="K246" s="93"/>
      <c r="L246" s="54">
        <v>0</v>
      </c>
      <c r="M246" s="136">
        <f t="shared" si="6"/>
        <v>0</v>
      </c>
      <c r="N246" s="53">
        <v>0</v>
      </c>
      <c r="O246" s="136">
        <f t="shared" si="5"/>
        <v>0</v>
      </c>
      <c r="P246" s="25"/>
      <c r="Q246" s="25"/>
      <c r="R246" s="5"/>
    </row>
    <row r="247" spans="1:18" ht="15.6" x14ac:dyDescent="0.3">
      <c r="A247" s="24"/>
      <c r="B247" s="54" t="s">
        <v>228</v>
      </c>
      <c r="C247" s="93"/>
      <c r="D247" s="25"/>
      <c r="E247" s="94"/>
      <c r="F247" s="93"/>
      <c r="G247" s="93"/>
      <c r="H247" s="93"/>
      <c r="I247" s="93"/>
      <c r="J247" s="93"/>
      <c r="K247" s="93"/>
      <c r="L247" s="54">
        <v>0</v>
      </c>
      <c r="M247" s="136">
        <f t="shared" si="6"/>
        <v>0</v>
      </c>
      <c r="N247" s="53">
        <v>0</v>
      </c>
      <c r="O247" s="136">
        <f t="shared" si="5"/>
        <v>0</v>
      </c>
      <c r="P247" s="25"/>
      <c r="Q247" s="25"/>
      <c r="R247" s="5"/>
    </row>
    <row r="248" spans="1:18" ht="15.6" x14ac:dyDescent="0.3">
      <c r="A248" s="24"/>
      <c r="B248" s="54" t="s">
        <v>229</v>
      </c>
      <c r="C248" s="93"/>
      <c r="D248" s="25"/>
      <c r="E248" s="94"/>
      <c r="F248" s="93"/>
      <c r="G248" s="93"/>
      <c r="H248" s="93"/>
      <c r="I248" s="93"/>
      <c r="J248" s="93"/>
      <c r="K248" s="93"/>
      <c r="L248" s="54">
        <v>0</v>
      </c>
      <c r="M248" s="136">
        <f t="shared" si="6"/>
        <v>0</v>
      </c>
      <c r="N248" s="53">
        <v>0</v>
      </c>
      <c r="O248" s="136">
        <f t="shared" si="5"/>
        <v>0</v>
      </c>
      <c r="P248" s="25"/>
      <c r="Q248" s="25"/>
      <c r="R248" s="5"/>
    </row>
    <row r="249" spans="1:18" ht="15.6" x14ac:dyDescent="0.3">
      <c r="A249" s="24"/>
      <c r="B249" s="54" t="s">
        <v>230</v>
      </c>
      <c r="C249" s="93"/>
      <c r="D249" s="25"/>
      <c r="E249" s="94"/>
      <c r="F249" s="93"/>
      <c r="G249" s="93"/>
      <c r="H249" s="93"/>
      <c r="I249" s="93"/>
      <c r="J249" s="93"/>
      <c r="K249" s="93"/>
      <c r="L249" s="54">
        <v>1</v>
      </c>
      <c r="M249" s="136">
        <f t="shared" si="6"/>
        <v>1</v>
      </c>
      <c r="N249" s="53">
        <v>31</v>
      </c>
      <c r="O249" s="136">
        <f t="shared" si="5"/>
        <v>1</v>
      </c>
      <c r="P249" s="25"/>
      <c r="Q249" s="25"/>
      <c r="R249" s="5"/>
    </row>
    <row r="250" spans="1:18" ht="15.6" x14ac:dyDescent="0.3">
      <c r="A250" s="24"/>
      <c r="B250" s="54" t="s">
        <v>231</v>
      </c>
      <c r="C250" s="93"/>
      <c r="D250" s="25"/>
      <c r="E250" s="94"/>
      <c r="F250" s="93"/>
      <c r="G250" s="93"/>
      <c r="H250" s="93"/>
      <c r="I250" s="93"/>
      <c r="J250" s="93"/>
      <c r="K250" s="93"/>
      <c r="L250" s="54">
        <v>0</v>
      </c>
      <c r="M250" s="136">
        <f t="shared" si="6"/>
        <v>0</v>
      </c>
      <c r="N250" s="53">
        <v>0</v>
      </c>
      <c r="O250" s="136">
        <f t="shared" si="5"/>
        <v>0</v>
      </c>
      <c r="P250" s="25"/>
      <c r="Q250" s="25"/>
      <c r="R250" s="5"/>
    </row>
    <row r="251" spans="1:18" ht="15.6" x14ac:dyDescent="0.3">
      <c r="A251" s="24"/>
      <c r="B251" s="25" t="s">
        <v>129</v>
      </c>
      <c r="C251" s="25"/>
      <c r="D251" s="25"/>
      <c r="E251" s="25"/>
      <c r="F251" s="95"/>
      <c r="G251" s="95"/>
      <c r="H251" s="95"/>
      <c r="I251" s="95"/>
      <c r="J251" s="95"/>
      <c r="K251" s="95"/>
      <c r="L251" s="34">
        <f>SUM(L243:L250)</f>
        <v>1</v>
      </c>
      <c r="M251" s="136">
        <f t="shared" si="6"/>
        <v>1</v>
      </c>
      <c r="N251" s="53">
        <f>SUM(N243:N250)</f>
        <v>31</v>
      </c>
      <c r="O251" s="136">
        <f t="shared" si="5"/>
        <v>1</v>
      </c>
      <c r="P251" s="25"/>
      <c r="Q251" s="25"/>
      <c r="R251" s="5"/>
    </row>
    <row r="252" spans="1:18" ht="15.6" x14ac:dyDescent="0.3">
      <c r="A252" s="24"/>
      <c r="B252" s="25"/>
      <c r="C252" s="25"/>
      <c r="D252" s="25"/>
      <c r="E252" s="25"/>
      <c r="F252" s="95"/>
      <c r="G252" s="95"/>
      <c r="H252" s="95"/>
      <c r="I252" s="95"/>
      <c r="J252" s="95"/>
      <c r="K252" s="95"/>
      <c r="L252" s="34"/>
      <c r="M252" s="136"/>
      <c r="N252" s="53"/>
      <c r="O252" s="136"/>
      <c r="P252" s="25"/>
      <c r="Q252" s="25"/>
      <c r="R252" s="5"/>
    </row>
    <row r="253" spans="1:18" ht="15.6" x14ac:dyDescent="0.3">
      <c r="A253" s="24"/>
      <c r="B253" s="152" t="s">
        <v>240</v>
      </c>
      <c r="C253" s="25"/>
      <c r="D253" s="25"/>
      <c r="E253" s="25"/>
      <c r="F253" s="95"/>
      <c r="G253" s="95"/>
      <c r="H253" s="95"/>
      <c r="I253" s="95"/>
      <c r="J253" s="95"/>
      <c r="K253" s="95"/>
      <c r="L253" s="173">
        <f>+L229+L240+L251</f>
        <v>6260</v>
      </c>
      <c r="M253" s="136"/>
      <c r="N253" s="153">
        <f>+N251+N240+N229</f>
        <v>605327</v>
      </c>
      <c r="O253" s="136"/>
      <c r="P253" s="25"/>
      <c r="Q253" s="25"/>
      <c r="R253" s="5"/>
    </row>
    <row r="254" spans="1:18" ht="15.6" x14ac:dyDescent="0.3">
      <c r="A254" s="24"/>
      <c r="B254" s="25"/>
      <c r="C254" s="25"/>
      <c r="D254" s="25"/>
      <c r="E254" s="25"/>
      <c r="F254" s="95"/>
      <c r="G254" s="95"/>
      <c r="H254" s="95"/>
      <c r="I254" s="95"/>
      <c r="J254" s="95"/>
      <c r="K254" s="95"/>
      <c r="L254" s="95"/>
      <c r="M254" s="95"/>
      <c r="N254" s="53"/>
      <c r="O254" s="95"/>
      <c r="P254" s="25"/>
      <c r="Q254" s="25"/>
      <c r="R254" s="5"/>
    </row>
    <row r="255" spans="1:18" ht="15.6" x14ac:dyDescent="0.3">
      <c r="A255" s="6"/>
      <c r="B255" s="8"/>
      <c r="C255" s="8"/>
      <c r="D255" s="8"/>
      <c r="E255" s="8"/>
      <c r="F255" s="96"/>
      <c r="G255" s="96"/>
      <c r="H255" s="96"/>
      <c r="I255" s="96"/>
      <c r="J255" s="96"/>
      <c r="K255" s="96"/>
      <c r="L255" s="96"/>
      <c r="M255" s="96"/>
      <c r="N255" s="97"/>
      <c r="O255" s="96"/>
      <c r="P255" s="8"/>
      <c r="Q255" s="8"/>
      <c r="R255" s="5"/>
    </row>
    <row r="256" spans="1:18" ht="15.6" x14ac:dyDescent="0.3">
      <c r="A256" s="145"/>
      <c r="B256" s="14" t="s">
        <v>234</v>
      </c>
      <c r="C256" s="15"/>
      <c r="D256" s="17"/>
      <c r="E256" s="15"/>
      <c r="F256" s="14"/>
      <c r="G256" s="140"/>
      <c r="H256" s="140"/>
      <c r="I256" s="140"/>
      <c r="J256" s="140"/>
      <c r="K256" s="140"/>
      <c r="L256" s="140"/>
      <c r="M256" s="140"/>
      <c r="N256" s="140"/>
      <c r="O256" s="140"/>
      <c r="P256" s="140"/>
      <c r="Q256" s="140"/>
      <c r="R256" s="5"/>
    </row>
    <row r="257" spans="1:18" ht="15.6" x14ac:dyDescent="0.3">
      <c r="A257" s="145"/>
      <c r="B257" s="140"/>
      <c r="C257" s="8"/>
      <c r="D257" s="8"/>
      <c r="E257" s="8"/>
      <c r="F257" s="8"/>
      <c r="G257" s="140"/>
      <c r="H257" s="140"/>
      <c r="I257" s="140"/>
      <c r="J257" s="140"/>
      <c r="K257" s="140"/>
      <c r="L257" s="140"/>
      <c r="M257" s="140"/>
      <c r="N257" s="140"/>
      <c r="O257" s="140"/>
      <c r="P257" s="140"/>
      <c r="Q257" s="140"/>
      <c r="R257" s="5"/>
    </row>
    <row r="258" spans="1:18" ht="15.6" x14ac:dyDescent="0.3">
      <c r="A258" s="145"/>
      <c r="B258" s="13" t="s">
        <v>232</v>
      </c>
      <c r="C258" s="13"/>
      <c r="D258" s="134"/>
      <c r="E258" s="13"/>
      <c r="F258" s="13"/>
      <c r="G258" s="140"/>
      <c r="H258" s="140"/>
      <c r="I258" s="140"/>
      <c r="J258" s="140"/>
      <c r="K258" s="140"/>
      <c r="L258" s="140"/>
      <c r="M258" s="140"/>
      <c r="N258" s="140"/>
      <c r="O258" s="140"/>
      <c r="P258" s="140"/>
      <c r="Q258" s="140"/>
      <c r="R258" s="5"/>
    </row>
    <row r="259" spans="1:18" ht="15.6" x14ac:dyDescent="0.3">
      <c r="A259" s="145"/>
      <c r="B259" s="13" t="s">
        <v>233</v>
      </c>
      <c r="C259" s="13"/>
      <c r="D259" s="134"/>
      <c r="E259" s="13"/>
      <c r="F259" s="13"/>
      <c r="G259" s="140"/>
      <c r="H259" s="140"/>
      <c r="I259" s="140"/>
      <c r="J259" s="140"/>
      <c r="K259" s="140"/>
      <c r="L259" s="140"/>
      <c r="M259" s="140"/>
      <c r="N259" s="140"/>
      <c r="O259" s="140"/>
      <c r="P259" s="140"/>
      <c r="Q259" s="140"/>
      <c r="R259" s="5"/>
    </row>
    <row r="260" spans="1:18" ht="15.6" x14ac:dyDescent="0.3">
      <c r="A260" s="145"/>
      <c r="B260" s="13"/>
      <c r="C260" s="13"/>
      <c r="D260" s="13"/>
      <c r="E260" s="99"/>
      <c r="F260" s="140"/>
      <c r="G260" s="140"/>
      <c r="H260" s="140"/>
      <c r="I260" s="140"/>
      <c r="J260" s="140"/>
      <c r="K260" s="140"/>
      <c r="L260" s="140"/>
      <c r="M260" s="140"/>
      <c r="N260" s="140"/>
      <c r="O260" s="140"/>
      <c r="P260" s="140"/>
      <c r="Q260" s="140"/>
      <c r="R260" s="5"/>
    </row>
    <row r="261" spans="1:18" ht="15.6" x14ac:dyDescent="0.3">
      <c r="A261" s="145"/>
      <c r="B261" s="13"/>
      <c r="C261" s="13"/>
      <c r="D261" s="13"/>
      <c r="E261" s="99"/>
      <c r="F261" s="140"/>
      <c r="G261" s="140"/>
      <c r="H261" s="140"/>
      <c r="I261" s="140"/>
      <c r="J261" s="140"/>
      <c r="K261" s="140"/>
      <c r="L261" s="140"/>
      <c r="M261" s="140"/>
      <c r="N261" s="140"/>
      <c r="O261" s="140"/>
      <c r="P261" s="140"/>
      <c r="Q261" s="140"/>
      <c r="R261" s="5"/>
    </row>
    <row r="262" spans="1:18" ht="18" thickBot="1" x14ac:dyDescent="0.35">
      <c r="A262" s="145"/>
      <c r="B262" s="49" t="str">
        <f>B181</f>
        <v>PM7 INVESTOR REPORT QUARTER ENDING APRIL 2007</v>
      </c>
      <c r="C262" s="13"/>
      <c r="D262" s="13"/>
      <c r="E262" s="99"/>
      <c r="F262" s="140"/>
      <c r="G262" s="140"/>
      <c r="H262" s="140"/>
      <c r="I262" s="140"/>
      <c r="J262" s="140"/>
      <c r="K262" s="140"/>
      <c r="L262" s="140"/>
      <c r="M262" s="140"/>
      <c r="N262" s="140"/>
      <c r="O262" s="140"/>
      <c r="P262" s="140"/>
      <c r="Q262" s="140"/>
      <c r="R262" s="5"/>
    </row>
    <row r="263" spans="1:18" x14ac:dyDescent="0.25">
      <c r="A263" s="100"/>
      <c r="B263" s="100"/>
      <c r="C263" s="100"/>
      <c r="D263" s="100"/>
      <c r="E263" s="100"/>
      <c r="F263" s="100"/>
      <c r="G263" s="100"/>
      <c r="H263" s="100"/>
      <c r="I263" s="100"/>
      <c r="J263" s="100"/>
      <c r="K263" s="100"/>
      <c r="L263" s="100"/>
      <c r="M263" s="100"/>
      <c r="N263" s="100"/>
      <c r="O263" s="100"/>
      <c r="P263" s="100"/>
      <c r="Q263" s="100"/>
    </row>
  </sheetData>
  <phoneticPr fontId="0" type="noConversion"/>
  <hyperlinks>
    <hyperlink ref="H9" r:id="rId1"/>
    <hyperlink ref="J218"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1" max="14" man="1"/>
    <brk id="181" max="14"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S264"/>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0.94889999999999997</v>
      </c>
      <c r="N17" s="17" t="s">
        <v>173</v>
      </c>
      <c r="O17" s="138">
        <v>5.11E-2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39311</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286001.37</v>
      </c>
      <c r="E34" s="31"/>
      <c r="F34" s="131">
        <f>+F33*F40</f>
        <v>139806.39200000002</v>
      </c>
      <c r="G34" s="31"/>
      <c r="H34" s="124">
        <f>+H33*H40</f>
        <v>317787.64999999997</v>
      </c>
      <c r="I34" s="31"/>
      <c r="J34" s="130">
        <v>82500</v>
      </c>
      <c r="K34" s="31"/>
      <c r="L34" s="124">
        <v>65000</v>
      </c>
      <c r="M34" s="31"/>
      <c r="N34" s="31"/>
      <c r="O34" s="142"/>
      <c r="P34" s="31"/>
      <c r="Q34" s="34"/>
      <c r="R34" s="5"/>
    </row>
    <row r="35" spans="1:18" ht="15.6" x14ac:dyDescent="0.3">
      <c r="A35" s="28"/>
      <c r="B35" s="29" t="s">
        <v>158</v>
      </c>
      <c r="C35" s="36"/>
      <c r="D35" s="129">
        <f>+D33*D39</f>
        <v>259966.75500000003</v>
      </c>
      <c r="E35" s="35"/>
      <c r="F35" s="132">
        <f>+F33*F39</f>
        <v>127075.74</v>
      </c>
      <c r="G35" s="35"/>
      <c r="H35" s="125">
        <f>+H33*H39</f>
        <v>288861.65000000002</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160765.24451939293</v>
      </c>
      <c r="E37" s="31"/>
      <c r="F37" s="31">
        <f>+F34</f>
        <v>139806.39200000002</v>
      </c>
      <c r="G37" s="31"/>
      <c r="H37" s="31">
        <f>+H34/1.481481</f>
        <v>214506.73346468835</v>
      </c>
      <c r="I37" s="31"/>
      <c r="J37" s="31">
        <v>46374</v>
      </c>
      <c r="K37" s="31"/>
      <c r="L37" s="31">
        <v>43875</v>
      </c>
      <c r="M37" s="31"/>
      <c r="N37" s="31"/>
      <c r="O37" s="142"/>
      <c r="P37" s="31">
        <f>SUM(C37:L37)</f>
        <v>605327.36998408125</v>
      </c>
      <c r="Q37" s="34"/>
      <c r="R37" s="5"/>
    </row>
    <row r="38" spans="1:18" ht="15.6" x14ac:dyDescent="0.3">
      <c r="A38" s="28"/>
      <c r="B38" s="29" t="s">
        <v>281</v>
      </c>
      <c r="C38" s="36"/>
      <c r="D38" s="35">
        <f>D35/1.779</f>
        <v>146130.83473861724</v>
      </c>
      <c r="E38" s="35"/>
      <c r="F38" s="35">
        <f>+F35</f>
        <v>127075.74</v>
      </c>
      <c r="G38" s="35"/>
      <c r="H38" s="35">
        <f>H35/1.481481</f>
        <v>194981.67711904508</v>
      </c>
      <c r="I38" s="35"/>
      <c r="J38" s="35">
        <v>46374</v>
      </c>
      <c r="K38" s="35"/>
      <c r="L38" s="35">
        <v>43875</v>
      </c>
      <c r="M38" s="35"/>
      <c r="N38" s="35"/>
      <c r="O38" s="37"/>
      <c r="P38" s="35">
        <f>SUM(D38:L38)</f>
        <v>558437.25185766234</v>
      </c>
      <c r="Q38" s="34"/>
      <c r="R38" s="5"/>
    </row>
    <row r="39" spans="1:18" ht="15.6" x14ac:dyDescent="0.3">
      <c r="A39" s="28"/>
      <c r="B39" s="122" t="s">
        <v>154</v>
      </c>
      <c r="C39" s="126"/>
      <c r="D39" s="174">
        <v>0.57770390000000005</v>
      </c>
      <c r="E39" s="174"/>
      <c r="F39" s="174">
        <v>0.57761700000000005</v>
      </c>
      <c r="G39" s="174"/>
      <c r="H39" s="174">
        <v>0.57772330000000005</v>
      </c>
      <c r="I39" s="174"/>
      <c r="J39" s="174">
        <v>1</v>
      </c>
      <c r="K39" s="174"/>
      <c r="L39" s="174">
        <v>1</v>
      </c>
      <c r="M39" s="31"/>
      <c r="N39" s="31"/>
      <c r="O39" s="142"/>
      <c r="P39" s="31"/>
      <c r="Q39" s="34"/>
      <c r="R39" s="5"/>
    </row>
    <row r="40" spans="1:18" ht="15.6" x14ac:dyDescent="0.3">
      <c r="A40" s="28"/>
      <c r="B40" s="122" t="s">
        <v>155</v>
      </c>
      <c r="C40" s="126"/>
      <c r="D40" s="174">
        <v>0.63555859999999997</v>
      </c>
      <c r="E40" s="174"/>
      <c r="F40" s="174">
        <v>0.63548360000000004</v>
      </c>
      <c r="G40" s="174"/>
      <c r="H40" s="174">
        <v>0.63557529999999995</v>
      </c>
      <c r="I40" s="174"/>
      <c r="J40" s="174">
        <v>1</v>
      </c>
      <c r="K40" s="174"/>
      <c r="L40" s="174">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5.57E-2</v>
      </c>
      <c r="E42" s="39"/>
      <c r="F42" s="38">
        <v>5.9639999999999999E-2</v>
      </c>
      <c r="G42" s="39"/>
      <c r="H42" s="38">
        <v>4.2709999999999998E-2</v>
      </c>
      <c r="I42" s="39"/>
      <c r="J42" s="38">
        <v>6.1100000000000002E-2</v>
      </c>
      <c r="K42" s="39"/>
      <c r="L42" s="38">
        <v>4.811E-2</v>
      </c>
      <c r="M42" s="39"/>
      <c r="N42" s="38"/>
      <c r="O42" s="141"/>
      <c r="P42" s="39"/>
      <c r="Q42" s="25"/>
      <c r="R42" s="5"/>
    </row>
    <row r="43" spans="1:18" ht="15.6" x14ac:dyDescent="0.3">
      <c r="A43" s="24"/>
      <c r="B43" s="25" t="s">
        <v>14</v>
      </c>
      <c r="C43" s="25"/>
      <c r="D43" s="38">
        <v>5.57E-2</v>
      </c>
      <c r="E43" s="39"/>
      <c r="F43" s="38">
        <v>5.7456300000000002E-2</v>
      </c>
      <c r="G43" s="39"/>
      <c r="H43" s="38">
        <v>4.0239999999999998E-2</v>
      </c>
      <c r="I43" s="39"/>
      <c r="J43" s="38">
        <v>6.1100000000000002E-2</v>
      </c>
      <c r="K43" s="39"/>
      <c r="L43" s="38">
        <v>4.564E-2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6.0585E-2</v>
      </c>
      <c r="E45" s="39"/>
      <c r="F45" s="38">
        <f>+F42</f>
        <v>5.9639999999999999E-2</v>
      </c>
      <c r="G45" s="39"/>
      <c r="H45" s="38">
        <v>6.0464999999999998E-2</v>
      </c>
      <c r="I45" s="39"/>
      <c r="J45" s="38">
        <v>6.6714999999999997E-2</v>
      </c>
      <c r="K45" s="39"/>
      <c r="L45" s="38">
        <v>6.6714999999999997E-2</v>
      </c>
      <c r="M45" s="39"/>
      <c r="N45" s="38"/>
      <c r="O45" s="141"/>
      <c r="P45" s="39">
        <f>SUMPRODUCT(D45:L45,D37:L37)/P37</f>
        <v>6.123814826513567E-2</v>
      </c>
      <c r="Q45" s="25"/>
      <c r="R45" s="5"/>
    </row>
    <row r="46" spans="1:18" ht="15.6" x14ac:dyDescent="0.3">
      <c r="A46" s="24"/>
      <c r="B46" s="25" t="s">
        <v>283</v>
      </c>
      <c r="C46" s="25"/>
      <c r="D46" s="38">
        <v>5.8401300000000003E-2</v>
      </c>
      <c r="E46" s="39"/>
      <c r="F46" s="38">
        <f>+F43</f>
        <v>5.7456300000000002E-2</v>
      </c>
      <c r="G46" s="39"/>
      <c r="H46" s="38">
        <v>5.8281300000000001E-2</v>
      </c>
      <c r="I46" s="39"/>
      <c r="J46" s="38">
        <v>6.45313E-2</v>
      </c>
      <c r="K46" s="39"/>
      <c r="L46" s="38">
        <v>6.45313E-2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0.19276220546310788</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39309</v>
      </c>
      <c r="Q57" s="25"/>
      <c r="R57" s="5"/>
    </row>
    <row r="58" spans="1:18" ht="15.6" x14ac:dyDescent="0.3">
      <c r="A58" s="24"/>
      <c r="B58" s="25" t="s">
        <v>142</v>
      </c>
      <c r="C58" s="25"/>
      <c r="D58" s="25"/>
      <c r="E58" s="25"/>
      <c r="F58" s="58"/>
      <c r="G58" s="58"/>
      <c r="H58" s="58"/>
      <c r="I58" s="58"/>
      <c r="J58" s="58"/>
      <c r="K58" s="58"/>
      <c r="L58" s="25">
        <f>+P58-N58+1</f>
        <v>89</v>
      </c>
      <c r="M58" s="58"/>
      <c r="N58" s="45">
        <v>39128</v>
      </c>
      <c r="O58" s="46"/>
      <c r="P58" s="45">
        <v>39216</v>
      </c>
      <c r="Q58" s="25"/>
      <c r="R58" s="5"/>
    </row>
    <row r="59" spans="1:18" ht="15.6" x14ac:dyDescent="0.3">
      <c r="A59" s="24"/>
      <c r="B59" s="25" t="s">
        <v>143</v>
      </c>
      <c r="C59" s="25"/>
      <c r="D59" s="25"/>
      <c r="E59" s="25"/>
      <c r="F59" s="25"/>
      <c r="G59" s="25"/>
      <c r="H59" s="25"/>
      <c r="I59" s="25"/>
      <c r="J59" s="25"/>
      <c r="K59" s="25"/>
      <c r="L59" s="25">
        <f>+P59-N59+1</f>
        <v>92</v>
      </c>
      <c r="M59" s="25"/>
      <c r="N59" s="45">
        <v>39217</v>
      </c>
      <c r="O59" s="46"/>
      <c r="P59" s="45">
        <v>39308</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39295</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261</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605327</v>
      </c>
      <c r="I70" s="34"/>
      <c r="J70" s="34">
        <f>46890+4791+200</f>
        <v>51881</v>
      </c>
      <c r="K70" s="34"/>
      <c r="L70" s="34">
        <f>4791+200</f>
        <v>4991</v>
      </c>
      <c r="M70" s="34"/>
      <c r="N70" s="34">
        <v>0</v>
      </c>
      <c r="O70" s="34"/>
      <c r="P70" s="53">
        <f>+H70-J70+L70-N70</f>
        <v>558437</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605327</v>
      </c>
      <c r="I73" s="34"/>
      <c r="J73" s="34">
        <f>SUM(J70:J72)</f>
        <v>51881</v>
      </c>
      <c r="K73" s="34"/>
      <c r="L73" s="34">
        <f>SUM(L70:L72)</f>
        <v>4991</v>
      </c>
      <c r="M73" s="34"/>
      <c r="N73" s="34">
        <f>SUM(N70:N72)</f>
        <v>0</v>
      </c>
      <c r="O73" s="34"/>
      <c r="P73" s="54">
        <f>SUM(P70:P72)</f>
        <v>558437</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605327</v>
      </c>
      <c r="I86" s="34"/>
      <c r="J86" s="34"/>
      <c r="K86" s="34"/>
      <c r="L86" s="34"/>
      <c r="M86" s="34"/>
      <c r="N86" s="54"/>
      <c r="O86" s="34"/>
      <c r="P86" s="54">
        <f>SUM(P73:P85)</f>
        <v>558437</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39294</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v>51747</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10713+545-2156-14+5</f>
        <v>9093</v>
      </c>
      <c r="Q92" s="25"/>
      <c r="R92" s="5"/>
    </row>
    <row r="93" spans="1:18" ht="15.6" x14ac:dyDescent="0.3">
      <c r="A93" s="24"/>
      <c r="B93" s="25" t="s">
        <v>249</v>
      </c>
      <c r="C93" s="25"/>
      <c r="D93" s="25"/>
      <c r="E93" s="25"/>
      <c r="F93" s="40"/>
      <c r="G93" s="57"/>
      <c r="H93" s="127"/>
      <c r="I93" s="25"/>
      <c r="J93" s="25"/>
      <c r="K93" s="25"/>
      <c r="L93" s="25"/>
      <c r="M93" s="25"/>
      <c r="N93" s="34"/>
      <c r="O93" s="25"/>
      <c r="P93" s="53">
        <f>497+40</f>
        <v>537</v>
      </c>
      <c r="Q93" s="25"/>
      <c r="R93" s="5"/>
    </row>
    <row r="94" spans="1:18" ht="15.6" x14ac:dyDescent="0.3">
      <c r="A94" s="24"/>
      <c r="B94" s="25" t="s">
        <v>250</v>
      </c>
      <c r="C94" s="25"/>
      <c r="D94" s="25"/>
      <c r="E94" s="25"/>
      <c r="F94" s="40"/>
      <c r="G94" s="57"/>
      <c r="H94" s="127"/>
      <c r="I94" s="25"/>
      <c r="J94" s="25"/>
      <c r="K94" s="25"/>
      <c r="L94" s="25"/>
      <c r="M94" s="25"/>
      <c r="N94" s="34"/>
      <c r="O94" s="25"/>
      <c r="P94" s="53">
        <v>898</v>
      </c>
      <c r="Q94" s="25"/>
      <c r="R94" s="5"/>
    </row>
    <row r="95" spans="1:18" ht="15.6" x14ac:dyDescent="0.3">
      <c r="A95" s="24"/>
      <c r="B95" s="25" t="s">
        <v>259</v>
      </c>
      <c r="C95" s="25"/>
      <c r="D95" s="25"/>
      <c r="E95" s="25"/>
      <c r="F95" s="40"/>
      <c r="G95" s="57"/>
      <c r="H95" s="127"/>
      <c r="I95" s="25"/>
      <c r="J95" s="25"/>
      <c r="K95" s="25"/>
      <c r="L95" s="25"/>
      <c r="M95" s="25"/>
      <c r="N95" s="34"/>
      <c r="O95" s="25"/>
      <c r="P95" s="53">
        <v>243</v>
      </c>
      <c r="Q95" s="25"/>
      <c r="R95" s="5"/>
    </row>
    <row r="96" spans="1:18" ht="15.6" x14ac:dyDescent="0.3">
      <c r="A96" s="24"/>
      <c r="B96" s="25" t="s">
        <v>160</v>
      </c>
      <c r="C96" s="25"/>
      <c r="D96" s="25"/>
      <c r="E96" s="25"/>
      <c r="F96" s="25"/>
      <c r="G96" s="25"/>
      <c r="H96" s="25"/>
      <c r="I96" s="25"/>
      <c r="J96" s="25"/>
      <c r="K96" s="25"/>
      <c r="L96" s="25"/>
      <c r="M96" s="25"/>
      <c r="N96" s="34"/>
      <c r="O96" s="25"/>
      <c r="P96" s="53">
        <v>0</v>
      </c>
      <c r="Q96" s="25"/>
      <c r="R96" s="5"/>
    </row>
    <row r="97" spans="1:19" ht="15.6" x14ac:dyDescent="0.3">
      <c r="A97" s="24"/>
      <c r="B97" s="25" t="s">
        <v>192</v>
      </c>
      <c r="C97" s="25"/>
      <c r="D97" s="25"/>
      <c r="E97" s="25"/>
      <c r="F97" s="25"/>
      <c r="G97" s="25"/>
      <c r="H97" s="25"/>
      <c r="I97" s="25"/>
      <c r="J97" s="25"/>
      <c r="K97" s="25"/>
      <c r="L97" s="25"/>
      <c r="M97" s="25"/>
      <c r="N97" s="34"/>
      <c r="O97" s="25"/>
      <c r="P97" s="53">
        <v>80</v>
      </c>
      <c r="Q97" s="25"/>
      <c r="R97" s="5"/>
    </row>
    <row r="98" spans="1:19" ht="15.6" x14ac:dyDescent="0.3">
      <c r="A98" s="24"/>
      <c r="B98" s="25" t="s">
        <v>35</v>
      </c>
      <c r="C98" s="25"/>
      <c r="D98" s="25"/>
      <c r="E98" s="25"/>
      <c r="F98" s="25"/>
      <c r="G98" s="25"/>
      <c r="H98" s="25"/>
      <c r="I98" s="25"/>
      <c r="J98" s="25"/>
      <c r="K98" s="25"/>
      <c r="L98" s="25"/>
      <c r="M98" s="25"/>
      <c r="N98" s="34">
        <f>SUM(N90:N97)</f>
        <v>51747</v>
      </c>
      <c r="O98" s="25"/>
      <c r="P98" s="54">
        <f>SUM(P90:P97)</f>
        <v>10851</v>
      </c>
      <c r="Q98" s="25"/>
      <c r="R98" s="5"/>
    </row>
    <row r="99" spans="1:19" ht="15.6" x14ac:dyDescent="0.3">
      <c r="A99" s="24"/>
      <c r="B99" s="25" t="s">
        <v>237</v>
      </c>
      <c r="C99" s="25"/>
      <c r="D99" s="25"/>
      <c r="E99" s="25"/>
      <c r="F99" s="25"/>
      <c r="G99" s="25"/>
      <c r="H99" s="25"/>
      <c r="I99" s="25"/>
      <c r="J99" s="25"/>
      <c r="K99" s="25"/>
      <c r="L99" s="25"/>
      <c r="M99" s="25"/>
      <c r="N99" s="34">
        <v>-18</v>
      </c>
      <c r="O99" s="25"/>
      <c r="P99" s="54">
        <f>-N99</f>
        <v>18</v>
      </c>
      <c r="Q99" s="25"/>
      <c r="R99" s="5"/>
    </row>
    <row r="100" spans="1:19" ht="15.6" x14ac:dyDescent="0.3">
      <c r="A100" s="24"/>
      <c r="B100" s="25" t="s">
        <v>36</v>
      </c>
      <c r="C100" s="25"/>
      <c r="D100" s="25"/>
      <c r="E100" s="25"/>
      <c r="F100" s="25"/>
      <c r="G100" s="25"/>
      <c r="H100" s="25"/>
      <c r="I100" s="25"/>
      <c r="J100" s="25"/>
      <c r="K100" s="25"/>
      <c r="L100" s="25"/>
      <c r="M100" s="25"/>
      <c r="N100" s="34">
        <f>-P100</f>
        <v>0</v>
      </c>
      <c r="O100" s="25"/>
      <c r="P100" s="53">
        <v>0</v>
      </c>
      <c r="Q100" s="25"/>
      <c r="R100" s="5"/>
    </row>
    <row r="101" spans="1:19" ht="15.6" x14ac:dyDescent="0.3">
      <c r="A101" s="24"/>
      <c r="B101" s="25" t="s">
        <v>37</v>
      </c>
      <c r="C101" s="25"/>
      <c r="D101" s="25"/>
      <c r="E101" s="25"/>
      <c r="F101" s="25"/>
      <c r="G101" s="25"/>
      <c r="H101" s="25"/>
      <c r="I101" s="25"/>
      <c r="J101" s="25"/>
      <c r="K101" s="25"/>
      <c r="L101" s="25"/>
      <c r="M101" s="25"/>
      <c r="N101" s="34">
        <f>N98+N100+N99</f>
        <v>51729</v>
      </c>
      <c r="O101" s="25"/>
      <c r="P101" s="54">
        <f>P98+P100+P99</f>
        <v>10869</v>
      </c>
      <c r="Q101" s="25"/>
      <c r="R101" s="5"/>
      <c r="S101" s="154"/>
    </row>
    <row r="102" spans="1:19" ht="15.6" x14ac:dyDescent="0.3">
      <c r="A102" s="24"/>
      <c r="B102" s="118" t="s">
        <v>38</v>
      </c>
      <c r="C102" s="25"/>
      <c r="D102" s="25"/>
      <c r="E102" s="25"/>
      <c r="F102" s="25"/>
      <c r="G102" s="25"/>
      <c r="H102" s="25"/>
      <c r="I102" s="25"/>
      <c r="J102" s="25"/>
      <c r="K102" s="25"/>
      <c r="L102" s="25"/>
      <c r="M102" s="25"/>
      <c r="N102" s="34"/>
      <c r="O102" s="25"/>
      <c r="P102" s="53"/>
      <c r="Q102" s="25"/>
      <c r="R102" s="5"/>
    </row>
    <row r="103" spans="1:19" ht="15.6" x14ac:dyDescent="0.3">
      <c r="A103" s="24">
        <v>1</v>
      </c>
      <c r="B103" s="25" t="s">
        <v>39</v>
      </c>
      <c r="C103" s="25"/>
      <c r="D103" s="25"/>
      <c r="E103" s="25"/>
      <c r="F103" s="25"/>
      <c r="G103" s="25"/>
      <c r="H103" s="25"/>
      <c r="I103" s="25"/>
      <c r="J103" s="25"/>
      <c r="K103" s="25"/>
      <c r="L103" s="25"/>
      <c r="M103" s="25"/>
      <c r="N103" s="25"/>
      <c r="O103" s="25"/>
      <c r="P103" s="53">
        <v>0</v>
      </c>
      <c r="Q103" s="25"/>
      <c r="R103" s="5"/>
    </row>
    <row r="104" spans="1:19" ht="15.6" x14ac:dyDescent="0.3">
      <c r="A104" s="24">
        <f>+A103+1</f>
        <v>2</v>
      </c>
      <c r="B104" s="25" t="s">
        <v>40</v>
      </c>
      <c r="C104" s="25"/>
      <c r="D104" s="25"/>
      <c r="E104" s="25"/>
      <c r="F104" s="25"/>
      <c r="G104" s="25"/>
      <c r="H104" s="25"/>
      <c r="I104" s="25"/>
      <c r="J104" s="25"/>
      <c r="K104" s="25"/>
      <c r="L104" s="25"/>
      <c r="M104" s="25"/>
      <c r="N104" s="25"/>
      <c r="O104" s="25"/>
      <c r="P104" s="53">
        <v>-2</v>
      </c>
      <c r="Q104" s="25"/>
      <c r="R104" s="5"/>
    </row>
    <row r="105" spans="1:19" ht="15.6" x14ac:dyDescent="0.3">
      <c r="A105" s="24">
        <f>+A104+1</f>
        <v>3</v>
      </c>
      <c r="B105" s="25" t="s">
        <v>226</v>
      </c>
      <c r="C105" s="25"/>
      <c r="D105" s="25"/>
      <c r="E105" s="25"/>
      <c r="F105" s="25"/>
      <c r="G105" s="25"/>
      <c r="H105" s="25"/>
      <c r="I105" s="25"/>
      <c r="J105" s="25"/>
      <c r="K105" s="25"/>
      <c r="L105" s="25"/>
      <c r="M105" s="25"/>
      <c r="N105" s="25"/>
      <c r="O105" s="25"/>
      <c r="P105" s="53">
        <f>-151-49-8</f>
        <v>-208</v>
      </c>
      <c r="Q105" s="25"/>
      <c r="R105" s="5"/>
    </row>
    <row r="106" spans="1:19" ht="15.6" x14ac:dyDescent="0.3">
      <c r="A106" s="24" t="s">
        <v>151</v>
      </c>
      <c r="B106" s="25" t="s">
        <v>131</v>
      </c>
      <c r="C106" s="25"/>
      <c r="D106" s="25"/>
      <c r="E106" s="25"/>
      <c r="F106" s="25"/>
      <c r="G106" s="25"/>
      <c r="H106" s="25"/>
      <c r="I106" s="25"/>
      <c r="J106" s="25"/>
      <c r="K106" s="25"/>
      <c r="L106" s="25"/>
      <c r="M106" s="25"/>
      <c r="N106" s="25"/>
      <c r="O106" s="25"/>
      <c r="P106" s="53">
        <v>0</v>
      </c>
      <c r="Q106" s="25"/>
      <c r="R106" s="5"/>
    </row>
    <row r="107" spans="1:19" ht="15.6" x14ac:dyDescent="0.3">
      <c r="A107" s="24" t="s">
        <v>152</v>
      </c>
      <c r="B107" s="25" t="s">
        <v>195</v>
      </c>
      <c r="C107" s="25"/>
      <c r="D107" s="25"/>
      <c r="E107" s="25"/>
      <c r="F107" s="25"/>
      <c r="G107" s="25"/>
      <c r="H107" s="25"/>
      <c r="I107" s="25"/>
      <c r="J107" s="25"/>
      <c r="K107" s="25"/>
      <c r="L107" s="25"/>
      <c r="M107" s="25"/>
      <c r="N107" s="25"/>
      <c r="O107" s="25"/>
      <c r="P107" s="53">
        <v>-2455</v>
      </c>
      <c r="Q107" s="25"/>
      <c r="R107" s="5"/>
      <c r="S107" s="109"/>
    </row>
    <row r="108" spans="1:19" ht="15.6" x14ac:dyDescent="0.3">
      <c r="A108" s="24" t="s">
        <v>217</v>
      </c>
      <c r="B108" s="25" t="s">
        <v>196</v>
      </c>
      <c r="C108" s="25"/>
      <c r="D108" s="25"/>
      <c r="E108" s="25"/>
      <c r="F108" s="25"/>
      <c r="G108" s="25"/>
      <c r="H108" s="25"/>
      <c r="I108" s="25"/>
      <c r="J108" s="25"/>
      <c r="K108" s="25"/>
      <c r="L108" s="25"/>
      <c r="M108" s="25"/>
      <c r="N108" s="25"/>
      <c r="O108" s="25"/>
      <c r="P108" s="53">
        <v>-2102</v>
      </c>
      <c r="Q108" s="25"/>
      <c r="R108" s="5"/>
      <c r="S108" s="109"/>
    </row>
    <row r="109" spans="1:19" ht="15.6" x14ac:dyDescent="0.3">
      <c r="A109" s="24" t="s">
        <v>218</v>
      </c>
      <c r="B109" s="25" t="s">
        <v>197</v>
      </c>
      <c r="C109" s="25"/>
      <c r="D109" s="25"/>
      <c r="E109" s="25"/>
      <c r="F109" s="25"/>
      <c r="G109" s="25"/>
      <c r="H109" s="25"/>
      <c r="I109" s="25"/>
      <c r="J109" s="25"/>
      <c r="K109" s="25"/>
      <c r="L109" s="25"/>
      <c r="M109" s="25"/>
      <c r="N109" s="25"/>
      <c r="O109" s="25"/>
      <c r="P109" s="53">
        <v>-3269</v>
      </c>
      <c r="Q109" s="25"/>
      <c r="R109" s="5"/>
      <c r="S109" s="109"/>
    </row>
    <row r="110" spans="1:19" ht="15.6" x14ac:dyDescent="0.3">
      <c r="A110" s="24" t="s">
        <v>147</v>
      </c>
      <c r="B110" s="25" t="s">
        <v>146</v>
      </c>
      <c r="C110" s="25"/>
      <c r="D110" s="25"/>
      <c r="E110" s="25"/>
      <c r="F110" s="25"/>
      <c r="G110" s="25"/>
      <c r="H110" s="25"/>
      <c r="I110" s="25"/>
      <c r="J110" s="25"/>
      <c r="K110" s="25"/>
      <c r="L110" s="25"/>
      <c r="M110" s="25"/>
      <c r="N110" s="25"/>
      <c r="O110" s="25"/>
      <c r="P110" s="53">
        <v>-780</v>
      </c>
      <c r="Q110" s="25"/>
      <c r="R110" s="5"/>
      <c r="S110" s="109"/>
    </row>
    <row r="111" spans="1:19" ht="15.6" x14ac:dyDescent="0.3">
      <c r="A111" s="24" t="s">
        <v>148</v>
      </c>
      <c r="B111" s="25" t="s">
        <v>198</v>
      </c>
      <c r="C111" s="25"/>
      <c r="D111" s="25"/>
      <c r="E111" s="25"/>
      <c r="F111" s="25"/>
      <c r="G111" s="25"/>
      <c r="H111" s="25"/>
      <c r="I111" s="25"/>
      <c r="J111" s="25"/>
      <c r="K111" s="25"/>
      <c r="L111" s="25"/>
      <c r="M111" s="25"/>
      <c r="N111" s="25"/>
      <c r="O111" s="25"/>
      <c r="P111" s="53">
        <v>-738</v>
      </c>
      <c r="Q111" s="25"/>
      <c r="R111" s="5"/>
      <c r="S111" s="109"/>
    </row>
    <row r="112" spans="1:19" ht="15.6" x14ac:dyDescent="0.3">
      <c r="A112" s="24">
        <v>6</v>
      </c>
      <c r="B112" s="25" t="s">
        <v>41</v>
      </c>
      <c r="C112" s="25"/>
      <c r="D112" s="25"/>
      <c r="E112" s="25"/>
      <c r="F112" s="25"/>
      <c r="G112" s="25"/>
      <c r="H112" s="25"/>
      <c r="I112" s="25"/>
      <c r="J112" s="25"/>
      <c r="K112" s="25"/>
      <c r="L112" s="25"/>
      <c r="M112" s="25"/>
      <c r="N112" s="25"/>
      <c r="O112" s="25"/>
      <c r="P112" s="53">
        <v>-10</v>
      </c>
      <c r="Q112" s="25"/>
      <c r="R112" s="5"/>
    </row>
    <row r="113" spans="1:18" ht="15.6" x14ac:dyDescent="0.3">
      <c r="A113" s="24">
        <f t="shared" ref="A113:A118" si="0">+A112+1</f>
        <v>7</v>
      </c>
      <c r="B113" s="25" t="s">
        <v>53</v>
      </c>
      <c r="C113" s="25"/>
      <c r="D113" s="25"/>
      <c r="E113" s="25"/>
      <c r="F113" s="25"/>
      <c r="G113" s="25"/>
      <c r="H113" s="25"/>
      <c r="I113" s="25"/>
      <c r="J113" s="25"/>
      <c r="K113" s="25"/>
      <c r="L113" s="25"/>
      <c r="M113" s="25"/>
      <c r="N113" s="34">
        <f>-P113</f>
        <v>134</v>
      </c>
      <c r="O113" s="25"/>
      <c r="P113" s="53">
        <v>-134</v>
      </c>
      <c r="Q113" s="25"/>
      <c r="R113" s="5"/>
    </row>
    <row r="114" spans="1:18" ht="15.6" x14ac:dyDescent="0.3">
      <c r="A114" s="24">
        <f t="shared" si="0"/>
        <v>8</v>
      </c>
      <c r="B114" s="25" t="s">
        <v>149</v>
      </c>
      <c r="C114" s="25"/>
      <c r="D114" s="25"/>
      <c r="E114" s="25"/>
      <c r="F114" s="25"/>
      <c r="G114" s="25"/>
      <c r="H114" s="25"/>
      <c r="I114" s="25"/>
      <c r="J114" s="25"/>
      <c r="K114" s="25"/>
      <c r="L114" s="25"/>
      <c r="M114" s="25"/>
      <c r="N114" s="25"/>
      <c r="O114" s="25"/>
      <c r="P114" s="53">
        <v>0</v>
      </c>
      <c r="Q114" s="25"/>
      <c r="R114" s="5"/>
    </row>
    <row r="115" spans="1:18" ht="15.6" x14ac:dyDescent="0.3">
      <c r="A115" s="24">
        <f t="shared" si="0"/>
        <v>9</v>
      </c>
      <c r="B115" s="25" t="s">
        <v>42</v>
      </c>
      <c r="C115" s="25"/>
      <c r="D115" s="25"/>
      <c r="E115" s="25"/>
      <c r="F115" s="25"/>
      <c r="G115" s="25"/>
      <c r="H115" s="25"/>
      <c r="I115" s="25"/>
      <c r="J115" s="25"/>
      <c r="K115" s="25"/>
      <c r="L115" s="25"/>
      <c r="M115" s="25"/>
      <c r="N115" s="25"/>
      <c r="O115" s="25"/>
      <c r="P115" s="53">
        <v>0</v>
      </c>
      <c r="Q115" s="25"/>
      <c r="R115" s="5"/>
    </row>
    <row r="116" spans="1:18" ht="15.6" x14ac:dyDescent="0.3">
      <c r="A116" s="24">
        <f t="shared" si="0"/>
        <v>10</v>
      </c>
      <c r="B116" s="25" t="s">
        <v>43</v>
      </c>
      <c r="C116" s="25"/>
      <c r="D116" s="25"/>
      <c r="E116" s="25"/>
      <c r="F116" s="25"/>
      <c r="G116" s="25"/>
      <c r="H116" s="25"/>
      <c r="I116" s="25"/>
      <c r="J116" s="25"/>
      <c r="K116" s="25"/>
      <c r="L116" s="25"/>
      <c r="M116" s="25"/>
      <c r="N116" s="25"/>
      <c r="O116" s="25"/>
      <c r="P116" s="53">
        <v>0</v>
      </c>
      <c r="Q116" s="25"/>
      <c r="R116" s="5"/>
    </row>
    <row r="117" spans="1:18" ht="15.6" x14ac:dyDescent="0.3">
      <c r="A117" s="24">
        <f t="shared" si="0"/>
        <v>11</v>
      </c>
      <c r="B117" s="25" t="s">
        <v>215</v>
      </c>
      <c r="C117" s="25"/>
      <c r="D117" s="25"/>
      <c r="E117" s="25"/>
      <c r="F117" s="25"/>
      <c r="G117" s="25"/>
      <c r="H117" s="25"/>
      <c r="I117" s="25"/>
      <c r="J117" s="25"/>
      <c r="K117" s="25"/>
      <c r="L117" s="25"/>
      <c r="M117" s="25"/>
      <c r="N117" s="25"/>
      <c r="O117" s="25"/>
      <c r="P117" s="53">
        <v>-307</v>
      </c>
      <c r="Q117" s="25"/>
      <c r="R117" s="5"/>
    </row>
    <row r="118" spans="1:18" ht="15.6" x14ac:dyDescent="0.3">
      <c r="A118" s="24">
        <f t="shared" si="0"/>
        <v>12</v>
      </c>
      <c r="B118" s="25" t="s">
        <v>150</v>
      </c>
      <c r="C118" s="25"/>
      <c r="D118" s="25"/>
      <c r="E118" s="25"/>
      <c r="F118" s="25"/>
      <c r="G118" s="25"/>
      <c r="H118" s="25"/>
      <c r="I118" s="25"/>
      <c r="J118" s="25"/>
      <c r="K118" s="25"/>
      <c r="L118" s="25"/>
      <c r="M118" s="25"/>
      <c r="N118" s="25"/>
      <c r="O118" s="25"/>
      <c r="P118" s="53">
        <f>-P101-SUM(P103:P117)</f>
        <v>-864</v>
      </c>
      <c r="Q118" s="25"/>
      <c r="R118" s="5"/>
    </row>
    <row r="119" spans="1:18" ht="15.6" x14ac:dyDescent="0.3">
      <c r="A119" s="24"/>
      <c r="B119" s="118" t="s">
        <v>44</v>
      </c>
      <c r="C119" s="25"/>
      <c r="D119" s="25"/>
      <c r="E119" s="25"/>
      <c r="F119" s="25"/>
      <c r="G119" s="25"/>
      <c r="H119" s="25"/>
      <c r="I119" s="25"/>
      <c r="J119" s="25"/>
      <c r="K119" s="25"/>
      <c r="L119" s="25"/>
      <c r="M119" s="25"/>
      <c r="N119" s="25"/>
      <c r="O119" s="25"/>
      <c r="P119" s="59"/>
      <c r="Q119" s="25"/>
      <c r="R119" s="5"/>
    </row>
    <row r="120" spans="1:18" ht="15.6" x14ac:dyDescent="0.3">
      <c r="A120" s="24"/>
      <c r="B120" s="25" t="s">
        <v>45</v>
      </c>
      <c r="C120" s="25"/>
      <c r="D120" s="25"/>
      <c r="E120" s="25"/>
      <c r="F120" s="25"/>
      <c r="G120" s="25"/>
      <c r="H120" s="25"/>
      <c r="I120" s="25"/>
      <c r="J120" s="25"/>
      <c r="K120" s="25"/>
      <c r="L120" s="25"/>
      <c r="M120" s="25"/>
      <c r="N120" s="34">
        <v>-232</v>
      </c>
      <c r="O120" s="34"/>
      <c r="P120" s="53"/>
      <c r="Q120" s="25"/>
      <c r="R120" s="5"/>
    </row>
    <row r="121" spans="1:18" ht="15.6" x14ac:dyDescent="0.3">
      <c r="A121" s="24"/>
      <c r="B121" s="25" t="s">
        <v>46</v>
      </c>
      <c r="C121" s="25"/>
      <c r="D121" s="25"/>
      <c r="E121" s="25"/>
      <c r="F121" s="25"/>
      <c r="G121" s="25"/>
      <c r="H121" s="25"/>
      <c r="I121" s="25"/>
      <c r="J121" s="25"/>
      <c r="K121" s="25"/>
      <c r="L121" s="25"/>
      <c r="M121" s="25"/>
      <c r="N121" s="34">
        <f>-M168</f>
        <v>-4741</v>
      </c>
      <c r="O121" s="34"/>
      <c r="P121" s="53"/>
      <c r="Q121" s="25"/>
      <c r="R121" s="5"/>
    </row>
    <row r="122" spans="1:18" ht="15.6" x14ac:dyDescent="0.3">
      <c r="A122" s="24"/>
      <c r="B122" s="25" t="s">
        <v>199</v>
      </c>
      <c r="C122" s="25"/>
      <c r="D122" s="25"/>
      <c r="E122" s="25"/>
      <c r="F122" s="25"/>
      <c r="G122" s="25"/>
      <c r="H122" s="25"/>
      <c r="I122" s="25"/>
      <c r="J122" s="25"/>
      <c r="K122" s="25"/>
      <c r="L122" s="25"/>
      <c r="M122" s="25"/>
      <c r="N122" s="34">
        <v>-14634</v>
      </c>
      <c r="O122" s="34"/>
      <c r="P122" s="53"/>
      <c r="Q122" s="25"/>
      <c r="R122" s="5"/>
    </row>
    <row r="123" spans="1:18" ht="15.6" x14ac:dyDescent="0.3">
      <c r="A123" s="24"/>
      <c r="B123" s="25" t="s">
        <v>200</v>
      </c>
      <c r="C123" s="25"/>
      <c r="D123" s="25"/>
      <c r="E123" s="25"/>
      <c r="F123" s="25"/>
      <c r="G123" s="25"/>
      <c r="H123" s="25"/>
      <c r="I123" s="25"/>
      <c r="J123" s="25"/>
      <c r="K123" s="25"/>
      <c r="L123" s="25"/>
      <c r="M123" s="25"/>
      <c r="N123" s="34">
        <v>-12731</v>
      </c>
      <c r="O123" s="34"/>
      <c r="P123" s="53"/>
      <c r="Q123" s="25"/>
      <c r="R123" s="5"/>
    </row>
    <row r="124" spans="1:18" ht="15.6" x14ac:dyDescent="0.3">
      <c r="A124" s="24"/>
      <c r="B124" s="25" t="s">
        <v>201</v>
      </c>
      <c r="C124" s="25"/>
      <c r="D124" s="25"/>
      <c r="E124" s="25"/>
      <c r="F124" s="25"/>
      <c r="G124" s="25"/>
      <c r="H124" s="25"/>
      <c r="I124" s="25"/>
      <c r="J124" s="25"/>
      <c r="K124" s="25"/>
      <c r="L124" s="25"/>
      <c r="M124" s="25"/>
      <c r="N124" s="34">
        <v>-19525</v>
      </c>
      <c r="O124" s="34"/>
      <c r="P124" s="53"/>
      <c r="Q124" s="25"/>
      <c r="R124" s="5"/>
    </row>
    <row r="125" spans="1:18" ht="15.6" x14ac:dyDescent="0.3">
      <c r="A125" s="24"/>
      <c r="B125" s="25" t="s">
        <v>159</v>
      </c>
      <c r="C125" s="25"/>
      <c r="D125" s="25"/>
      <c r="E125" s="25"/>
      <c r="F125" s="25"/>
      <c r="G125" s="25"/>
      <c r="H125" s="25"/>
      <c r="I125" s="25"/>
      <c r="J125" s="25"/>
      <c r="K125" s="25"/>
      <c r="L125" s="25"/>
      <c r="M125" s="25"/>
      <c r="N125" s="34">
        <v>0</v>
      </c>
      <c r="O125" s="34"/>
      <c r="P125" s="53"/>
      <c r="Q125" s="25"/>
      <c r="R125" s="5"/>
    </row>
    <row r="126" spans="1:18" ht="15.6" x14ac:dyDescent="0.3">
      <c r="A126" s="24"/>
      <c r="B126" s="25" t="s">
        <v>214</v>
      </c>
      <c r="C126" s="25"/>
      <c r="D126" s="25"/>
      <c r="E126" s="25"/>
      <c r="F126" s="25"/>
      <c r="G126" s="25"/>
      <c r="H126" s="25"/>
      <c r="I126" s="25"/>
      <c r="J126" s="25"/>
      <c r="K126" s="25"/>
      <c r="L126" s="25"/>
      <c r="M126" s="25"/>
      <c r="N126" s="34">
        <v>0</v>
      </c>
      <c r="O126" s="34"/>
      <c r="P126" s="53"/>
      <c r="Q126" s="25"/>
      <c r="R126" s="5"/>
    </row>
    <row r="127" spans="1:18" ht="15.6" x14ac:dyDescent="0.3">
      <c r="A127" s="24"/>
      <c r="B127" s="25" t="s">
        <v>47</v>
      </c>
      <c r="C127" s="25"/>
      <c r="D127" s="25"/>
      <c r="E127" s="25"/>
      <c r="F127" s="25"/>
      <c r="G127" s="25"/>
      <c r="H127" s="25"/>
      <c r="I127" s="25"/>
      <c r="J127" s="25"/>
      <c r="K127" s="25"/>
      <c r="L127" s="25"/>
      <c r="M127" s="25"/>
      <c r="N127" s="34">
        <f>SUM(N120:N126)</f>
        <v>-51863</v>
      </c>
      <c r="O127" s="34"/>
      <c r="P127" s="34">
        <f>SUM(P102:P126)</f>
        <v>-10869</v>
      </c>
      <c r="Q127" s="25"/>
      <c r="R127" s="5"/>
    </row>
    <row r="128" spans="1:18" ht="15.6" x14ac:dyDescent="0.3">
      <c r="A128" s="24"/>
      <c r="B128" s="25" t="s">
        <v>48</v>
      </c>
      <c r="C128" s="25"/>
      <c r="D128" s="25"/>
      <c r="E128" s="25"/>
      <c r="F128" s="25"/>
      <c r="G128" s="25"/>
      <c r="H128" s="25"/>
      <c r="I128" s="25"/>
      <c r="J128" s="25"/>
      <c r="K128" s="25"/>
      <c r="L128" s="25"/>
      <c r="M128" s="25"/>
      <c r="N128" s="34">
        <f>N101+N127+N113</f>
        <v>0</v>
      </c>
      <c r="O128" s="34"/>
      <c r="P128" s="34">
        <f>P101+P127</f>
        <v>0</v>
      </c>
      <c r="Q128" s="25"/>
      <c r="R128" s="5"/>
    </row>
    <row r="129" spans="1:19" ht="15.6" x14ac:dyDescent="0.3">
      <c r="A129" s="24"/>
      <c r="B129" s="25"/>
      <c r="C129" s="25"/>
      <c r="D129" s="25"/>
      <c r="E129" s="25"/>
      <c r="F129" s="25"/>
      <c r="G129" s="25"/>
      <c r="H129" s="25"/>
      <c r="I129" s="25"/>
      <c r="J129" s="25"/>
      <c r="K129" s="25"/>
      <c r="L129" s="25"/>
      <c r="M129" s="25"/>
      <c r="N129" s="34"/>
      <c r="O129" s="34"/>
      <c r="P129" s="34"/>
      <c r="Q129" s="25"/>
      <c r="R129" s="5"/>
    </row>
    <row r="130" spans="1:19" ht="15.6" x14ac:dyDescent="0.3">
      <c r="A130" s="6"/>
      <c r="B130" s="146"/>
      <c r="C130" s="146"/>
      <c r="D130" s="146"/>
      <c r="E130" s="146"/>
      <c r="F130" s="146"/>
      <c r="G130" s="146"/>
      <c r="H130" s="146"/>
      <c r="I130" s="146"/>
      <c r="J130" s="146"/>
      <c r="K130" s="146"/>
      <c r="L130" s="146"/>
      <c r="M130" s="146"/>
      <c r="N130" s="147"/>
      <c r="O130" s="147"/>
      <c r="P130" s="147"/>
      <c r="Q130" s="146"/>
      <c r="R130" s="5"/>
    </row>
    <row r="131" spans="1:19" ht="18" thickBot="1" x14ac:dyDescent="0.35">
      <c r="A131" s="101"/>
      <c r="B131" s="102" t="str">
        <f>B65</f>
        <v>PM7 INVESTOR REPORT QUARTER ENDING JULY 2007</v>
      </c>
      <c r="C131" s="103"/>
      <c r="D131" s="103"/>
      <c r="E131" s="103"/>
      <c r="F131" s="103"/>
      <c r="G131" s="103"/>
      <c r="H131" s="103"/>
      <c r="I131" s="103"/>
      <c r="J131" s="103"/>
      <c r="K131" s="103"/>
      <c r="L131" s="103"/>
      <c r="M131" s="103"/>
      <c r="N131" s="103"/>
      <c r="O131" s="103"/>
      <c r="P131" s="106"/>
      <c r="Q131" s="105"/>
      <c r="R131" s="5"/>
    </row>
    <row r="132" spans="1:19" ht="15.6" x14ac:dyDescent="0.3">
      <c r="A132" s="2"/>
      <c r="B132" s="60" t="s">
        <v>49</v>
      </c>
      <c r="C132" s="4"/>
      <c r="D132" s="4"/>
      <c r="E132" s="4"/>
      <c r="F132" s="4"/>
      <c r="G132" s="4"/>
      <c r="H132" s="4"/>
      <c r="I132" s="4"/>
      <c r="J132" s="4"/>
      <c r="K132" s="4"/>
      <c r="L132" s="4"/>
      <c r="M132" s="4"/>
      <c r="N132" s="4"/>
      <c r="O132" s="4"/>
      <c r="P132" s="50"/>
      <c r="Q132" s="4"/>
      <c r="R132" s="5"/>
    </row>
    <row r="133" spans="1:19" ht="15.6" x14ac:dyDescent="0.3">
      <c r="A133" s="6"/>
      <c r="B133" s="21"/>
      <c r="C133" s="8"/>
      <c r="D133" s="8"/>
      <c r="E133" s="8"/>
      <c r="F133" s="8"/>
      <c r="G133" s="8"/>
      <c r="H133" s="8"/>
      <c r="I133" s="8"/>
      <c r="J133" s="8"/>
      <c r="K133" s="8"/>
      <c r="L133" s="8"/>
      <c r="M133" s="8"/>
      <c r="N133" s="8"/>
      <c r="O133" s="8"/>
      <c r="P133" s="52"/>
      <c r="Q133" s="8"/>
      <c r="R133" s="5"/>
    </row>
    <row r="134" spans="1:19" ht="15.6" x14ac:dyDescent="0.3">
      <c r="A134" s="6"/>
      <c r="B134" s="119" t="s">
        <v>50</v>
      </c>
      <c r="C134" s="8"/>
      <c r="D134" s="8"/>
      <c r="E134" s="8"/>
      <c r="F134" s="8"/>
      <c r="G134" s="8"/>
      <c r="H134" s="8"/>
      <c r="I134" s="8"/>
      <c r="J134" s="8"/>
      <c r="K134" s="8"/>
      <c r="L134" s="8"/>
      <c r="M134" s="8"/>
      <c r="N134" s="8"/>
      <c r="O134" s="8"/>
      <c r="P134" s="52"/>
      <c r="Q134" s="8"/>
      <c r="R134" s="5"/>
    </row>
    <row r="135" spans="1:19" ht="15.6" x14ac:dyDescent="0.3">
      <c r="A135" s="24"/>
      <c r="B135" s="25" t="s">
        <v>51</v>
      </c>
      <c r="C135" s="25"/>
      <c r="D135" s="25"/>
      <c r="E135" s="25"/>
      <c r="F135" s="25"/>
      <c r="G135" s="25"/>
      <c r="H135" s="25"/>
      <c r="I135" s="25"/>
      <c r="J135" s="25"/>
      <c r="K135" s="25"/>
      <c r="L135" s="25"/>
      <c r="M135" s="25"/>
      <c r="N135" s="25"/>
      <c r="O135" s="25"/>
      <c r="P135" s="53">
        <f>+P36*0.022</f>
        <v>19815.399999999998</v>
      </c>
      <c r="Q135" s="25"/>
      <c r="R135" s="5"/>
    </row>
    <row r="136" spans="1:19" ht="15.6" x14ac:dyDescent="0.3">
      <c r="A136" s="24"/>
      <c r="B136" s="25" t="s">
        <v>52</v>
      </c>
      <c r="C136" s="25"/>
      <c r="D136" s="25"/>
      <c r="E136" s="25"/>
      <c r="F136" s="25"/>
      <c r="G136" s="25"/>
      <c r="H136" s="25"/>
      <c r="I136" s="25"/>
      <c r="J136" s="25"/>
      <c r="K136" s="25"/>
      <c r="L136" s="25"/>
      <c r="M136" s="25"/>
      <c r="N136" s="25"/>
      <c r="O136" s="25"/>
      <c r="P136" s="53">
        <v>19815</v>
      </c>
      <c r="Q136" s="25"/>
      <c r="R136" s="5"/>
    </row>
    <row r="137" spans="1:19" ht="15.6" x14ac:dyDescent="0.3">
      <c r="A137" s="24"/>
      <c r="B137" s="25" t="s">
        <v>161</v>
      </c>
      <c r="C137" s="25"/>
      <c r="D137" s="25"/>
      <c r="E137" s="25"/>
      <c r="F137" s="25"/>
      <c r="G137" s="25"/>
      <c r="H137" s="25"/>
      <c r="I137" s="25"/>
      <c r="J137" s="25"/>
      <c r="K137" s="25"/>
      <c r="L137" s="25"/>
      <c r="M137" s="25"/>
      <c r="N137" s="25"/>
      <c r="O137" s="25"/>
      <c r="P137" s="53">
        <v>0</v>
      </c>
      <c r="Q137" s="25"/>
      <c r="R137" s="5"/>
    </row>
    <row r="138" spans="1:19" ht="15.6" x14ac:dyDescent="0.3">
      <c r="A138" s="24"/>
      <c r="B138" s="25" t="s">
        <v>144</v>
      </c>
      <c r="C138" s="25"/>
      <c r="D138" s="25"/>
      <c r="E138" s="25"/>
      <c r="F138" s="25"/>
      <c r="G138" s="25"/>
      <c r="H138" s="25"/>
      <c r="I138" s="25"/>
      <c r="J138" s="25"/>
      <c r="K138" s="25"/>
      <c r="L138" s="25"/>
      <c r="M138" s="25"/>
      <c r="N138" s="25"/>
      <c r="O138" s="25"/>
      <c r="P138" s="53">
        <v>0</v>
      </c>
      <c r="Q138" s="25"/>
      <c r="R138" s="5"/>
    </row>
    <row r="139" spans="1:19" ht="15.6" x14ac:dyDescent="0.3">
      <c r="A139" s="24"/>
      <c r="B139" s="25" t="s">
        <v>145</v>
      </c>
      <c r="C139" s="25"/>
      <c r="D139" s="25"/>
      <c r="E139" s="25"/>
      <c r="F139" s="25"/>
      <c r="G139" s="25"/>
      <c r="H139" s="25"/>
      <c r="I139" s="25"/>
      <c r="J139" s="25"/>
      <c r="K139" s="25"/>
      <c r="L139" s="25"/>
      <c r="M139" s="25"/>
      <c r="N139" s="25"/>
      <c r="O139" s="25"/>
      <c r="P139" s="53">
        <v>0</v>
      </c>
      <c r="Q139" s="25"/>
      <c r="R139" s="5"/>
    </row>
    <row r="140" spans="1:19" ht="15.6" x14ac:dyDescent="0.3">
      <c r="A140" s="24"/>
      <c r="B140" s="25" t="s">
        <v>53</v>
      </c>
      <c r="C140" s="25"/>
      <c r="D140" s="25"/>
      <c r="E140" s="25"/>
      <c r="F140" s="25"/>
      <c r="G140" s="25"/>
      <c r="H140" s="25"/>
      <c r="I140" s="25"/>
      <c r="J140" s="25"/>
      <c r="K140" s="25"/>
      <c r="L140" s="25"/>
      <c r="M140" s="25"/>
      <c r="N140" s="25"/>
      <c r="O140" s="25"/>
      <c r="P140" s="53">
        <v>0</v>
      </c>
      <c r="Q140" s="25"/>
      <c r="R140" s="5"/>
    </row>
    <row r="141" spans="1:19" ht="15.6" x14ac:dyDescent="0.3">
      <c r="A141" s="24"/>
      <c r="B141" s="25" t="s">
        <v>153</v>
      </c>
      <c r="C141" s="25"/>
      <c r="D141" s="25"/>
      <c r="E141" s="25"/>
      <c r="F141" s="25"/>
      <c r="G141" s="25"/>
      <c r="H141" s="25"/>
      <c r="I141" s="25"/>
      <c r="J141" s="25"/>
      <c r="K141" s="25"/>
      <c r="L141" s="25"/>
      <c r="M141" s="25"/>
      <c r="N141" s="25"/>
      <c r="O141" s="25"/>
      <c r="P141" s="53">
        <v>0</v>
      </c>
      <c r="Q141" s="25"/>
      <c r="R141" s="5"/>
    </row>
    <row r="142" spans="1:19" ht="15.6" x14ac:dyDescent="0.3">
      <c r="A142" s="24"/>
      <c r="B142" s="25" t="s">
        <v>202</v>
      </c>
      <c r="C142" s="25"/>
      <c r="D142" s="25"/>
      <c r="E142" s="25"/>
      <c r="F142" s="25"/>
      <c r="G142" s="25"/>
      <c r="H142" s="25"/>
      <c r="I142" s="25"/>
      <c r="J142" s="25"/>
      <c r="K142" s="25"/>
      <c r="L142" s="25"/>
      <c r="M142" s="25"/>
      <c r="N142" s="25"/>
      <c r="O142" s="25"/>
      <c r="P142" s="53">
        <v>0</v>
      </c>
      <c r="Q142" s="25"/>
      <c r="R142" s="5"/>
      <c r="S142" s="109"/>
    </row>
    <row r="143" spans="1:19" ht="15.6" x14ac:dyDescent="0.3">
      <c r="A143" s="24"/>
      <c r="B143" s="25" t="s">
        <v>54</v>
      </c>
      <c r="C143" s="25"/>
      <c r="D143" s="25"/>
      <c r="E143" s="25"/>
      <c r="F143" s="25"/>
      <c r="G143" s="25"/>
      <c r="H143" s="25"/>
      <c r="I143" s="25"/>
      <c r="J143" s="25"/>
      <c r="K143" s="25"/>
      <c r="L143" s="25"/>
      <c r="M143" s="25"/>
      <c r="N143" s="25"/>
      <c r="O143" s="25"/>
      <c r="P143" s="53">
        <f>SUM(P136:P142)</f>
        <v>19815</v>
      </c>
      <c r="Q143" s="25"/>
      <c r="R143" s="5"/>
    </row>
    <row r="144" spans="1:19" ht="15.6" x14ac:dyDescent="0.3">
      <c r="A144" s="24"/>
      <c r="B144" s="25"/>
      <c r="C144" s="25"/>
      <c r="D144" s="25"/>
      <c r="E144" s="25"/>
      <c r="F144" s="25"/>
      <c r="G144" s="25"/>
      <c r="H144" s="25"/>
      <c r="I144" s="25"/>
      <c r="J144" s="25"/>
      <c r="K144" s="25"/>
      <c r="L144" s="25"/>
      <c r="M144" s="25"/>
      <c r="N144" s="25"/>
      <c r="O144" s="25"/>
      <c r="P144" s="61"/>
      <c r="Q144" s="25"/>
      <c r="R144" s="5"/>
    </row>
    <row r="145" spans="1:18" ht="15.6" x14ac:dyDescent="0.3">
      <c r="A145" s="6"/>
      <c r="B145" s="119" t="s">
        <v>28</v>
      </c>
      <c r="C145" s="8"/>
      <c r="D145" s="8"/>
      <c r="E145" s="8"/>
      <c r="F145" s="8"/>
      <c r="G145" s="8"/>
      <c r="H145" s="8"/>
      <c r="I145" s="8"/>
      <c r="J145" s="8"/>
      <c r="K145" s="8"/>
      <c r="L145" s="8"/>
      <c r="M145" s="8"/>
      <c r="N145" s="8"/>
      <c r="O145" s="8"/>
      <c r="P145" s="52"/>
      <c r="Q145" s="8"/>
      <c r="R145" s="5"/>
    </row>
    <row r="146" spans="1:18" ht="15.6" x14ac:dyDescent="0.3">
      <c r="A146" s="24"/>
      <c r="B146" s="25" t="s">
        <v>55</v>
      </c>
      <c r="C146" s="25"/>
      <c r="D146" s="25"/>
      <c r="E146" s="25"/>
      <c r="F146" s="25"/>
      <c r="G146" s="25"/>
      <c r="H146" s="25"/>
      <c r="I146" s="25"/>
      <c r="J146" s="25"/>
      <c r="K146" s="25"/>
      <c r="L146" s="25"/>
      <c r="M146" s="25"/>
      <c r="N146" s="25"/>
      <c r="O146" s="25"/>
      <c r="P146" s="59" t="s">
        <v>137</v>
      </c>
      <c r="Q146" s="25"/>
      <c r="R146" s="5"/>
    </row>
    <row r="147" spans="1:18" ht="15.6" x14ac:dyDescent="0.3">
      <c r="A147" s="24"/>
      <c r="B147" s="25" t="s">
        <v>56</v>
      </c>
      <c r="C147" s="141"/>
      <c r="D147" s="141"/>
      <c r="E147" s="141"/>
      <c r="F147" s="141"/>
      <c r="G147" s="141"/>
      <c r="H147" s="141"/>
      <c r="I147" s="141"/>
      <c r="J147" s="141"/>
      <c r="K147" s="141"/>
      <c r="L147" s="141"/>
      <c r="M147" s="141"/>
      <c r="N147" s="141"/>
      <c r="O147" s="141"/>
      <c r="P147" s="59" t="s">
        <v>137</v>
      </c>
      <c r="Q147" s="25"/>
      <c r="R147" s="5"/>
    </row>
    <row r="148" spans="1:18" ht="15.6" x14ac:dyDescent="0.3">
      <c r="A148" s="24"/>
      <c r="B148" s="25" t="s">
        <v>57</v>
      </c>
      <c r="C148" s="25"/>
      <c r="D148" s="25"/>
      <c r="E148" s="25"/>
      <c r="F148" s="25"/>
      <c r="G148" s="25"/>
      <c r="H148" s="25"/>
      <c r="I148" s="25"/>
      <c r="J148" s="25"/>
      <c r="K148" s="25"/>
      <c r="L148" s="25"/>
      <c r="M148" s="25"/>
      <c r="N148" s="25"/>
      <c r="O148" s="25"/>
      <c r="P148" s="59" t="s">
        <v>137</v>
      </c>
      <c r="Q148" s="25"/>
      <c r="R148" s="5"/>
    </row>
    <row r="149" spans="1:18" ht="15.6" x14ac:dyDescent="0.3">
      <c r="A149" s="24"/>
      <c r="B149" s="25" t="s">
        <v>58</v>
      </c>
      <c r="C149" s="25"/>
      <c r="D149" s="25"/>
      <c r="E149" s="25"/>
      <c r="F149" s="25"/>
      <c r="G149" s="25"/>
      <c r="H149" s="25"/>
      <c r="I149" s="25"/>
      <c r="J149" s="25"/>
      <c r="K149" s="25"/>
      <c r="L149" s="25"/>
      <c r="M149" s="25"/>
      <c r="N149" s="25"/>
      <c r="O149" s="25"/>
      <c r="P149" s="59" t="s">
        <v>137</v>
      </c>
      <c r="Q149" s="25"/>
      <c r="R149" s="5"/>
    </row>
    <row r="150" spans="1:18" ht="15.6" x14ac:dyDescent="0.3">
      <c r="A150" s="24"/>
      <c r="B150" s="25"/>
      <c r="C150" s="25"/>
      <c r="D150" s="25"/>
      <c r="E150" s="25"/>
      <c r="F150" s="25"/>
      <c r="G150" s="25"/>
      <c r="H150" s="25"/>
      <c r="I150" s="25"/>
      <c r="J150" s="25"/>
      <c r="K150" s="25"/>
      <c r="L150" s="25"/>
      <c r="M150" s="25"/>
      <c r="N150" s="25"/>
      <c r="O150" s="25"/>
      <c r="P150" s="61"/>
      <c r="Q150" s="25"/>
      <c r="R150" s="5"/>
    </row>
    <row r="151" spans="1:18" ht="15.6" x14ac:dyDescent="0.3">
      <c r="A151" s="6"/>
      <c r="B151" s="119" t="s">
        <v>59</v>
      </c>
      <c r="C151" s="8"/>
      <c r="D151" s="8"/>
      <c r="E151" s="8"/>
      <c r="F151" s="8"/>
      <c r="G151" s="8"/>
      <c r="H151" s="8"/>
      <c r="I151" s="8"/>
      <c r="J151" s="8"/>
      <c r="K151" s="8"/>
      <c r="L151" s="8"/>
      <c r="M151" s="8"/>
      <c r="N151" s="8"/>
      <c r="O151" s="8"/>
      <c r="P151" s="63"/>
      <c r="Q151" s="8"/>
      <c r="R151" s="5"/>
    </row>
    <row r="152" spans="1:18" ht="15.6" x14ac:dyDescent="0.3">
      <c r="A152" s="24"/>
      <c r="B152" s="25" t="s">
        <v>60</v>
      </c>
      <c r="C152" s="25"/>
      <c r="D152" s="25"/>
      <c r="E152" s="25"/>
      <c r="F152" s="25"/>
      <c r="G152" s="25"/>
      <c r="H152" s="25"/>
      <c r="I152" s="25"/>
      <c r="J152" s="25"/>
      <c r="K152" s="25"/>
      <c r="L152" s="25"/>
      <c r="M152" s="25"/>
      <c r="N152" s="25"/>
      <c r="O152" s="25"/>
      <c r="P152" s="53">
        <v>0</v>
      </c>
      <c r="Q152" s="25"/>
      <c r="R152" s="5"/>
    </row>
    <row r="153" spans="1:18" ht="15.6" x14ac:dyDescent="0.3">
      <c r="A153" s="24"/>
      <c r="B153" s="25" t="s">
        <v>61</v>
      </c>
      <c r="C153" s="25"/>
      <c r="D153" s="25"/>
      <c r="E153" s="25"/>
      <c r="F153" s="25"/>
      <c r="G153" s="25"/>
      <c r="H153" s="25"/>
      <c r="I153" s="25"/>
      <c r="J153" s="25"/>
      <c r="K153" s="25"/>
      <c r="L153" s="25"/>
      <c r="M153" s="25"/>
      <c r="N153" s="25"/>
      <c r="O153" s="25"/>
      <c r="P153" s="53">
        <f>-P113</f>
        <v>134</v>
      </c>
      <c r="Q153" s="25"/>
      <c r="R153" s="5"/>
    </row>
    <row r="154" spans="1:18" ht="15.6" x14ac:dyDescent="0.3">
      <c r="A154" s="24"/>
      <c r="B154" s="25" t="s">
        <v>62</v>
      </c>
      <c r="C154" s="25"/>
      <c r="D154" s="25"/>
      <c r="E154" s="25"/>
      <c r="F154" s="25"/>
      <c r="G154" s="25"/>
      <c r="H154" s="25"/>
      <c r="I154" s="25"/>
      <c r="J154" s="25"/>
      <c r="K154" s="25"/>
      <c r="L154" s="25"/>
      <c r="M154" s="25"/>
      <c r="N154" s="25"/>
      <c r="O154" s="25"/>
      <c r="P154" s="53">
        <f>P153+P152</f>
        <v>134</v>
      </c>
      <c r="Q154" s="25"/>
      <c r="R154" s="5"/>
    </row>
    <row r="155" spans="1:18" ht="15.6" x14ac:dyDescent="0.3">
      <c r="A155" s="24"/>
      <c r="B155" s="403" t="s">
        <v>297</v>
      </c>
      <c r="C155" s="25"/>
      <c r="D155" s="25"/>
      <c r="E155" s="25"/>
      <c r="F155" s="25"/>
      <c r="G155" s="25"/>
      <c r="H155" s="25"/>
      <c r="I155" s="25"/>
      <c r="J155" s="25"/>
      <c r="K155" s="25"/>
      <c r="L155" s="25"/>
      <c r="M155" s="25"/>
      <c r="N155" s="25"/>
      <c r="O155" s="25"/>
      <c r="P155" s="53">
        <f>P113</f>
        <v>-134</v>
      </c>
      <c r="Q155" s="25"/>
      <c r="R155" s="5"/>
    </row>
    <row r="156" spans="1:18" ht="15.6" x14ac:dyDescent="0.3">
      <c r="A156" s="24"/>
      <c r="B156" s="25" t="s">
        <v>63</v>
      </c>
      <c r="C156" s="25"/>
      <c r="D156" s="25"/>
      <c r="E156" s="25"/>
      <c r="F156" s="25"/>
      <c r="G156" s="25"/>
      <c r="H156" s="25"/>
      <c r="I156" s="25"/>
      <c r="J156" s="25"/>
      <c r="K156" s="25"/>
      <c r="L156" s="25"/>
      <c r="M156" s="25"/>
      <c r="N156" s="25"/>
      <c r="O156" s="25"/>
      <c r="P156" s="53">
        <f>P154+P155</f>
        <v>0</v>
      </c>
      <c r="Q156" s="25"/>
      <c r="R156" s="5"/>
    </row>
    <row r="157" spans="1:18" ht="16.2" thickBot="1" x14ac:dyDescent="0.35">
      <c r="A157" s="24"/>
      <c r="B157" s="25"/>
      <c r="C157" s="25"/>
      <c r="D157" s="25"/>
      <c r="E157" s="25"/>
      <c r="F157" s="25"/>
      <c r="G157" s="25"/>
      <c r="H157" s="25"/>
      <c r="I157" s="25"/>
      <c r="J157" s="25"/>
      <c r="K157" s="25"/>
      <c r="L157" s="25"/>
      <c r="M157" s="25"/>
      <c r="N157" s="25"/>
      <c r="O157" s="25"/>
      <c r="P157" s="61"/>
      <c r="Q157" s="25"/>
      <c r="R157" s="5"/>
    </row>
    <row r="158" spans="1:18" ht="15.6" x14ac:dyDescent="0.3">
      <c r="A158" s="2"/>
      <c r="B158" s="4"/>
      <c r="C158" s="4"/>
      <c r="D158" s="4"/>
      <c r="E158" s="4"/>
      <c r="F158" s="4"/>
      <c r="G158" s="4"/>
      <c r="H158" s="4"/>
      <c r="I158" s="4"/>
      <c r="J158" s="4"/>
      <c r="K158" s="4"/>
      <c r="L158" s="4"/>
      <c r="M158" s="4"/>
      <c r="N158" s="4"/>
      <c r="O158" s="4"/>
      <c r="P158" s="50"/>
      <c r="Q158" s="4"/>
      <c r="R158" s="5"/>
    </row>
    <row r="159" spans="1:18" ht="15.6" x14ac:dyDescent="0.3">
      <c r="A159" s="6"/>
      <c r="B159" s="119" t="s">
        <v>64</v>
      </c>
      <c r="C159" s="8"/>
      <c r="D159" s="8"/>
      <c r="E159" s="8"/>
      <c r="F159" s="8"/>
      <c r="G159" s="8"/>
      <c r="H159" s="8"/>
      <c r="I159" s="8"/>
      <c r="J159" s="8"/>
      <c r="K159" s="8"/>
      <c r="L159" s="8"/>
      <c r="M159" s="8"/>
      <c r="N159" s="8"/>
      <c r="O159" s="8"/>
      <c r="P159" s="52"/>
      <c r="Q159" s="8"/>
      <c r="R159" s="5"/>
    </row>
    <row r="160" spans="1:18" ht="15.6" x14ac:dyDescent="0.3">
      <c r="A160" s="6"/>
      <c r="B160" s="21"/>
      <c r="C160" s="8"/>
      <c r="D160" s="8"/>
      <c r="E160" s="8"/>
      <c r="F160" s="8"/>
      <c r="G160" s="8"/>
      <c r="H160" s="8"/>
      <c r="I160" s="8"/>
      <c r="J160" s="8"/>
      <c r="K160" s="8"/>
      <c r="L160" s="8"/>
      <c r="M160" s="8"/>
      <c r="N160" s="8"/>
      <c r="O160" s="8"/>
      <c r="P160" s="52"/>
      <c r="Q160" s="8"/>
      <c r="R160" s="5"/>
    </row>
    <row r="161" spans="1:18" ht="15.6" x14ac:dyDescent="0.3">
      <c r="A161" s="24"/>
      <c r="B161" s="25" t="s">
        <v>221</v>
      </c>
      <c r="C161" s="25"/>
      <c r="D161" s="25"/>
      <c r="E161" s="25"/>
      <c r="F161" s="25"/>
      <c r="G161" s="25"/>
      <c r="H161" s="25"/>
      <c r="I161" s="25"/>
      <c r="J161" s="25"/>
      <c r="K161" s="25"/>
      <c r="L161" s="25"/>
      <c r="M161" s="25"/>
      <c r="N161" s="25"/>
      <c r="O161" s="25"/>
      <c r="P161" s="53">
        <f>P73</f>
        <v>558437</v>
      </c>
      <c r="Q161" s="25"/>
      <c r="R161" s="5"/>
    </row>
    <row r="162" spans="1:18" ht="15.6" x14ac:dyDescent="0.3">
      <c r="A162" s="24"/>
      <c r="B162" s="25" t="s">
        <v>65</v>
      </c>
      <c r="C162" s="25"/>
      <c r="D162" s="25"/>
      <c r="E162" s="25"/>
      <c r="F162" s="25"/>
      <c r="G162" s="25"/>
      <c r="H162" s="25"/>
      <c r="I162" s="25"/>
      <c r="J162" s="25"/>
      <c r="K162" s="25"/>
      <c r="L162" s="25"/>
      <c r="M162" s="25"/>
      <c r="N162" s="25"/>
      <c r="O162" s="25"/>
      <c r="P162" s="53">
        <f>P86</f>
        <v>558437</v>
      </c>
      <c r="Q162" s="25"/>
      <c r="R162" s="5"/>
    </row>
    <row r="163" spans="1:18" ht="16.2" thickBot="1" x14ac:dyDescent="0.35">
      <c r="A163" s="24"/>
      <c r="B163" s="25"/>
      <c r="C163" s="25"/>
      <c r="D163" s="25"/>
      <c r="E163" s="25"/>
      <c r="F163" s="25"/>
      <c r="G163" s="25"/>
      <c r="H163" s="25"/>
      <c r="I163" s="25"/>
      <c r="J163" s="25"/>
      <c r="K163" s="25"/>
      <c r="L163" s="25"/>
      <c r="M163" s="25"/>
      <c r="N163" s="25"/>
      <c r="O163" s="25"/>
      <c r="P163" s="61"/>
      <c r="Q163" s="25"/>
      <c r="R163" s="5"/>
    </row>
    <row r="164" spans="1:18" ht="15.6" x14ac:dyDescent="0.3">
      <c r="A164" s="2"/>
      <c r="B164" s="4"/>
      <c r="C164" s="4"/>
      <c r="D164" s="4"/>
      <c r="E164" s="4"/>
      <c r="F164" s="4"/>
      <c r="G164" s="4"/>
      <c r="H164" s="4"/>
      <c r="I164" s="4"/>
      <c r="J164" s="4"/>
      <c r="K164" s="4"/>
      <c r="L164" s="4"/>
      <c r="M164" s="4"/>
      <c r="N164" s="4"/>
      <c r="O164" s="4"/>
      <c r="P164" s="50"/>
      <c r="Q164" s="4"/>
      <c r="R164" s="5"/>
    </row>
    <row r="165" spans="1:18" ht="15.6" x14ac:dyDescent="0.3">
      <c r="A165" s="6"/>
      <c r="B165" s="119" t="s">
        <v>66</v>
      </c>
      <c r="C165" s="117"/>
      <c r="D165" s="117"/>
      <c r="E165" s="117"/>
      <c r="F165" s="120"/>
      <c r="G165" s="120"/>
      <c r="H165" s="120"/>
      <c r="I165" s="120"/>
      <c r="J165" s="120"/>
      <c r="K165" s="120"/>
      <c r="L165" s="120"/>
      <c r="M165" s="120" t="s">
        <v>112</v>
      </c>
      <c r="N165" s="120" t="s">
        <v>120</v>
      </c>
      <c r="O165" s="111"/>
      <c r="P165" s="121" t="s">
        <v>129</v>
      </c>
      <c r="Q165" s="10"/>
      <c r="R165" s="5"/>
    </row>
    <row r="166" spans="1:18" ht="15.6" x14ac:dyDescent="0.3">
      <c r="A166" s="24"/>
      <c r="B166" s="25" t="s">
        <v>67</v>
      </c>
      <c r="C166" s="25"/>
      <c r="D166" s="25"/>
      <c r="E166" s="25"/>
      <c r="F166" s="25"/>
      <c r="G166" s="25"/>
      <c r="H166" s="25"/>
      <c r="I166" s="25"/>
      <c r="J166" s="25"/>
      <c r="K166" s="25"/>
      <c r="L166" s="25"/>
      <c r="M166" s="53">
        <v>144000</v>
      </c>
      <c r="N166" s="40">
        <v>0</v>
      </c>
      <c r="O166" s="25"/>
      <c r="P166" s="53"/>
      <c r="Q166" s="25"/>
      <c r="R166" s="5"/>
    </row>
    <row r="167" spans="1:18" ht="15.6" x14ac:dyDescent="0.3">
      <c r="A167" s="24"/>
      <c r="B167" s="25" t="s">
        <v>68</v>
      </c>
      <c r="C167" s="25"/>
      <c r="D167" s="25"/>
      <c r="E167" s="25"/>
      <c r="F167" s="25"/>
      <c r="G167" s="25"/>
      <c r="H167" s="25"/>
      <c r="I167" s="25"/>
      <c r="J167" s="25"/>
      <c r="K167" s="25"/>
      <c r="L167" s="25"/>
      <c r="M167" s="53">
        <f>+'April 07'!M169</f>
        <v>64282</v>
      </c>
      <c r="N167" s="53">
        <f>+'April 07'!N169</f>
        <v>9320</v>
      </c>
      <c r="O167" s="25"/>
      <c r="P167" s="53">
        <f>M167+N167</f>
        <v>73602</v>
      </c>
      <c r="Q167" s="25"/>
      <c r="R167" s="5"/>
    </row>
    <row r="168" spans="1:18" ht="15.6" x14ac:dyDescent="0.3">
      <c r="A168" s="24"/>
      <c r="B168" s="25" t="s">
        <v>69</v>
      </c>
      <c r="C168" s="25"/>
      <c r="D168" s="25"/>
      <c r="E168" s="25"/>
      <c r="F168" s="25"/>
      <c r="G168" s="25"/>
      <c r="H168" s="25"/>
      <c r="I168" s="25"/>
      <c r="J168" s="25"/>
      <c r="K168" s="25"/>
      <c r="L168" s="25"/>
      <c r="M168" s="34">
        <v>4741</v>
      </c>
      <c r="N168" s="34">
        <f>-N99-N120</f>
        <v>250</v>
      </c>
      <c r="O168" s="25"/>
      <c r="P168" s="53">
        <f>M168+N168</f>
        <v>4991</v>
      </c>
      <c r="Q168" s="25"/>
      <c r="R168" s="5"/>
    </row>
    <row r="169" spans="1:18" ht="15.6" x14ac:dyDescent="0.3">
      <c r="A169" s="24"/>
      <c r="B169" s="25" t="s">
        <v>70</v>
      </c>
      <c r="C169" s="25"/>
      <c r="D169" s="25"/>
      <c r="E169" s="25"/>
      <c r="F169" s="25"/>
      <c r="G169" s="25"/>
      <c r="H169" s="25"/>
      <c r="I169" s="25"/>
      <c r="J169" s="25"/>
      <c r="K169" s="25"/>
      <c r="L169" s="25"/>
      <c r="M169" s="53">
        <f>M167+M168</f>
        <v>69023</v>
      </c>
      <c r="N169" s="53">
        <f>N168+N167</f>
        <v>9570</v>
      </c>
      <c r="O169" s="25"/>
      <c r="P169" s="53">
        <f>M169+N169</f>
        <v>78593</v>
      </c>
      <c r="Q169" s="25"/>
      <c r="R169" s="5"/>
    </row>
    <row r="170" spans="1:18" ht="15.6" x14ac:dyDescent="0.3">
      <c r="A170" s="24"/>
      <c r="B170" s="25" t="s">
        <v>71</v>
      </c>
      <c r="C170" s="25"/>
      <c r="D170" s="25"/>
      <c r="E170" s="25"/>
      <c r="F170" s="25"/>
      <c r="G170" s="25"/>
      <c r="H170" s="25"/>
      <c r="I170" s="25"/>
      <c r="J170" s="25"/>
      <c r="K170" s="25"/>
      <c r="L170" s="25"/>
      <c r="M170" s="53">
        <f>M166-M169-N169</f>
        <v>65407</v>
      </c>
      <c r="N170" s="40"/>
      <c r="O170" s="25"/>
      <c r="P170" s="53"/>
      <c r="Q170" s="25"/>
      <c r="R170" s="5"/>
    </row>
    <row r="171" spans="1:18" ht="16.2" thickBot="1" x14ac:dyDescent="0.35">
      <c r="A171" s="24"/>
      <c r="B171" s="25"/>
      <c r="C171" s="25"/>
      <c r="D171" s="25"/>
      <c r="E171" s="25"/>
      <c r="F171" s="25"/>
      <c r="G171" s="25"/>
      <c r="H171" s="25"/>
      <c r="I171" s="25"/>
      <c r="J171" s="25"/>
      <c r="K171" s="25"/>
      <c r="L171" s="25"/>
      <c r="M171" s="25"/>
      <c r="N171" s="25"/>
      <c r="O171" s="25"/>
      <c r="P171" s="61"/>
      <c r="Q171" s="25"/>
      <c r="R171" s="5"/>
    </row>
    <row r="172" spans="1:18" ht="15.6" x14ac:dyDescent="0.3">
      <c r="A172" s="2"/>
      <c r="B172" s="4"/>
      <c r="C172" s="4"/>
      <c r="D172" s="4"/>
      <c r="E172" s="4"/>
      <c r="F172" s="4"/>
      <c r="G172" s="4"/>
      <c r="H172" s="4"/>
      <c r="I172" s="4"/>
      <c r="J172" s="4"/>
      <c r="K172" s="4"/>
      <c r="L172" s="4"/>
      <c r="M172" s="4"/>
      <c r="N172" s="4"/>
      <c r="O172" s="4"/>
      <c r="P172" s="50"/>
      <c r="Q172" s="4"/>
      <c r="R172" s="5"/>
    </row>
    <row r="173" spans="1:18" ht="15.6" x14ac:dyDescent="0.3">
      <c r="A173" s="6"/>
      <c r="B173" s="119" t="s">
        <v>72</v>
      </c>
      <c r="C173" s="8"/>
      <c r="D173" s="8"/>
      <c r="E173" s="8"/>
      <c r="F173" s="8"/>
      <c r="G173" s="8"/>
      <c r="H173" s="8"/>
      <c r="I173" s="8"/>
      <c r="J173" s="8"/>
      <c r="K173" s="8"/>
      <c r="L173" s="8"/>
      <c r="M173" s="8"/>
      <c r="N173" s="8"/>
      <c r="O173" s="8"/>
      <c r="P173" s="65"/>
      <c r="Q173" s="8"/>
      <c r="R173" s="5"/>
    </row>
    <row r="174" spans="1:18" ht="15.6" x14ac:dyDescent="0.3">
      <c r="A174" s="24"/>
      <c r="B174" s="25" t="s">
        <v>73</v>
      </c>
      <c r="C174" s="25"/>
      <c r="D174" s="25"/>
      <c r="E174" s="25"/>
      <c r="F174" s="25"/>
      <c r="G174" s="25"/>
      <c r="H174" s="25"/>
      <c r="I174" s="25"/>
      <c r="J174" s="25"/>
      <c r="K174" s="25"/>
      <c r="L174" s="25"/>
      <c r="M174" s="25"/>
      <c r="N174" s="25"/>
      <c r="O174" s="25"/>
      <c r="P174" s="66">
        <f>(P101+P103+P104+P105+P106)/-(P107+P108+P109)</f>
        <v>1.3619984666496294</v>
      </c>
      <c r="Q174" s="25" t="s">
        <v>130</v>
      </c>
      <c r="R174" s="5"/>
    </row>
    <row r="175" spans="1:18" ht="15.6" x14ac:dyDescent="0.3">
      <c r="A175" s="24"/>
      <c r="B175" s="25" t="s">
        <v>74</v>
      </c>
      <c r="C175" s="25"/>
      <c r="D175" s="25"/>
      <c r="E175" s="25"/>
      <c r="F175" s="25"/>
      <c r="G175" s="25"/>
      <c r="H175" s="25"/>
      <c r="I175" s="25"/>
      <c r="J175" s="25"/>
      <c r="K175" s="25"/>
      <c r="L175" s="25"/>
      <c r="M175" s="25"/>
      <c r="N175" s="25"/>
      <c r="O175" s="25"/>
      <c r="P175" s="66">
        <v>1.39</v>
      </c>
      <c r="Q175" s="25" t="s">
        <v>130</v>
      </c>
      <c r="R175" s="5"/>
    </row>
    <row r="176" spans="1:18" ht="15.6" x14ac:dyDescent="0.3">
      <c r="A176" s="24"/>
      <c r="B176" s="25" t="s">
        <v>75</v>
      </c>
      <c r="C176" s="25"/>
      <c r="D176" s="25"/>
      <c r="E176" s="25"/>
      <c r="F176" s="25"/>
      <c r="G176" s="25"/>
      <c r="H176" s="25"/>
      <c r="I176" s="25"/>
      <c r="J176" s="25"/>
      <c r="K176" s="25"/>
      <c r="L176" s="25"/>
      <c r="M176" s="25"/>
      <c r="N176" s="25"/>
      <c r="O176" s="25"/>
      <c r="P176" s="59">
        <f>(P101+P103+P104+P105+P106+P107+P108+P109)/-(P110+P111)</f>
        <v>1.8662714097496707</v>
      </c>
      <c r="Q176" s="25" t="s">
        <v>130</v>
      </c>
      <c r="R176" s="5"/>
    </row>
    <row r="177" spans="1:18" ht="15.6" x14ac:dyDescent="0.3">
      <c r="A177" s="24"/>
      <c r="B177" s="25" t="s">
        <v>76</v>
      </c>
      <c r="C177" s="25"/>
      <c r="D177" s="25"/>
      <c r="E177" s="25"/>
      <c r="F177" s="25"/>
      <c r="G177" s="25"/>
      <c r="H177" s="25"/>
      <c r="I177" s="25"/>
      <c r="J177" s="25"/>
      <c r="K177" s="25"/>
      <c r="L177" s="25"/>
      <c r="M177" s="25"/>
      <c r="N177" s="25"/>
      <c r="O177" s="25"/>
      <c r="P177" s="66">
        <v>2.58</v>
      </c>
      <c r="Q177" s="25" t="s">
        <v>130</v>
      </c>
      <c r="R177" s="5"/>
    </row>
    <row r="178" spans="1:18" ht="15.6" x14ac:dyDescent="0.3">
      <c r="A178" s="24"/>
      <c r="B178" s="25"/>
      <c r="C178" s="25"/>
      <c r="D178" s="25"/>
      <c r="E178" s="25"/>
      <c r="F178" s="25"/>
      <c r="G178" s="25"/>
      <c r="H178" s="25"/>
      <c r="I178" s="25"/>
      <c r="J178" s="25"/>
      <c r="K178" s="25"/>
      <c r="L178" s="25"/>
      <c r="M178" s="25"/>
      <c r="N178" s="25"/>
      <c r="O178" s="25"/>
      <c r="P178" s="25"/>
      <c r="Q178" s="25"/>
      <c r="R178" s="5"/>
    </row>
    <row r="179" spans="1:18" ht="15.6" x14ac:dyDescent="0.3">
      <c r="A179" s="24"/>
      <c r="B179" s="25"/>
      <c r="C179" s="25"/>
      <c r="D179" s="25"/>
      <c r="E179" s="25"/>
      <c r="F179" s="25"/>
      <c r="G179" s="25"/>
      <c r="H179" s="25"/>
      <c r="I179" s="25"/>
      <c r="J179" s="25"/>
      <c r="K179" s="25"/>
      <c r="L179" s="25"/>
      <c r="M179" s="25"/>
      <c r="N179" s="25"/>
      <c r="O179" s="25"/>
      <c r="P179" s="25"/>
      <c r="Q179" s="25"/>
      <c r="R179" s="5"/>
    </row>
    <row r="180" spans="1:18" ht="15.6" x14ac:dyDescent="0.3">
      <c r="A180" s="6"/>
      <c r="B180" s="8"/>
      <c r="C180" s="8"/>
      <c r="D180" s="8"/>
      <c r="E180" s="8"/>
      <c r="F180" s="8"/>
      <c r="G180" s="8"/>
      <c r="H180" s="8"/>
      <c r="I180" s="8"/>
      <c r="J180" s="8"/>
      <c r="K180" s="8"/>
      <c r="L180" s="8"/>
      <c r="M180" s="8"/>
      <c r="N180" s="8"/>
      <c r="O180" s="8"/>
      <c r="P180" s="8"/>
      <c r="Q180" s="8"/>
      <c r="R180" s="5"/>
    </row>
    <row r="181" spans="1:18" ht="18" thickBot="1" x14ac:dyDescent="0.35">
      <c r="A181" s="101"/>
      <c r="B181" s="102" t="str">
        <f>B131</f>
        <v>PM7 INVESTOR REPORT QUARTER ENDING JULY 2007</v>
      </c>
      <c r="C181" s="143"/>
      <c r="D181" s="143"/>
      <c r="E181" s="143"/>
      <c r="F181" s="143"/>
      <c r="G181" s="143"/>
      <c r="H181" s="143"/>
      <c r="I181" s="143"/>
      <c r="J181" s="143"/>
      <c r="K181" s="143"/>
      <c r="L181" s="143"/>
      <c r="M181" s="143"/>
      <c r="N181" s="143"/>
      <c r="O181" s="143"/>
      <c r="P181" s="143"/>
      <c r="Q181" s="144"/>
      <c r="R181" s="5"/>
    </row>
    <row r="182" spans="1:18" ht="15.6" x14ac:dyDescent="0.3">
      <c r="A182" s="67"/>
      <c r="B182" s="60" t="s">
        <v>77</v>
      </c>
      <c r="C182" s="68"/>
      <c r="D182" s="68"/>
      <c r="E182" s="69"/>
      <c r="F182" s="69"/>
      <c r="G182" s="69"/>
      <c r="H182" s="69"/>
      <c r="I182" s="69"/>
      <c r="J182" s="69"/>
      <c r="K182" s="69"/>
      <c r="L182" s="69"/>
      <c r="M182" s="69"/>
      <c r="N182" s="70">
        <f>H89</f>
        <v>39294</v>
      </c>
      <c r="O182" s="4"/>
      <c r="P182" s="4"/>
      <c r="Q182" s="4"/>
      <c r="R182" s="5"/>
    </row>
    <row r="183" spans="1:18" ht="15.6" x14ac:dyDescent="0.3">
      <c r="A183" s="71"/>
      <c r="B183" s="72"/>
      <c r="C183" s="73"/>
      <c r="D183" s="73"/>
      <c r="E183" s="74"/>
      <c r="F183" s="74"/>
      <c r="G183" s="74"/>
      <c r="H183" s="74"/>
      <c r="I183" s="74"/>
      <c r="J183" s="74"/>
      <c r="K183" s="74"/>
      <c r="L183" s="74"/>
      <c r="M183" s="74"/>
      <c r="N183" s="74"/>
      <c r="O183" s="8"/>
      <c r="P183" s="8"/>
      <c r="Q183" s="8"/>
      <c r="R183" s="5"/>
    </row>
    <row r="184" spans="1:18" ht="15.6" x14ac:dyDescent="0.3">
      <c r="A184" s="75"/>
      <c r="B184" s="76" t="s">
        <v>78</v>
      </c>
      <c r="C184" s="77"/>
      <c r="D184" s="77"/>
      <c r="E184" s="64"/>
      <c r="F184" s="64"/>
      <c r="G184" s="64"/>
      <c r="H184" s="64"/>
      <c r="I184" s="64"/>
      <c r="J184" s="64"/>
      <c r="K184" s="64"/>
      <c r="L184" s="64"/>
      <c r="M184" s="64"/>
      <c r="N184" s="78">
        <v>5.8069999999999997E-2</v>
      </c>
      <c r="O184" s="25"/>
      <c r="P184" s="25"/>
      <c r="Q184" s="25"/>
      <c r="R184" s="5"/>
    </row>
    <row r="185" spans="1:18" ht="15.6" x14ac:dyDescent="0.3">
      <c r="A185" s="75"/>
      <c r="B185" s="76" t="s">
        <v>219</v>
      </c>
      <c r="C185" s="77"/>
      <c r="D185" s="77"/>
      <c r="E185" s="64"/>
      <c r="F185" s="64"/>
      <c r="G185" s="64"/>
      <c r="H185" s="64"/>
      <c r="I185" s="64"/>
      <c r="J185" s="64"/>
      <c r="K185" s="64"/>
      <c r="L185" s="64"/>
      <c r="M185" s="64"/>
      <c r="N185" s="39">
        <v>5.1499999999999997E-2</v>
      </c>
      <c r="O185" s="25"/>
      <c r="P185" s="25"/>
      <c r="Q185" s="25"/>
      <c r="R185" s="5"/>
    </row>
    <row r="186" spans="1:18" ht="15.6" x14ac:dyDescent="0.3">
      <c r="A186" s="75"/>
      <c r="B186" s="76" t="s">
        <v>79</v>
      </c>
      <c r="C186" s="77"/>
      <c r="D186" s="77"/>
      <c r="E186" s="64"/>
      <c r="F186" s="64"/>
      <c r="G186" s="64"/>
      <c r="H186" s="64"/>
      <c r="I186" s="64"/>
      <c r="J186" s="64"/>
      <c r="K186" s="64"/>
      <c r="L186" s="64"/>
      <c r="M186" s="64"/>
      <c r="N186" s="78">
        <f>N184-N185</f>
        <v>6.5699999999999995E-3</v>
      </c>
      <c r="O186" s="25"/>
      <c r="P186" s="25"/>
      <c r="Q186" s="25"/>
      <c r="R186" s="5"/>
    </row>
    <row r="187" spans="1:18" ht="15.6" x14ac:dyDescent="0.3">
      <c r="A187" s="75"/>
      <c r="B187" s="76" t="s">
        <v>80</v>
      </c>
      <c r="C187" s="77"/>
      <c r="D187" s="77"/>
      <c r="E187" s="64"/>
      <c r="F187" s="64"/>
      <c r="G187" s="64"/>
      <c r="H187" s="64"/>
      <c r="I187" s="64"/>
      <c r="J187" s="64"/>
      <c r="K187" s="64"/>
      <c r="L187" s="64"/>
      <c r="M187" s="64"/>
      <c r="N187" s="78">
        <v>6.7839999999999998E-2</v>
      </c>
      <c r="O187" s="25"/>
      <c r="P187" s="25"/>
      <c r="Q187" s="25"/>
      <c r="R187" s="5"/>
    </row>
    <row r="188" spans="1:18" ht="15.6" x14ac:dyDescent="0.3">
      <c r="A188" s="75"/>
      <c r="B188" s="76" t="s">
        <v>241</v>
      </c>
      <c r="C188" s="77"/>
      <c r="D188" s="77"/>
      <c r="E188" s="64"/>
      <c r="F188" s="64"/>
      <c r="G188" s="64"/>
      <c r="H188" s="64"/>
      <c r="I188" s="64"/>
      <c r="J188" s="64"/>
      <c r="K188" s="64"/>
      <c r="L188" s="64"/>
      <c r="M188" s="64"/>
      <c r="N188" s="78">
        <f>+P45</f>
        <v>6.123814826513567E-2</v>
      </c>
      <c r="O188" s="25"/>
      <c r="P188" s="25"/>
      <c r="Q188" s="25"/>
      <c r="R188" s="5"/>
    </row>
    <row r="189" spans="1:18" ht="15.6" x14ac:dyDescent="0.3">
      <c r="A189" s="75"/>
      <c r="B189" s="76" t="s">
        <v>81</v>
      </c>
      <c r="C189" s="77"/>
      <c r="D189" s="77"/>
      <c r="E189" s="64"/>
      <c r="F189" s="64"/>
      <c r="G189" s="64"/>
      <c r="H189" s="64"/>
      <c r="I189" s="64"/>
      <c r="J189" s="64"/>
      <c r="K189" s="64"/>
      <c r="L189" s="64"/>
      <c r="M189" s="64"/>
      <c r="N189" s="78">
        <f>N187-N188</f>
        <v>6.601851734864328E-3</v>
      </c>
      <c r="O189" s="25"/>
      <c r="P189" s="25"/>
      <c r="Q189" s="25"/>
      <c r="R189" s="5"/>
    </row>
    <row r="190" spans="1:18" ht="15.6" x14ac:dyDescent="0.3">
      <c r="A190" s="75"/>
      <c r="B190" s="76" t="s">
        <v>257</v>
      </c>
      <c r="C190" s="77"/>
      <c r="D190" s="77"/>
      <c r="E190" s="64"/>
      <c r="F190" s="64"/>
      <c r="G190" s="64"/>
      <c r="H190" s="64"/>
      <c r="I190" s="64"/>
      <c r="J190" s="64"/>
      <c r="K190" s="64"/>
      <c r="L190" s="64"/>
      <c r="M190" s="64"/>
      <c r="N190" s="78">
        <f>+P101/H73</f>
        <v>1.7955584337060796E-2</v>
      </c>
      <c r="O190" s="25"/>
      <c r="P190" s="25"/>
      <c r="Q190" s="25"/>
      <c r="R190" s="5"/>
    </row>
    <row r="191" spans="1:18" ht="15.6" x14ac:dyDescent="0.3">
      <c r="A191" s="75"/>
      <c r="B191" s="76" t="s">
        <v>170</v>
      </c>
      <c r="C191" s="77"/>
      <c r="D191" s="77"/>
      <c r="E191" s="64"/>
      <c r="F191" s="64"/>
      <c r="G191" s="64"/>
      <c r="H191" s="64"/>
      <c r="I191" s="64"/>
      <c r="J191" s="64"/>
      <c r="K191" s="64"/>
      <c r="L191" s="64"/>
      <c r="M191" s="64"/>
      <c r="N191" s="133">
        <v>49065</v>
      </c>
      <c r="O191" s="25"/>
      <c r="P191" s="25"/>
      <c r="Q191" s="25"/>
      <c r="R191" s="5"/>
    </row>
    <row r="192" spans="1:18" ht="15.6" x14ac:dyDescent="0.3">
      <c r="A192" s="75"/>
      <c r="B192" s="76" t="s">
        <v>171</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172</v>
      </c>
      <c r="C193" s="77"/>
      <c r="D193" s="77"/>
      <c r="E193" s="64"/>
      <c r="F193" s="64"/>
      <c r="G193" s="64"/>
      <c r="H193" s="64"/>
      <c r="I193" s="64"/>
      <c r="J193" s="64"/>
      <c r="K193" s="64"/>
      <c r="L193" s="64"/>
      <c r="M193" s="64"/>
      <c r="N193" s="133">
        <v>49065</v>
      </c>
      <c r="O193" s="25"/>
      <c r="P193" s="25"/>
      <c r="Q193" s="25"/>
      <c r="R193" s="5"/>
    </row>
    <row r="194" spans="1:18" ht="15.6" x14ac:dyDescent="0.3">
      <c r="A194" s="75"/>
      <c r="B194" s="76" t="s">
        <v>138</v>
      </c>
      <c r="C194" s="77"/>
      <c r="D194" s="77"/>
      <c r="E194" s="64"/>
      <c r="F194" s="64"/>
      <c r="G194" s="64"/>
      <c r="H194" s="64"/>
      <c r="I194" s="64"/>
      <c r="J194" s="64"/>
      <c r="K194" s="64"/>
      <c r="L194" s="64"/>
      <c r="M194" s="64"/>
      <c r="N194" s="133">
        <v>52352</v>
      </c>
      <c r="O194" s="25"/>
      <c r="P194" s="25"/>
      <c r="Q194" s="25"/>
      <c r="R194" s="5"/>
    </row>
    <row r="195" spans="1:18" ht="15.6" x14ac:dyDescent="0.3">
      <c r="A195" s="75"/>
      <c r="B195" s="76" t="s">
        <v>139</v>
      </c>
      <c r="C195" s="77"/>
      <c r="D195" s="77"/>
      <c r="E195" s="64"/>
      <c r="F195" s="64"/>
      <c r="G195" s="64"/>
      <c r="H195" s="64"/>
      <c r="I195" s="64"/>
      <c r="J195" s="64"/>
      <c r="K195" s="64"/>
      <c r="L195" s="64"/>
      <c r="M195" s="64"/>
      <c r="N195" s="133">
        <v>52352</v>
      </c>
      <c r="O195" s="25"/>
      <c r="P195" s="25"/>
      <c r="Q195" s="25"/>
      <c r="R195" s="5"/>
    </row>
    <row r="196" spans="1:18" ht="15.6" x14ac:dyDescent="0.3">
      <c r="A196" s="75"/>
      <c r="B196" s="76" t="s">
        <v>82</v>
      </c>
      <c r="C196" s="77"/>
      <c r="D196" s="77"/>
      <c r="E196" s="64"/>
      <c r="F196" s="64"/>
      <c r="G196" s="64"/>
      <c r="H196" s="64"/>
      <c r="I196" s="64"/>
      <c r="J196" s="64"/>
      <c r="K196" s="64"/>
      <c r="L196" s="64"/>
      <c r="M196" s="64"/>
      <c r="N196" s="137">
        <v>20.45</v>
      </c>
      <c r="O196" s="25" t="s">
        <v>125</v>
      </c>
      <c r="P196" s="25"/>
      <c r="Q196" s="25"/>
      <c r="R196" s="5"/>
    </row>
    <row r="197" spans="1:18" ht="15.6" x14ac:dyDescent="0.3">
      <c r="A197" s="75"/>
      <c r="B197" s="76" t="s">
        <v>83</v>
      </c>
      <c r="C197" s="77"/>
      <c r="D197" s="77"/>
      <c r="E197" s="64"/>
      <c r="F197" s="64"/>
      <c r="G197" s="64"/>
      <c r="H197" s="64"/>
      <c r="I197" s="64"/>
      <c r="J197" s="64"/>
      <c r="K197" s="64"/>
      <c r="L197" s="64"/>
      <c r="M197" s="64"/>
      <c r="N197" s="137">
        <v>18.559999999999999</v>
      </c>
      <c r="O197" s="25" t="s">
        <v>125</v>
      </c>
      <c r="P197" s="25"/>
      <c r="Q197" s="25"/>
      <c r="R197" s="5"/>
    </row>
    <row r="198" spans="1:18" ht="15.6" x14ac:dyDescent="0.3">
      <c r="A198" s="75"/>
      <c r="B198" s="76" t="s">
        <v>84</v>
      </c>
      <c r="C198" s="77"/>
      <c r="D198" s="77"/>
      <c r="E198" s="64"/>
      <c r="F198" s="64"/>
      <c r="G198" s="64"/>
      <c r="H198" s="64"/>
      <c r="I198" s="64"/>
      <c r="J198" s="64"/>
      <c r="K198" s="64"/>
      <c r="L198" s="64"/>
      <c r="M198" s="64"/>
      <c r="N198" s="78">
        <f>+J70/H70</f>
        <v>8.5707394515691523E-2</v>
      </c>
      <c r="O198" s="25"/>
      <c r="P198" s="25"/>
      <c r="Q198" s="25"/>
      <c r="R198" s="5"/>
    </row>
    <row r="199" spans="1:18" ht="15.6" x14ac:dyDescent="0.3">
      <c r="A199" s="75"/>
      <c r="B199" s="76" t="s">
        <v>85</v>
      </c>
      <c r="C199" s="77"/>
      <c r="D199" s="77"/>
      <c r="E199" s="64"/>
      <c r="F199" s="64"/>
      <c r="G199" s="64"/>
      <c r="H199" s="64"/>
      <c r="I199" s="64"/>
      <c r="J199" s="64"/>
      <c r="K199" s="64"/>
      <c r="L199" s="64"/>
      <c r="M199" s="64"/>
      <c r="N199" s="78">
        <v>0.17230000000000001</v>
      </c>
      <c r="O199" s="25"/>
      <c r="P199" s="25"/>
      <c r="Q199" s="25"/>
      <c r="R199" s="5"/>
    </row>
    <row r="200" spans="1:18" ht="15.6" x14ac:dyDescent="0.3">
      <c r="A200" s="75"/>
      <c r="B200" s="76"/>
      <c r="C200" s="76"/>
      <c r="D200" s="76"/>
      <c r="E200" s="25"/>
      <c r="F200" s="25"/>
      <c r="G200" s="25"/>
      <c r="H200" s="25"/>
      <c r="I200" s="25"/>
      <c r="J200" s="25"/>
      <c r="K200" s="25"/>
      <c r="L200" s="25"/>
      <c r="M200" s="25"/>
      <c r="N200" s="61"/>
      <c r="O200" s="25"/>
      <c r="P200" s="79"/>
      <c r="Q200" s="25"/>
      <c r="R200" s="5"/>
    </row>
    <row r="201" spans="1:18" ht="15.6" x14ac:dyDescent="0.3">
      <c r="A201" s="80"/>
      <c r="B201" s="14" t="s">
        <v>86</v>
      </c>
      <c r="C201" s="81"/>
      <c r="D201" s="82"/>
      <c r="E201" s="81"/>
      <c r="F201" s="17"/>
      <c r="G201" s="17"/>
      <c r="H201" s="17"/>
      <c r="I201" s="17"/>
      <c r="J201" s="17"/>
      <c r="K201" s="17"/>
      <c r="L201" s="17"/>
      <c r="M201" s="17" t="s">
        <v>113</v>
      </c>
      <c r="N201" s="83" t="s">
        <v>121</v>
      </c>
      <c r="O201" s="8"/>
      <c r="P201" s="8"/>
      <c r="Q201" s="8"/>
      <c r="R201" s="5"/>
    </row>
    <row r="202" spans="1:18" ht="15.6" x14ac:dyDescent="0.3">
      <c r="A202" s="84"/>
      <c r="B202" s="76" t="s">
        <v>87</v>
      </c>
      <c r="C202" s="54"/>
      <c r="D202" s="25"/>
      <c r="E202" s="25"/>
      <c r="F202" s="30"/>
      <c r="G202" s="30"/>
      <c r="H202" s="30"/>
      <c r="I202" s="30"/>
      <c r="J202" s="30"/>
      <c r="K202" s="30"/>
      <c r="L202" s="30"/>
      <c r="M202" s="30">
        <v>4</v>
      </c>
      <c r="N202" s="85">
        <v>199</v>
      </c>
      <c r="O202" s="25"/>
      <c r="P202" s="79"/>
      <c r="Q202" s="86"/>
      <c r="R202" s="5"/>
    </row>
    <row r="203" spans="1:18" ht="15.6" x14ac:dyDescent="0.3">
      <c r="A203" s="84"/>
      <c r="B203" s="76" t="s">
        <v>203</v>
      </c>
      <c r="C203" s="54"/>
      <c r="D203" s="25"/>
      <c r="E203" s="25"/>
      <c r="F203" s="30"/>
      <c r="G203" s="30"/>
      <c r="H203" s="30"/>
      <c r="I203" s="30"/>
      <c r="J203" s="30"/>
      <c r="K203" s="30"/>
      <c r="L203" s="30"/>
      <c r="M203" s="151">
        <f>+L240</f>
        <v>26</v>
      </c>
      <c r="N203" s="85">
        <f>+N240</f>
        <v>3037</v>
      </c>
      <c r="O203" s="25"/>
      <c r="P203" s="79"/>
      <c r="Q203" s="86"/>
      <c r="R203" s="5"/>
    </row>
    <row r="204" spans="1:18" ht="15.6" x14ac:dyDescent="0.3">
      <c r="A204" s="84"/>
      <c r="B204" s="76" t="s">
        <v>88</v>
      </c>
      <c r="C204" s="54"/>
      <c r="D204" s="25"/>
      <c r="E204" s="25"/>
      <c r="F204" s="30"/>
      <c r="G204" s="30"/>
      <c r="H204" s="30"/>
      <c r="I204" s="30"/>
      <c r="J204" s="30"/>
      <c r="K204" s="30"/>
      <c r="L204" s="30"/>
      <c r="M204" s="151">
        <v>1</v>
      </c>
      <c r="N204" s="85">
        <v>31</v>
      </c>
      <c r="O204" s="25"/>
      <c r="P204" s="79"/>
      <c r="Q204" s="86"/>
      <c r="R204" s="5"/>
    </row>
    <row r="205" spans="1:18" ht="15.6" x14ac:dyDescent="0.3">
      <c r="A205" s="84"/>
      <c r="B205" s="122" t="s">
        <v>89</v>
      </c>
      <c r="C205" s="54"/>
      <c r="D205" s="25"/>
      <c r="E205" s="25"/>
      <c r="F205" s="25"/>
      <c r="G205" s="25"/>
      <c r="H205" s="25"/>
      <c r="I205" s="25"/>
      <c r="J205" s="25"/>
      <c r="K205" s="25"/>
      <c r="L205" s="25"/>
      <c r="M205" s="25"/>
      <c r="N205" s="85">
        <v>0</v>
      </c>
      <c r="O205" s="25"/>
      <c r="P205" s="79"/>
      <c r="Q205" s="86"/>
      <c r="R205" s="5"/>
    </row>
    <row r="206" spans="1:18" ht="15.6" x14ac:dyDescent="0.3">
      <c r="A206" s="84"/>
      <c r="B206" s="122" t="s">
        <v>90</v>
      </c>
      <c r="C206" s="54"/>
      <c r="D206" s="25"/>
      <c r="E206" s="25"/>
      <c r="F206" s="25"/>
      <c r="G206" s="25"/>
      <c r="H206" s="25"/>
      <c r="I206" s="25"/>
      <c r="J206" s="25"/>
      <c r="K206" s="25"/>
      <c r="L206" s="25"/>
      <c r="M206" s="25"/>
      <c r="N206" s="62" t="s">
        <v>122</v>
      </c>
      <c r="O206" s="25"/>
      <c r="P206" s="79"/>
      <c r="Q206" s="86"/>
      <c r="R206" s="5"/>
    </row>
    <row r="207" spans="1:18" ht="15.6" x14ac:dyDescent="0.3">
      <c r="A207" s="87"/>
      <c r="B207" s="122" t="s">
        <v>91</v>
      </c>
      <c r="C207" s="76"/>
      <c r="D207" s="76"/>
      <c r="E207" s="25"/>
      <c r="F207" s="25"/>
      <c r="G207" s="25"/>
      <c r="H207" s="25"/>
      <c r="I207" s="25"/>
      <c r="J207" s="167"/>
      <c r="K207" s="25"/>
      <c r="L207" s="25"/>
      <c r="M207" s="25"/>
      <c r="N207" s="85"/>
      <c r="O207" s="25"/>
      <c r="P207" s="79"/>
      <c r="Q207" s="88"/>
      <c r="R207" s="5"/>
    </row>
    <row r="208" spans="1:18" ht="15.6" x14ac:dyDescent="0.3">
      <c r="A208" s="87"/>
      <c r="B208" s="135" t="s">
        <v>92</v>
      </c>
      <c r="C208" s="76"/>
      <c r="D208" s="76"/>
      <c r="E208" s="25"/>
      <c r="F208" s="25"/>
      <c r="G208" s="25"/>
      <c r="H208" s="25"/>
      <c r="I208" s="25"/>
      <c r="J208" s="25"/>
      <c r="K208" s="25"/>
      <c r="L208" s="25"/>
      <c r="M208" s="25"/>
      <c r="N208" s="85">
        <f>P153</f>
        <v>134</v>
      </c>
      <c r="O208" s="25"/>
      <c r="P208" s="79"/>
      <c r="Q208" s="88"/>
      <c r="R208" s="5"/>
    </row>
    <row r="209" spans="1:18" ht="15.6" x14ac:dyDescent="0.3">
      <c r="A209" s="84"/>
      <c r="B209" s="76" t="s">
        <v>93</v>
      </c>
      <c r="C209" s="54"/>
      <c r="D209" s="54"/>
      <c r="E209" s="25"/>
      <c r="F209" s="25"/>
      <c r="G209" s="25"/>
      <c r="H209" s="25"/>
      <c r="I209" s="25"/>
      <c r="J209" s="25"/>
      <c r="K209" s="25"/>
      <c r="L209" s="25"/>
      <c r="M209" s="25"/>
      <c r="N209" s="85">
        <f>'April 07'!N209+'July 07'!N208</f>
        <v>576</v>
      </c>
      <c r="O209" s="25"/>
      <c r="P209" s="79"/>
      <c r="Q209" s="88"/>
      <c r="R209" s="5"/>
    </row>
    <row r="210" spans="1:18" ht="15.6" x14ac:dyDescent="0.3">
      <c r="A210" s="87"/>
      <c r="B210" s="122" t="s">
        <v>278</v>
      </c>
      <c r="C210" s="76"/>
      <c r="D210" s="76"/>
      <c r="E210" s="25"/>
      <c r="F210" s="25"/>
      <c r="G210" s="25"/>
      <c r="H210" s="25"/>
      <c r="I210" s="25"/>
      <c r="J210" s="25"/>
      <c r="K210" s="25"/>
      <c r="L210" s="25"/>
      <c r="M210" s="25"/>
      <c r="N210" s="85"/>
      <c r="O210" s="25"/>
      <c r="P210" s="79"/>
      <c r="Q210" s="88"/>
      <c r="R210" s="5"/>
    </row>
    <row r="211" spans="1:18" ht="15.6" x14ac:dyDescent="0.3">
      <c r="A211" s="87"/>
      <c r="B211" s="76" t="s">
        <v>276</v>
      </c>
      <c r="C211" s="76"/>
      <c r="D211" s="76"/>
      <c r="E211" s="25"/>
      <c r="F211" s="25"/>
      <c r="G211" s="25"/>
      <c r="H211" s="25"/>
      <c r="I211" s="25"/>
      <c r="J211" s="25"/>
      <c r="K211" s="25"/>
      <c r="L211" s="25"/>
      <c r="M211" s="30">
        <v>0</v>
      </c>
      <c r="N211" s="85">
        <v>0</v>
      </c>
      <c r="O211" s="25"/>
      <c r="P211" s="79"/>
      <c r="Q211" s="88"/>
      <c r="R211" s="5"/>
    </row>
    <row r="212" spans="1:18" ht="15.6" x14ac:dyDescent="0.3">
      <c r="A212" s="84"/>
      <c r="B212" s="76" t="s">
        <v>95</v>
      </c>
      <c r="C212" s="89"/>
      <c r="D212" s="90"/>
      <c r="E212" s="25"/>
      <c r="F212" s="25"/>
      <c r="G212" s="25"/>
      <c r="H212" s="25"/>
      <c r="I212" s="25"/>
      <c r="J212" s="25"/>
      <c r="K212" s="25"/>
      <c r="L212" s="25"/>
      <c r="M212" s="25"/>
      <c r="N212" s="62">
        <v>0</v>
      </c>
      <c r="O212" s="25"/>
      <c r="P212" s="79"/>
      <c r="Q212" s="88"/>
      <c r="R212" s="5"/>
    </row>
    <row r="213" spans="1:18" ht="15.6" x14ac:dyDescent="0.3">
      <c r="A213" s="84"/>
      <c r="B213" s="76" t="s">
        <v>96</v>
      </c>
      <c r="C213" s="89"/>
      <c r="D213" s="90"/>
      <c r="E213" s="25"/>
      <c r="F213" s="25"/>
      <c r="G213" s="25"/>
      <c r="H213" s="25"/>
      <c r="I213" s="25"/>
      <c r="J213" s="25"/>
      <c r="K213" s="25"/>
      <c r="L213" s="25"/>
      <c r="M213" s="25"/>
      <c r="N213" s="62">
        <v>0</v>
      </c>
      <c r="O213" s="25"/>
      <c r="P213" s="79"/>
      <c r="Q213" s="88"/>
      <c r="R213" s="5"/>
    </row>
    <row r="214" spans="1:18" ht="15.6" x14ac:dyDescent="0.3">
      <c r="A214" s="84"/>
      <c r="B214" s="122" t="s">
        <v>251</v>
      </c>
      <c r="C214" s="89"/>
      <c r="D214" s="90"/>
      <c r="E214" s="25"/>
      <c r="F214" s="25"/>
      <c r="G214" s="25"/>
      <c r="H214" s="25"/>
      <c r="I214" s="25"/>
      <c r="J214" s="25"/>
      <c r="K214" s="25"/>
      <c r="L214" s="25"/>
      <c r="M214" s="25"/>
      <c r="N214" s="91"/>
      <c r="O214" s="25"/>
      <c r="P214" s="79"/>
      <c r="Q214" s="88"/>
      <c r="R214" s="5"/>
    </row>
    <row r="215" spans="1:18" ht="15.6" x14ac:dyDescent="0.3">
      <c r="A215" s="84"/>
      <c r="B215" s="76" t="s">
        <v>276</v>
      </c>
      <c r="C215" s="89"/>
      <c r="D215" s="90"/>
      <c r="E215" s="25"/>
      <c r="F215" s="25"/>
      <c r="G215" s="25"/>
      <c r="H215" s="25"/>
      <c r="I215" s="25"/>
      <c r="J215" s="25"/>
      <c r="K215" s="25"/>
      <c r="L215" s="25"/>
      <c r="M215" s="30">
        <v>7</v>
      </c>
      <c r="N215" s="85">
        <v>888</v>
      </c>
      <c r="O215" s="25"/>
      <c r="P215" s="79"/>
      <c r="Q215" s="88"/>
      <c r="R215" s="5"/>
    </row>
    <row r="216" spans="1:18" ht="15.6" x14ac:dyDescent="0.3">
      <c r="A216" s="84"/>
      <c r="B216" s="76" t="s">
        <v>252</v>
      </c>
      <c r="C216" s="89"/>
      <c r="D216" s="90"/>
      <c r="E216" s="25"/>
      <c r="F216" s="25"/>
      <c r="G216" s="25"/>
      <c r="H216" s="25"/>
      <c r="I216" s="25"/>
      <c r="J216" s="25"/>
      <c r="K216" s="25"/>
      <c r="L216" s="25"/>
      <c r="M216" s="25"/>
      <c r="N216" s="62">
        <v>11.48</v>
      </c>
      <c r="O216" s="25"/>
      <c r="P216" s="79"/>
      <c r="Q216" s="88"/>
      <c r="R216" s="5"/>
    </row>
    <row r="217" spans="1:18" ht="15.6" x14ac:dyDescent="0.3">
      <c r="A217" s="84"/>
      <c r="B217" s="76"/>
      <c r="C217" s="89"/>
      <c r="D217" s="90"/>
      <c r="E217" s="25"/>
      <c r="F217" s="25"/>
      <c r="G217" s="25"/>
      <c r="H217" s="25"/>
      <c r="I217" s="25"/>
      <c r="J217" s="25"/>
      <c r="K217" s="25"/>
      <c r="L217" s="25"/>
      <c r="M217" s="25"/>
      <c r="N217" s="91"/>
      <c r="O217" s="25"/>
      <c r="P217" s="79"/>
      <c r="Q217" s="88"/>
      <c r="R217" s="5"/>
    </row>
    <row r="218" spans="1:18" ht="17.399999999999999" x14ac:dyDescent="0.3">
      <c r="A218" s="84"/>
      <c r="B218" s="160" t="s">
        <v>244</v>
      </c>
      <c r="C218" s="161"/>
      <c r="D218" s="162"/>
      <c r="E218" s="163"/>
      <c r="F218" s="163"/>
      <c r="G218" s="163"/>
      <c r="H218" s="163"/>
      <c r="I218" s="166"/>
      <c r="J218" s="169" t="s">
        <v>243</v>
      </c>
      <c r="K218" s="163"/>
      <c r="L218" s="163"/>
      <c r="M218" s="25"/>
      <c r="N218" s="91"/>
      <c r="O218" s="25"/>
      <c r="P218" s="79"/>
      <c r="Q218" s="88"/>
      <c r="R218" s="5"/>
    </row>
    <row r="219" spans="1:18" ht="15.6" x14ac:dyDescent="0.3">
      <c r="A219" s="84"/>
      <c r="B219" s="156"/>
      <c r="C219" s="157"/>
      <c r="D219" s="158"/>
      <c r="E219" s="146"/>
      <c r="F219" s="146"/>
      <c r="G219" s="146"/>
      <c r="H219" s="146"/>
      <c r="I219" s="146"/>
      <c r="J219" s="146"/>
      <c r="K219" s="146"/>
      <c r="L219" s="146"/>
      <c r="M219" s="25"/>
      <c r="N219" s="91"/>
      <c r="O219" s="25"/>
      <c r="P219" s="79"/>
      <c r="Q219" s="88"/>
      <c r="R219" s="5"/>
    </row>
    <row r="220" spans="1:18" ht="15.6" x14ac:dyDescent="0.3">
      <c r="A220" s="6"/>
      <c r="B220" s="14" t="s">
        <v>236</v>
      </c>
      <c r="C220" s="81"/>
      <c r="D220" s="82"/>
      <c r="E220" s="81"/>
      <c r="F220" s="17"/>
      <c r="G220" s="17"/>
      <c r="H220" s="17"/>
      <c r="I220" s="17"/>
      <c r="J220" s="17"/>
      <c r="K220" s="17"/>
      <c r="L220" s="83" t="s">
        <v>113</v>
      </c>
      <c r="M220" s="17" t="s">
        <v>114</v>
      </c>
      <c r="N220" s="83" t="s">
        <v>123</v>
      </c>
      <c r="O220" s="17" t="s">
        <v>114</v>
      </c>
      <c r="P220" s="8"/>
      <c r="Q220" s="92"/>
      <c r="R220" s="5"/>
    </row>
    <row r="221" spans="1:18" ht="15.6" x14ac:dyDescent="0.3">
      <c r="A221" s="24"/>
      <c r="B221" s="54" t="s">
        <v>98</v>
      </c>
      <c r="C221" s="93"/>
      <c r="D221" s="25"/>
      <c r="E221" s="93"/>
      <c r="F221" s="93"/>
      <c r="G221" s="93"/>
      <c r="H221" s="93"/>
      <c r="I221" s="93"/>
      <c r="J221" s="93"/>
      <c r="K221" s="93"/>
      <c r="L221" s="54">
        <v>5415</v>
      </c>
      <c r="M221" s="94">
        <f t="shared" ref="M221:M228" si="1">L221/$L$229</f>
        <v>0.9910322108345534</v>
      </c>
      <c r="N221" s="53">
        <v>548963</v>
      </c>
      <c r="O221" s="136">
        <f t="shared" ref="O221:O228" si="2">N221/$N$229</f>
        <v>0.98846532665669129</v>
      </c>
      <c r="P221" s="79"/>
      <c r="Q221" s="88"/>
      <c r="R221" s="5"/>
    </row>
    <row r="222" spans="1:18" ht="15.6" x14ac:dyDescent="0.3">
      <c r="A222" s="24"/>
      <c r="B222" s="54" t="s">
        <v>99</v>
      </c>
      <c r="C222" s="93"/>
      <c r="D222" s="25"/>
      <c r="E222" s="94"/>
      <c r="F222" s="93"/>
      <c r="G222" s="93"/>
      <c r="H222" s="93"/>
      <c r="I222" s="93"/>
      <c r="J222" s="93"/>
      <c r="K222" s="93"/>
      <c r="L222" s="54">
        <v>34</v>
      </c>
      <c r="M222" s="94">
        <f t="shared" si="1"/>
        <v>6.2225475841874087E-3</v>
      </c>
      <c r="N222" s="53">
        <v>4990</v>
      </c>
      <c r="O222" s="136">
        <f t="shared" si="2"/>
        <v>8.9850171687652705E-3</v>
      </c>
      <c r="P222" s="79"/>
      <c r="Q222" s="88"/>
      <c r="R222" s="5"/>
    </row>
    <row r="223" spans="1:18" ht="15.6" x14ac:dyDescent="0.3">
      <c r="A223" s="24"/>
      <c r="B223" s="54" t="s">
        <v>100</v>
      </c>
      <c r="C223" s="93"/>
      <c r="D223" s="25"/>
      <c r="E223" s="94"/>
      <c r="F223" s="93"/>
      <c r="G223" s="93"/>
      <c r="H223" s="93"/>
      <c r="I223" s="93"/>
      <c r="J223" s="93"/>
      <c r="K223" s="93"/>
      <c r="L223" s="54">
        <v>5</v>
      </c>
      <c r="M223" s="94">
        <f t="shared" si="1"/>
        <v>9.1508052708638363E-4</v>
      </c>
      <c r="N223" s="53">
        <v>163</v>
      </c>
      <c r="O223" s="136">
        <f t="shared" si="2"/>
        <v>2.9349855681537858E-4</v>
      </c>
      <c r="P223" s="79"/>
      <c r="Q223" s="88"/>
      <c r="R223" s="5"/>
    </row>
    <row r="224" spans="1:18" ht="15.6" x14ac:dyDescent="0.3">
      <c r="A224" s="24"/>
      <c r="B224" s="54" t="s">
        <v>227</v>
      </c>
      <c r="C224" s="93"/>
      <c r="D224" s="25"/>
      <c r="E224" s="94"/>
      <c r="F224" s="93"/>
      <c r="G224" s="93"/>
      <c r="H224" s="93"/>
      <c r="I224" s="93"/>
      <c r="J224" s="93"/>
      <c r="K224" s="93"/>
      <c r="L224" s="54">
        <v>3</v>
      </c>
      <c r="M224" s="94">
        <f t="shared" si="1"/>
        <v>5.4904831625183018E-4</v>
      </c>
      <c r="N224" s="53">
        <v>87</v>
      </c>
      <c r="O224" s="136">
        <f t="shared" si="2"/>
        <v>1.5665260394440454E-4</v>
      </c>
      <c r="P224" s="79"/>
      <c r="Q224" s="88"/>
      <c r="R224" s="5"/>
    </row>
    <row r="225" spans="1:18" ht="15.6" x14ac:dyDescent="0.3">
      <c r="A225" s="24"/>
      <c r="B225" s="54" t="s">
        <v>228</v>
      </c>
      <c r="C225" s="93"/>
      <c r="D225" s="25"/>
      <c r="E225" s="94"/>
      <c r="F225" s="93"/>
      <c r="G225" s="93"/>
      <c r="H225" s="93"/>
      <c r="I225" s="93"/>
      <c r="J225" s="93"/>
      <c r="K225" s="93"/>
      <c r="L225" s="54">
        <v>1</v>
      </c>
      <c r="M225" s="94">
        <f t="shared" si="1"/>
        <v>1.8301610541727673E-4</v>
      </c>
      <c r="N225" s="53">
        <v>913</v>
      </c>
      <c r="O225" s="136">
        <f t="shared" si="2"/>
        <v>1.6439520390947281E-3</v>
      </c>
      <c r="P225" s="79"/>
      <c r="Q225" s="88"/>
      <c r="R225" s="5"/>
    </row>
    <row r="226" spans="1:18" ht="15.6" x14ac:dyDescent="0.3">
      <c r="A226" s="24"/>
      <c r="B226" s="54" t="s">
        <v>229</v>
      </c>
      <c r="C226" s="93"/>
      <c r="D226" s="25"/>
      <c r="E226" s="94"/>
      <c r="F226" s="93"/>
      <c r="G226" s="93"/>
      <c r="H226" s="93"/>
      <c r="I226" s="93"/>
      <c r="J226" s="93"/>
      <c r="K226" s="93"/>
      <c r="L226" s="54">
        <v>1</v>
      </c>
      <c r="M226" s="94">
        <f t="shared" si="1"/>
        <v>1.8301610541727673E-4</v>
      </c>
      <c r="N226" s="53">
        <v>60</v>
      </c>
      <c r="O226" s="136">
        <f t="shared" si="2"/>
        <v>1.0803627858234795E-4</v>
      </c>
      <c r="P226" s="79"/>
      <c r="Q226" s="88"/>
      <c r="R226" s="5"/>
    </row>
    <row r="227" spans="1:18" ht="15.6" x14ac:dyDescent="0.3">
      <c r="A227" s="24"/>
      <c r="B227" s="54" t="s">
        <v>230</v>
      </c>
      <c r="C227" s="93"/>
      <c r="D227" s="25"/>
      <c r="E227" s="94"/>
      <c r="F227" s="93"/>
      <c r="G227" s="93"/>
      <c r="H227" s="93"/>
      <c r="I227" s="93"/>
      <c r="J227" s="93"/>
      <c r="K227" s="93"/>
      <c r="L227" s="54">
        <v>3</v>
      </c>
      <c r="M227" s="94">
        <f t="shared" si="1"/>
        <v>5.4904831625183018E-4</v>
      </c>
      <c r="N227" s="53">
        <v>67</v>
      </c>
      <c r="O227" s="136">
        <f t="shared" si="2"/>
        <v>1.2064051108362189E-4</v>
      </c>
      <c r="P227" s="79"/>
      <c r="Q227" s="88"/>
      <c r="R227" s="5"/>
    </row>
    <row r="228" spans="1:18" ht="15.6" x14ac:dyDescent="0.3">
      <c r="A228" s="24"/>
      <c r="B228" s="54" t="s">
        <v>231</v>
      </c>
      <c r="C228" s="93"/>
      <c r="D228" s="25"/>
      <c r="E228" s="94"/>
      <c r="F228" s="93"/>
      <c r="G228" s="93"/>
      <c r="H228" s="93"/>
      <c r="I228" s="93"/>
      <c r="J228" s="93"/>
      <c r="K228" s="93"/>
      <c r="L228" s="54">
        <v>2</v>
      </c>
      <c r="M228" s="94">
        <f t="shared" si="1"/>
        <v>3.6603221083455345E-4</v>
      </c>
      <c r="N228" s="53">
        <v>126</v>
      </c>
      <c r="O228" s="136">
        <f t="shared" si="2"/>
        <v>2.2687618502293069E-4</v>
      </c>
      <c r="P228" s="79"/>
      <c r="Q228" s="88"/>
      <c r="R228" s="5"/>
    </row>
    <row r="229" spans="1:18" ht="15.6" x14ac:dyDescent="0.3">
      <c r="A229" s="24"/>
      <c r="B229" s="25" t="s">
        <v>129</v>
      </c>
      <c r="C229" s="25"/>
      <c r="D229" s="25"/>
      <c r="E229" s="25"/>
      <c r="F229" s="95"/>
      <c r="G229" s="95"/>
      <c r="H229" s="95"/>
      <c r="I229" s="95"/>
      <c r="J229" s="95"/>
      <c r="K229" s="95"/>
      <c r="L229" s="34">
        <f>SUM(L221:L228)</f>
        <v>5464</v>
      </c>
      <c r="M229" s="136">
        <f>SUM(M221:M228)</f>
        <v>0.99999999999999978</v>
      </c>
      <c r="N229" s="53">
        <f>SUM(N221:N228)</f>
        <v>555369</v>
      </c>
      <c r="O229" s="136">
        <f>SUM(O221:O228)</f>
        <v>1</v>
      </c>
      <c r="P229" s="25"/>
      <c r="Q229" s="25"/>
      <c r="R229" s="5"/>
    </row>
    <row r="230" spans="1:18" ht="15.6" x14ac:dyDescent="0.3">
      <c r="A230" s="24"/>
      <c r="B230" s="25"/>
      <c r="C230" s="25"/>
      <c r="D230" s="25"/>
      <c r="E230" s="25"/>
      <c r="F230" s="95"/>
      <c r="G230" s="95"/>
      <c r="H230" s="95"/>
      <c r="I230" s="95"/>
      <c r="J230" s="95"/>
      <c r="K230" s="95"/>
      <c r="L230" s="34"/>
      <c r="M230" s="136"/>
      <c r="N230" s="53"/>
      <c r="O230" s="136"/>
      <c r="P230" s="25"/>
      <c r="Q230" s="25"/>
      <c r="R230" s="5"/>
    </row>
    <row r="231" spans="1:18" ht="15.6" x14ac:dyDescent="0.3">
      <c r="A231" s="148"/>
      <c r="B231" s="14" t="s">
        <v>238</v>
      </c>
      <c r="C231" s="81"/>
      <c r="D231" s="82"/>
      <c r="E231" s="81"/>
      <c r="F231" s="17"/>
      <c r="G231" s="17"/>
      <c r="H231" s="17"/>
      <c r="I231" s="17"/>
      <c r="J231" s="17"/>
      <c r="K231" s="17"/>
      <c r="L231" s="83" t="s">
        <v>113</v>
      </c>
      <c r="M231" s="17" t="s">
        <v>114</v>
      </c>
      <c r="N231" s="83" t="s">
        <v>123</v>
      </c>
      <c r="O231" s="17" t="s">
        <v>114</v>
      </c>
      <c r="P231" s="8"/>
      <c r="Q231" s="149"/>
      <c r="R231" s="5"/>
    </row>
    <row r="232" spans="1:18" ht="15.6" x14ac:dyDescent="0.3">
      <c r="A232" s="24"/>
      <c r="B232" s="54" t="s">
        <v>98</v>
      </c>
      <c r="C232" s="93"/>
      <c r="D232" s="25"/>
      <c r="E232" s="93"/>
      <c r="F232" s="93"/>
      <c r="G232" s="93"/>
      <c r="H232" s="93"/>
      <c r="I232" s="93"/>
      <c r="J232" s="93"/>
      <c r="K232" s="93"/>
      <c r="L232" s="54">
        <v>1</v>
      </c>
      <c r="M232" s="94">
        <f t="shared" ref="M232:M239" si="3">L232/$L$240</f>
        <v>3.8461538461538464E-2</v>
      </c>
      <c r="N232" s="53">
        <v>174</v>
      </c>
      <c r="O232" s="136">
        <f t="shared" ref="O232:O239" si="4">N232/$N$240</f>
        <v>5.7293381626605203E-2</v>
      </c>
      <c r="P232" s="79"/>
      <c r="Q232" s="25"/>
      <c r="R232" s="5"/>
    </row>
    <row r="233" spans="1:18" ht="15.6" x14ac:dyDescent="0.3">
      <c r="A233" s="24"/>
      <c r="B233" s="54" t="s">
        <v>99</v>
      </c>
      <c r="C233" s="93"/>
      <c r="D233" s="25"/>
      <c r="E233" s="94"/>
      <c r="F233" s="93"/>
      <c r="G233" s="93"/>
      <c r="H233" s="93"/>
      <c r="I233" s="93"/>
      <c r="J233" s="93"/>
      <c r="K233" s="93"/>
      <c r="L233" s="54">
        <v>1</v>
      </c>
      <c r="M233" s="94">
        <f t="shared" si="3"/>
        <v>3.8461538461538464E-2</v>
      </c>
      <c r="N233" s="53">
        <v>90</v>
      </c>
      <c r="O233" s="136">
        <f t="shared" si="4"/>
        <v>2.9634507737899243E-2</v>
      </c>
      <c r="P233" s="79"/>
      <c r="Q233" s="25"/>
      <c r="R233" s="5"/>
    </row>
    <row r="234" spans="1:18" ht="15.6" x14ac:dyDescent="0.3">
      <c r="A234" s="24"/>
      <c r="B234" s="54" t="s">
        <v>100</v>
      </c>
      <c r="C234" s="93"/>
      <c r="D234" s="25"/>
      <c r="E234" s="94"/>
      <c r="F234" s="93"/>
      <c r="G234" s="93"/>
      <c r="H234" s="93"/>
      <c r="I234" s="93"/>
      <c r="J234" s="93"/>
      <c r="K234" s="93"/>
      <c r="L234" s="54">
        <v>1</v>
      </c>
      <c r="M234" s="94">
        <f t="shared" si="3"/>
        <v>3.8461538461538464E-2</v>
      </c>
      <c r="N234" s="53">
        <v>298</v>
      </c>
      <c r="O234" s="136">
        <f t="shared" si="4"/>
        <v>9.8123147843266381E-2</v>
      </c>
      <c r="P234" s="79"/>
      <c r="Q234" s="25"/>
      <c r="R234" s="5"/>
    </row>
    <row r="235" spans="1:18" ht="15.6" x14ac:dyDescent="0.3">
      <c r="A235" s="24"/>
      <c r="B235" s="54" t="s">
        <v>227</v>
      </c>
      <c r="C235" s="93"/>
      <c r="D235" s="25"/>
      <c r="E235" s="94"/>
      <c r="F235" s="93"/>
      <c r="G235" s="93"/>
      <c r="H235" s="93"/>
      <c r="I235" s="93"/>
      <c r="J235" s="93"/>
      <c r="K235" s="93"/>
      <c r="L235" s="54">
        <v>1</v>
      </c>
      <c r="M235" s="94">
        <f t="shared" si="3"/>
        <v>3.8461538461538464E-2</v>
      </c>
      <c r="N235" s="53">
        <v>221</v>
      </c>
      <c r="O235" s="136">
        <f t="shared" si="4"/>
        <v>7.2769180111952589E-2</v>
      </c>
      <c r="P235" s="79"/>
      <c r="Q235" s="25"/>
      <c r="R235" s="5"/>
    </row>
    <row r="236" spans="1:18" ht="15.6" x14ac:dyDescent="0.3">
      <c r="A236" s="24"/>
      <c r="B236" s="54" t="s">
        <v>228</v>
      </c>
      <c r="C236" s="93"/>
      <c r="D236" s="25"/>
      <c r="E236" s="94"/>
      <c r="F236" s="93"/>
      <c r="G236" s="93"/>
      <c r="H236" s="93"/>
      <c r="I236" s="93"/>
      <c r="J236" s="93"/>
      <c r="K236" s="93"/>
      <c r="L236" s="54">
        <v>1</v>
      </c>
      <c r="M236" s="94">
        <f t="shared" si="3"/>
        <v>3.8461538461538464E-2</v>
      </c>
      <c r="N236" s="53">
        <v>166</v>
      </c>
      <c r="O236" s="136">
        <f t="shared" si="4"/>
        <v>5.4659203161014157E-2</v>
      </c>
      <c r="P236" s="79"/>
      <c r="Q236" s="25"/>
      <c r="R236" s="5"/>
    </row>
    <row r="237" spans="1:18" ht="15.6" x14ac:dyDescent="0.3">
      <c r="A237" s="24"/>
      <c r="B237" s="54" t="s">
        <v>229</v>
      </c>
      <c r="C237" s="93"/>
      <c r="D237" s="25"/>
      <c r="E237" s="94"/>
      <c r="F237" s="93"/>
      <c r="G237" s="93"/>
      <c r="H237" s="93"/>
      <c r="I237" s="93"/>
      <c r="J237" s="93"/>
      <c r="K237" s="93"/>
      <c r="L237" s="54">
        <v>0</v>
      </c>
      <c r="M237" s="94">
        <f t="shared" si="3"/>
        <v>0</v>
      </c>
      <c r="N237" s="53">
        <v>0</v>
      </c>
      <c r="O237" s="136">
        <f t="shared" si="4"/>
        <v>0</v>
      </c>
      <c r="P237" s="79"/>
      <c r="Q237" s="25"/>
      <c r="R237" s="5"/>
    </row>
    <row r="238" spans="1:18" ht="15.6" x14ac:dyDescent="0.3">
      <c r="A238" s="24"/>
      <c r="B238" s="54" t="s">
        <v>230</v>
      </c>
      <c r="C238" s="93"/>
      <c r="D238" s="25"/>
      <c r="E238" s="94"/>
      <c r="F238" s="93"/>
      <c r="G238" s="93"/>
      <c r="H238" s="93"/>
      <c r="I238" s="93"/>
      <c r="J238" s="93"/>
      <c r="K238" s="93"/>
      <c r="L238" s="54">
        <v>2</v>
      </c>
      <c r="M238" s="94">
        <f t="shared" si="3"/>
        <v>7.6923076923076927E-2</v>
      </c>
      <c r="N238" s="53">
        <v>292</v>
      </c>
      <c r="O238" s="136">
        <f t="shared" si="4"/>
        <v>9.6147513994073092E-2</v>
      </c>
      <c r="P238" s="79"/>
      <c r="Q238" s="25"/>
      <c r="R238" s="5"/>
    </row>
    <row r="239" spans="1:18" ht="15.6" x14ac:dyDescent="0.3">
      <c r="A239" s="24"/>
      <c r="B239" s="54" t="s">
        <v>231</v>
      </c>
      <c r="C239" s="93"/>
      <c r="D239" s="25"/>
      <c r="E239" s="94"/>
      <c r="F239" s="93"/>
      <c r="G239" s="93"/>
      <c r="H239" s="93"/>
      <c r="I239" s="93"/>
      <c r="J239" s="93"/>
      <c r="K239" s="93"/>
      <c r="L239" s="54">
        <v>19</v>
      </c>
      <c r="M239" s="94">
        <f t="shared" si="3"/>
        <v>0.73076923076923073</v>
      </c>
      <c r="N239" s="53">
        <v>1796</v>
      </c>
      <c r="O239" s="136">
        <f t="shared" si="4"/>
        <v>0.59137306552518931</v>
      </c>
      <c r="P239" s="79"/>
      <c r="Q239" s="25"/>
      <c r="R239" s="5"/>
    </row>
    <row r="240" spans="1:18" ht="15.6" x14ac:dyDescent="0.3">
      <c r="A240" s="24"/>
      <c r="B240" s="25" t="s">
        <v>129</v>
      </c>
      <c r="C240" s="25"/>
      <c r="D240" s="25"/>
      <c r="E240" s="25"/>
      <c r="F240" s="95"/>
      <c r="G240" s="95"/>
      <c r="H240" s="95"/>
      <c r="I240" s="95"/>
      <c r="J240" s="95"/>
      <c r="K240" s="95"/>
      <c r="L240" s="34">
        <f>SUM(L232:L239)</f>
        <v>26</v>
      </c>
      <c r="M240" s="136">
        <f>SUM(M232:M239)</f>
        <v>1</v>
      </c>
      <c r="N240" s="53">
        <f>SUM(N232:N239)</f>
        <v>3037</v>
      </c>
      <c r="O240" s="136">
        <f>SUM(O232:O239)</f>
        <v>1</v>
      </c>
      <c r="P240" s="25"/>
      <c r="Q240" s="25"/>
      <c r="R240" s="5"/>
    </row>
    <row r="241" spans="1:18" ht="15.6" x14ac:dyDescent="0.3">
      <c r="A241" s="24"/>
      <c r="B241" s="25"/>
      <c r="C241" s="25"/>
      <c r="D241" s="25"/>
      <c r="E241" s="25"/>
      <c r="F241" s="95"/>
      <c r="G241" s="95"/>
      <c r="H241" s="95"/>
      <c r="I241" s="95"/>
      <c r="J241" s="95"/>
      <c r="K241" s="95"/>
      <c r="L241" s="34"/>
      <c r="M241" s="136"/>
      <c r="N241" s="53"/>
      <c r="O241" s="136"/>
      <c r="P241" s="25"/>
      <c r="Q241" s="25"/>
      <c r="R241" s="5"/>
    </row>
    <row r="242" spans="1:18" ht="15.6" x14ac:dyDescent="0.3">
      <c r="A242" s="148"/>
      <c r="B242" s="14" t="s">
        <v>239</v>
      </c>
      <c r="C242" s="81"/>
      <c r="D242" s="82"/>
      <c r="E242" s="81"/>
      <c r="F242" s="17"/>
      <c r="G242" s="17"/>
      <c r="H242" s="17"/>
      <c r="I242" s="17"/>
      <c r="J242" s="17"/>
      <c r="K242" s="17"/>
      <c r="L242" s="83" t="s">
        <v>113</v>
      </c>
      <c r="M242" s="17" t="s">
        <v>114</v>
      </c>
      <c r="N242" s="83" t="s">
        <v>123</v>
      </c>
      <c r="O242" s="17" t="s">
        <v>114</v>
      </c>
      <c r="P242" s="150"/>
      <c r="Q242" s="149"/>
      <c r="R242" s="5"/>
    </row>
    <row r="243" spans="1:18" ht="15.6" x14ac:dyDescent="0.3">
      <c r="A243" s="24"/>
      <c r="B243" s="54" t="s">
        <v>98</v>
      </c>
      <c r="C243" s="93"/>
      <c r="D243" s="25"/>
      <c r="E243" s="93"/>
      <c r="F243" s="93"/>
      <c r="G243" s="93"/>
      <c r="H243" s="93"/>
      <c r="I243" s="93"/>
      <c r="J243" s="93"/>
      <c r="K243" s="93"/>
      <c r="L243" s="54">
        <v>0</v>
      </c>
      <c r="M243" s="136">
        <f>L243/$L$251</f>
        <v>0</v>
      </c>
      <c r="N243" s="53">
        <v>0</v>
      </c>
      <c r="O243" s="136">
        <f>N243/$N$251</f>
        <v>0</v>
      </c>
      <c r="P243" s="25"/>
      <c r="Q243" s="25"/>
      <c r="R243" s="5"/>
    </row>
    <row r="244" spans="1:18" ht="15.6" x14ac:dyDescent="0.3">
      <c r="A244" s="24"/>
      <c r="B244" s="54" t="s">
        <v>99</v>
      </c>
      <c r="C244" s="93"/>
      <c r="D244" s="25"/>
      <c r="E244" s="94"/>
      <c r="F244" s="93"/>
      <c r="G244" s="93"/>
      <c r="H244" s="93"/>
      <c r="I244" s="93"/>
      <c r="J244" s="93"/>
      <c r="K244" s="93"/>
      <c r="L244" s="54">
        <v>0</v>
      </c>
      <c r="M244" s="136">
        <f t="shared" ref="M244:M251" si="5">L244/$L$251</f>
        <v>0</v>
      </c>
      <c r="N244" s="53">
        <v>0</v>
      </c>
      <c r="O244" s="136">
        <f t="shared" ref="O244:O251" si="6">N244/$N$251</f>
        <v>0</v>
      </c>
      <c r="P244" s="25"/>
      <c r="Q244" s="25"/>
      <c r="R244" s="5"/>
    </row>
    <row r="245" spans="1:18" ht="15.6" x14ac:dyDescent="0.3">
      <c r="A245" s="24"/>
      <c r="B245" s="54" t="s">
        <v>100</v>
      </c>
      <c r="C245" s="93"/>
      <c r="D245" s="25"/>
      <c r="E245" s="94"/>
      <c r="F245" s="93"/>
      <c r="G245" s="93"/>
      <c r="H245" s="93"/>
      <c r="I245" s="93"/>
      <c r="J245" s="93"/>
      <c r="K245" s="93"/>
      <c r="L245" s="54">
        <v>0</v>
      </c>
      <c r="M245" s="136">
        <f t="shared" si="5"/>
        <v>0</v>
      </c>
      <c r="N245" s="53">
        <v>0</v>
      </c>
      <c r="O245" s="136">
        <f t="shared" si="6"/>
        <v>0</v>
      </c>
      <c r="P245" s="25"/>
      <c r="Q245" s="25"/>
      <c r="R245" s="5"/>
    </row>
    <row r="246" spans="1:18" ht="15.6" x14ac:dyDescent="0.3">
      <c r="A246" s="24"/>
      <c r="B246" s="54" t="s">
        <v>227</v>
      </c>
      <c r="C246" s="93"/>
      <c r="D246" s="25"/>
      <c r="E246" s="94"/>
      <c r="F246" s="93"/>
      <c r="G246" s="93"/>
      <c r="H246" s="93"/>
      <c r="I246" s="93"/>
      <c r="J246" s="93"/>
      <c r="K246" s="93"/>
      <c r="L246" s="54">
        <v>0</v>
      </c>
      <c r="M246" s="136">
        <f t="shared" si="5"/>
        <v>0</v>
      </c>
      <c r="N246" s="53">
        <v>0</v>
      </c>
      <c r="O246" s="136">
        <f t="shared" si="6"/>
        <v>0</v>
      </c>
      <c r="P246" s="25"/>
      <c r="Q246" s="25"/>
      <c r="R246" s="5"/>
    </row>
    <row r="247" spans="1:18" ht="15.6" x14ac:dyDescent="0.3">
      <c r="A247" s="24"/>
      <c r="B247" s="54" t="s">
        <v>228</v>
      </c>
      <c r="C247" s="93"/>
      <c r="D247" s="25"/>
      <c r="E247" s="94"/>
      <c r="F247" s="93"/>
      <c r="G247" s="93"/>
      <c r="H247" s="93"/>
      <c r="I247" s="93"/>
      <c r="J247" s="93"/>
      <c r="K247" s="93"/>
      <c r="L247" s="54">
        <v>0</v>
      </c>
      <c r="M247" s="136">
        <f t="shared" si="5"/>
        <v>0</v>
      </c>
      <c r="N247" s="53">
        <v>0</v>
      </c>
      <c r="O247" s="136">
        <f t="shared" si="6"/>
        <v>0</v>
      </c>
      <c r="P247" s="25"/>
      <c r="Q247" s="25"/>
      <c r="R247" s="5"/>
    </row>
    <row r="248" spans="1:18" ht="15.6" x14ac:dyDescent="0.3">
      <c r="A248" s="24"/>
      <c r="B248" s="54" t="s">
        <v>229</v>
      </c>
      <c r="C248" s="93"/>
      <c r="D248" s="25"/>
      <c r="E248" s="94"/>
      <c r="F248" s="93"/>
      <c r="G248" s="93"/>
      <c r="H248" s="93"/>
      <c r="I248" s="93"/>
      <c r="J248" s="93"/>
      <c r="K248" s="93"/>
      <c r="L248" s="54">
        <v>0</v>
      </c>
      <c r="M248" s="136">
        <f t="shared" si="5"/>
        <v>0</v>
      </c>
      <c r="N248" s="53">
        <v>0</v>
      </c>
      <c r="O248" s="136">
        <f t="shared" si="6"/>
        <v>0</v>
      </c>
      <c r="P248" s="25"/>
      <c r="Q248" s="25"/>
      <c r="R248" s="5"/>
    </row>
    <row r="249" spans="1:18" ht="15.6" x14ac:dyDescent="0.3">
      <c r="A249" s="24"/>
      <c r="B249" s="54" t="s">
        <v>230</v>
      </c>
      <c r="C249" s="93"/>
      <c r="D249" s="25"/>
      <c r="E249" s="94"/>
      <c r="F249" s="93"/>
      <c r="G249" s="93"/>
      <c r="H249" s="93"/>
      <c r="I249" s="93"/>
      <c r="J249" s="93"/>
      <c r="K249" s="93"/>
      <c r="L249" s="54">
        <v>1</v>
      </c>
      <c r="M249" s="136">
        <f t="shared" si="5"/>
        <v>1</v>
      </c>
      <c r="N249" s="53">
        <v>31</v>
      </c>
      <c r="O249" s="136">
        <f t="shared" si="6"/>
        <v>1</v>
      </c>
      <c r="P249" s="25"/>
      <c r="Q249" s="25"/>
      <c r="R249" s="5"/>
    </row>
    <row r="250" spans="1:18" ht="15.6" x14ac:dyDescent="0.3">
      <c r="A250" s="24"/>
      <c r="B250" s="54" t="s">
        <v>231</v>
      </c>
      <c r="C250" s="93"/>
      <c r="D250" s="25"/>
      <c r="E250" s="94"/>
      <c r="F250" s="93"/>
      <c r="G250" s="93"/>
      <c r="H250" s="93"/>
      <c r="I250" s="93"/>
      <c r="J250" s="93"/>
      <c r="K250" s="93"/>
      <c r="L250" s="54">
        <v>0</v>
      </c>
      <c r="M250" s="136">
        <f t="shared" si="5"/>
        <v>0</v>
      </c>
      <c r="N250" s="53">
        <v>0</v>
      </c>
      <c r="O250" s="136">
        <f t="shared" si="6"/>
        <v>0</v>
      </c>
      <c r="P250" s="25"/>
      <c r="Q250" s="25"/>
      <c r="R250" s="5"/>
    </row>
    <row r="251" spans="1:18" ht="15.6" x14ac:dyDescent="0.3">
      <c r="A251" s="24"/>
      <c r="B251" s="25" t="s">
        <v>129</v>
      </c>
      <c r="C251" s="25"/>
      <c r="D251" s="25"/>
      <c r="E251" s="25"/>
      <c r="F251" s="95"/>
      <c r="G251" s="95"/>
      <c r="H251" s="95"/>
      <c r="I251" s="95"/>
      <c r="J251" s="95"/>
      <c r="K251" s="95"/>
      <c r="L251" s="34">
        <f>SUM(L243:L250)</f>
        <v>1</v>
      </c>
      <c r="M251" s="136">
        <f t="shared" si="5"/>
        <v>1</v>
      </c>
      <c r="N251" s="53">
        <f>SUM(N243:N250)</f>
        <v>31</v>
      </c>
      <c r="O251" s="136">
        <f t="shared" si="6"/>
        <v>1</v>
      </c>
      <c r="P251" s="25"/>
      <c r="Q251" s="25"/>
      <c r="R251" s="5"/>
    </row>
    <row r="252" spans="1:18" ht="15.6" x14ac:dyDescent="0.3">
      <c r="A252" s="24"/>
      <c r="B252" s="25"/>
      <c r="C252" s="25"/>
      <c r="D252" s="25"/>
      <c r="E252" s="25"/>
      <c r="F252" s="95"/>
      <c r="G252" s="95"/>
      <c r="H252" s="95"/>
      <c r="I252" s="95"/>
      <c r="J252" s="95"/>
      <c r="K252" s="95"/>
      <c r="L252" s="34"/>
      <c r="M252" s="136"/>
      <c r="N252" s="53"/>
      <c r="O252" s="136"/>
      <c r="P252" s="25"/>
      <c r="Q252" s="25"/>
      <c r="R252" s="5"/>
    </row>
    <row r="253" spans="1:18" ht="15.6" x14ac:dyDescent="0.3">
      <c r="A253" s="24"/>
      <c r="B253" s="152" t="s">
        <v>240</v>
      </c>
      <c r="C253" s="25"/>
      <c r="D253" s="25"/>
      <c r="E253" s="25"/>
      <c r="F253" s="95"/>
      <c r="G253" s="95"/>
      <c r="H253" s="95"/>
      <c r="I253" s="95"/>
      <c r="J253" s="95"/>
      <c r="K253" s="95"/>
      <c r="L253" s="173">
        <f>+L229+L240+L251</f>
        <v>5491</v>
      </c>
      <c r="M253" s="136"/>
      <c r="N253" s="153">
        <f>+N251+N240+N229</f>
        <v>558437</v>
      </c>
      <c r="O253" s="136"/>
      <c r="P253" s="25"/>
      <c r="Q253" s="25"/>
      <c r="R253" s="5"/>
    </row>
    <row r="254" spans="1:18" ht="15.6" x14ac:dyDescent="0.3">
      <c r="A254" s="24"/>
      <c r="B254" s="25"/>
      <c r="C254" s="25"/>
      <c r="D254" s="25"/>
      <c r="E254" s="25"/>
      <c r="F254" s="95"/>
      <c r="G254" s="95"/>
      <c r="H254" s="95"/>
      <c r="I254" s="95"/>
      <c r="J254" s="95"/>
      <c r="K254" s="95"/>
      <c r="L254" s="95"/>
      <c r="M254" s="95"/>
      <c r="N254" s="53"/>
      <c r="O254" s="95"/>
      <c r="P254" s="25"/>
      <c r="Q254" s="25"/>
      <c r="R254" s="5"/>
    </row>
    <row r="255" spans="1:18" ht="15.6" x14ac:dyDescent="0.3">
      <c r="A255" s="6"/>
      <c r="B255" s="8"/>
      <c r="C255" s="8"/>
      <c r="D255" s="8"/>
      <c r="E255" s="8"/>
      <c r="F255" s="96"/>
      <c r="G255" s="96"/>
      <c r="H255" s="96"/>
      <c r="I255" s="96"/>
      <c r="J255" s="96"/>
      <c r="K255" s="96"/>
      <c r="L255" s="96"/>
      <c r="M255" s="96"/>
      <c r="N255" s="97"/>
      <c r="O255" s="96"/>
      <c r="P255" s="8"/>
      <c r="Q255" s="8"/>
      <c r="R255" s="5"/>
    </row>
    <row r="256" spans="1:18" ht="15.6" x14ac:dyDescent="0.3">
      <c r="A256" s="145"/>
      <c r="B256" s="14" t="s">
        <v>102</v>
      </c>
      <c r="C256" s="15"/>
      <c r="D256" s="15"/>
      <c r="E256" s="15"/>
      <c r="F256" s="17" t="s">
        <v>108</v>
      </c>
      <c r="G256" s="15"/>
      <c r="H256" s="14" t="s">
        <v>110</v>
      </c>
      <c r="I256" s="140"/>
      <c r="J256" s="140"/>
      <c r="K256" s="140"/>
      <c r="L256" s="140"/>
      <c r="M256" s="140"/>
      <c r="N256" s="140"/>
      <c r="O256" s="140"/>
      <c r="P256" s="140"/>
      <c r="Q256" s="140"/>
      <c r="R256" s="5"/>
    </row>
    <row r="257" spans="1:18" ht="15.6" x14ac:dyDescent="0.3">
      <c r="A257" s="145"/>
      <c r="B257" s="140"/>
      <c r="C257" s="8"/>
      <c r="D257" s="8"/>
      <c r="E257" s="8"/>
      <c r="F257" s="8"/>
      <c r="G257" s="8"/>
      <c r="H257" s="8"/>
      <c r="I257" s="140"/>
      <c r="J257" s="140"/>
      <c r="K257" s="140"/>
      <c r="L257" s="140"/>
      <c r="M257" s="140"/>
      <c r="N257" s="140"/>
      <c r="O257" s="140"/>
      <c r="P257" s="140"/>
      <c r="Q257" s="140"/>
      <c r="R257" s="5"/>
    </row>
    <row r="258" spans="1:18" ht="15.6" x14ac:dyDescent="0.3">
      <c r="A258" s="145"/>
      <c r="B258" s="13" t="s">
        <v>103</v>
      </c>
      <c r="C258" s="13"/>
      <c r="D258" s="13"/>
      <c r="E258" s="13"/>
      <c r="F258" s="134" t="s">
        <v>212</v>
      </c>
      <c r="G258" s="13"/>
      <c r="H258" s="13" t="s">
        <v>222</v>
      </c>
      <c r="I258" s="140"/>
      <c r="J258" s="140"/>
      <c r="K258" s="140"/>
      <c r="L258" s="140"/>
      <c r="M258" s="140"/>
      <c r="N258" s="140"/>
      <c r="O258" s="140"/>
      <c r="P258" s="140"/>
      <c r="Q258" s="140"/>
      <c r="R258" s="5"/>
    </row>
    <row r="259" spans="1:18" ht="15.6" x14ac:dyDescent="0.3">
      <c r="A259" s="145"/>
      <c r="B259" s="13" t="s">
        <v>263</v>
      </c>
      <c r="C259" s="13"/>
      <c r="D259" s="13"/>
      <c r="E259" s="13"/>
      <c r="F259" s="134" t="s">
        <v>264</v>
      </c>
      <c r="G259" s="13"/>
      <c r="H259" s="13" t="s">
        <v>265</v>
      </c>
      <c r="I259" s="140"/>
      <c r="J259" s="140"/>
      <c r="K259" s="140"/>
      <c r="L259" s="140"/>
      <c r="M259" s="140"/>
      <c r="N259" s="140"/>
      <c r="O259" s="140"/>
      <c r="P259" s="140"/>
      <c r="Q259" s="140"/>
      <c r="R259" s="5"/>
    </row>
    <row r="260" spans="1:18" ht="15.6" x14ac:dyDescent="0.3">
      <c r="A260" s="145"/>
      <c r="B260" s="13" t="s">
        <v>104</v>
      </c>
      <c r="C260" s="13"/>
      <c r="D260" s="13"/>
      <c r="E260" s="13"/>
      <c r="F260" s="134" t="s">
        <v>211</v>
      </c>
      <c r="G260" s="13"/>
      <c r="H260" s="13" t="s">
        <v>223</v>
      </c>
      <c r="I260" s="140"/>
      <c r="J260" s="140"/>
      <c r="K260" s="140"/>
      <c r="L260" s="140"/>
      <c r="M260" s="140"/>
      <c r="N260" s="140"/>
      <c r="O260" s="140"/>
      <c r="P260" s="140"/>
      <c r="Q260" s="140"/>
      <c r="R260" s="5"/>
    </row>
    <row r="261" spans="1:18" ht="15.6" x14ac:dyDescent="0.3">
      <c r="A261" s="145"/>
      <c r="B261" s="13"/>
      <c r="C261" s="13"/>
      <c r="D261" s="13"/>
      <c r="E261" s="99"/>
      <c r="F261" s="140"/>
      <c r="G261" s="140"/>
      <c r="H261" s="140"/>
      <c r="I261" s="140"/>
      <c r="J261" s="140"/>
      <c r="K261" s="140"/>
      <c r="L261" s="140"/>
      <c r="M261" s="140"/>
      <c r="N261" s="140"/>
      <c r="O261" s="140"/>
      <c r="P261" s="140"/>
      <c r="Q261" s="140"/>
      <c r="R261" s="5"/>
    </row>
    <row r="262" spans="1:18" ht="15.6" x14ac:dyDescent="0.3">
      <c r="A262" s="145"/>
      <c r="B262" s="13"/>
      <c r="C262" s="13"/>
      <c r="D262" s="13"/>
      <c r="E262" s="99"/>
      <c r="F262" s="140"/>
      <c r="G262" s="140"/>
      <c r="H262" s="140"/>
      <c r="I262" s="140"/>
      <c r="J262" s="140"/>
      <c r="K262" s="140"/>
      <c r="L262" s="140"/>
      <c r="M262" s="140"/>
      <c r="N262" s="140"/>
      <c r="O262" s="140"/>
      <c r="P262" s="140"/>
      <c r="Q262" s="140"/>
      <c r="R262" s="5"/>
    </row>
    <row r="263" spans="1:18" ht="18" thickBot="1" x14ac:dyDescent="0.35">
      <c r="A263" s="145"/>
      <c r="B263" s="49" t="str">
        <f>B181</f>
        <v>PM7 INVESTOR REPORT QUARTER ENDING JULY 2007</v>
      </c>
      <c r="C263" s="13"/>
      <c r="D263" s="13"/>
      <c r="E263" s="99"/>
      <c r="F263" s="140"/>
      <c r="G263" s="140"/>
      <c r="H263" s="140"/>
      <c r="I263" s="140"/>
      <c r="J263" s="140"/>
      <c r="K263" s="140"/>
      <c r="L263" s="140"/>
      <c r="M263" s="140"/>
      <c r="N263" s="140"/>
      <c r="O263" s="140"/>
      <c r="P263" s="140"/>
      <c r="Q263" s="140"/>
      <c r="R263" s="5"/>
    </row>
    <row r="264" spans="1:18" x14ac:dyDescent="0.25">
      <c r="A264" s="100"/>
      <c r="B264" s="100"/>
      <c r="C264" s="100"/>
      <c r="D264" s="100"/>
      <c r="E264" s="100"/>
      <c r="F264" s="100"/>
      <c r="G264" s="100"/>
      <c r="H264" s="100"/>
      <c r="I264" s="100"/>
      <c r="J264" s="100"/>
      <c r="K264" s="100"/>
      <c r="L264" s="100"/>
      <c r="M264" s="100"/>
      <c r="N264" s="100"/>
      <c r="O264" s="100"/>
      <c r="P264" s="100"/>
      <c r="Q264" s="100"/>
    </row>
  </sheetData>
  <phoneticPr fontId="0" type="noConversion"/>
  <hyperlinks>
    <hyperlink ref="H9" r:id="rId1"/>
    <hyperlink ref="J218"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1" max="14" man="1"/>
    <brk id="181" max="14"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S264"/>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0.94789999999999996</v>
      </c>
      <c r="N17" s="17" t="s">
        <v>173</v>
      </c>
      <c r="O17" s="138">
        <v>5.21E-2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39409</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259966.75500000003</v>
      </c>
      <c r="E34" s="31"/>
      <c r="F34" s="131">
        <f>+F33*F40</f>
        <v>127075.74</v>
      </c>
      <c r="G34" s="31"/>
      <c r="H34" s="124">
        <f>+H33*H40</f>
        <v>288861.65000000002</v>
      </c>
      <c r="I34" s="31"/>
      <c r="J34" s="130">
        <v>82500</v>
      </c>
      <c r="K34" s="31"/>
      <c r="L34" s="124">
        <v>65000</v>
      </c>
      <c r="M34" s="31"/>
      <c r="N34" s="31"/>
      <c r="O34" s="142"/>
      <c r="P34" s="31"/>
      <c r="Q34" s="34"/>
      <c r="R34" s="5"/>
    </row>
    <row r="35" spans="1:18" ht="15.6" x14ac:dyDescent="0.3">
      <c r="A35" s="28"/>
      <c r="B35" s="29" t="s">
        <v>158</v>
      </c>
      <c r="C35" s="36"/>
      <c r="D35" s="129">
        <f>+D33*D39</f>
        <v>235374.39</v>
      </c>
      <c r="E35" s="35"/>
      <c r="F35" s="132">
        <f>+F33*F39</f>
        <v>115050.31999999999</v>
      </c>
      <c r="G35" s="35"/>
      <c r="H35" s="125">
        <f>+H33*H39</f>
        <v>261538.05000000002</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146130.83473861724</v>
      </c>
      <c r="E37" s="31"/>
      <c r="F37" s="31">
        <f>+F34</f>
        <v>127075.74</v>
      </c>
      <c r="G37" s="31"/>
      <c r="H37" s="31">
        <f>+H34/1.481481</f>
        <v>194981.67711904508</v>
      </c>
      <c r="I37" s="31"/>
      <c r="J37" s="31">
        <v>46374</v>
      </c>
      <c r="K37" s="31"/>
      <c r="L37" s="31">
        <v>43875</v>
      </c>
      <c r="M37" s="31"/>
      <c r="N37" s="31"/>
      <c r="O37" s="142"/>
      <c r="P37" s="31">
        <f>SUM(C37:L37)</f>
        <v>558437.25185766234</v>
      </c>
      <c r="Q37" s="34"/>
      <c r="R37" s="5"/>
    </row>
    <row r="38" spans="1:18" ht="15.6" x14ac:dyDescent="0.3">
      <c r="A38" s="28"/>
      <c r="B38" s="29" t="s">
        <v>281</v>
      </c>
      <c r="C38" s="36"/>
      <c r="D38" s="35">
        <f>D35/1.779</f>
        <v>132307.13322091065</v>
      </c>
      <c r="E38" s="35"/>
      <c r="F38" s="35">
        <f>+F35</f>
        <v>115050.31999999999</v>
      </c>
      <c r="G38" s="35"/>
      <c r="H38" s="35">
        <f>H35/1.481481</f>
        <v>176538.24112492838</v>
      </c>
      <c r="I38" s="35"/>
      <c r="J38" s="35">
        <v>46374</v>
      </c>
      <c r="K38" s="35"/>
      <c r="L38" s="35">
        <v>43875</v>
      </c>
      <c r="M38" s="35"/>
      <c r="N38" s="35"/>
      <c r="O38" s="37"/>
      <c r="P38" s="35">
        <f>SUM(D38:L38)</f>
        <v>514144.69434583897</v>
      </c>
      <c r="Q38" s="34"/>
      <c r="R38" s="5"/>
    </row>
    <row r="39" spans="1:18" ht="15.6" x14ac:dyDescent="0.3">
      <c r="A39" s="28"/>
      <c r="B39" s="122" t="s">
        <v>154</v>
      </c>
      <c r="C39" s="126"/>
      <c r="D39" s="174">
        <v>0.52305420000000002</v>
      </c>
      <c r="E39" s="174"/>
      <c r="F39" s="174">
        <v>0.52295599999999998</v>
      </c>
      <c r="G39" s="174"/>
      <c r="H39" s="174">
        <v>0.52307610000000004</v>
      </c>
      <c r="I39" s="174"/>
      <c r="J39" s="174">
        <v>1</v>
      </c>
      <c r="K39" s="174"/>
      <c r="L39" s="174">
        <v>1</v>
      </c>
      <c r="M39" s="31"/>
      <c r="N39" s="31"/>
      <c r="O39" s="142"/>
      <c r="P39" s="31"/>
      <c r="Q39" s="34"/>
      <c r="R39" s="5"/>
    </row>
    <row r="40" spans="1:18" ht="15.6" x14ac:dyDescent="0.3">
      <c r="A40" s="28"/>
      <c r="B40" s="122" t="s">
        <v>155</v>
      </c>
      <c r="C40" s="126"/>
      <c r="D40" s="174">
        <v>0.57770390000000005</v>
      </c>
      <c r="E40" s="174"/>
      <c r="F40" s="174">
        <v>0.57761700000000005</v>
      </c>
      <c r="G40" s="174"/>
      <c r="H40" s="174">
        <v>0.57772330000000005</v>
      </c>
      <c r="I40" s="174"/>
      <c r="J40" s="174">
        <v>1</v>
      </c>
      <c r="K40" s="174"/>
      <c r="L40" s="174">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5.7674999999999997E-2</v>
      </c>
      <c r="E42" s="39"/>
      <c r="F42" s="38">
        <v>6.5975000000000006E-2</v>
      </c>
      <c r="G42" s="39"/>
      <c r="H42" s="38">
        <v>4.7160000000000001E-2</v>
      </c>
      <c r="I42" s="39"/>
      <c r="J42" s="38">
        <v>6.3075000000000006E-2</v>
      </c>
      <c r="K42" s="39"/>
      <c r="L42" s="38">
        <v>5.2560000000000003E-2</v>
      </c>
      <c r="M42" s="39"/>
      <c r="N42" s="38"/>
      <c r="O42" s="141"/>
      <c r="P42" s="39"/>
      <c r="Q42" s="25"/>
      <c r="R42" s="5"/>
    </row>
    <row r="43" spans="1:18" ht="15.6" x14ac:dyDescent="0.3">
      <c r="A43" s="24"/>
      <c r="B43" s="25" t="s">
        <v>14</v>
      </c>
      <c r="C43" s="25"/>
      <c r="D43" s="38">
        <v>5.57E-2</v>
      </c>
      <c r="E43" s="39"/>
      <c r="F43" s="38">
        <v>5.9639999999999999E-2</v>
      </c>
      <c r="G43" s="39"/>
      <c r="H43" s="38">
        <v>4.2709999999999998E-2</v>
      </c>
      <c r="I43" s="39"/>
      <c r="J43" s="38">
        <v>6.1100000000000002E-2</v>
      </c>
      <c r="K43" s="39"/>
      <c r="L43" s="38">
        <v>4.811E-2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6.6919999999999993E-2</v>
      </c>
      <c r="E45" s="39"/>
      <c r="F45" s="38">
        <f>+F42</f>
        <v>6.5975000000000006E-2</v>
      </c>
      <c r="G45" s="39"/>
      <c r="H45" s="38">
        <v>6.6799999999999998E-2</v>
      </c>
      <c r="I45" s="39"/>
      <c r="J45" s="38">
        <v>7.3050000000000004E-2</v>
      </c>
      <c r="K45" s="39"/>
      <c r="L45" s="38">
        <v>7.3050000000000004E-2</v>
      </c>
      <c r="M45" s="39"/>
      <c r="N45" s="38"/>
      <c r="O45" s="141"/>
      <c r="P45" s="39">
        <f>SUMPRODUCT(D45:L45,D37:L37)/P37</f>
        <v>6.7653729694934717E-2</v>
      </c>
      <c r="Q45" s="25"/>
      <c r="R45" s="5"/>
    </row>
    <row r="46" spans="1:18" ht="15.6" x14ac:dyDescent="0.3">
      <c r="A46" s="24"/>
      <c r="B46" s="25" t="s">
        <v>283</v>
      </c>
      <c r="C46" s="25"/>
      <c r="D46" s="38">
        <v>6.0585E-2</v>
      </c>
      <c r="E46" s="39"/>
      <c r="F46" s="38">
        <f>+F43</f>
        <v>5.9639999999999999E-2</v>
      </c>
      <c r="G46" s="39"/>
      <c r="H46" s="38">
        <v>6.0464999999999998E-2</v>
      </c>
      <c r="I46" s="39"/>
      <c r="J46" s="38">
        <v>6.6714999999999997E-2</v>
      </c>
      <c r="K46" s="39"/>
      <c r="L46" s="38">
        <v>6.6714999999999997E-2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0.21290379025734943</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39401</v>
      </c>
      <c r="Q57" s="25"/>
      <c r="R57" s="5"/>
    </row>
    <row r="58" spans="1:18" ht="15.6" x14ac:dyDescent="0.3">
      <c r="A58" s="24"/>
      <c r="B58" s="25" t="s">
        <v>142</v>
      </c>
      <c r="C58" s="25"/>
      <c r="D58" s="25"/>
      <c r="E58" s="25"/>
      <c r="F58" s="58"/>
      <c r="G58" s="58"/>
      <c r="H58" s="58"/>
      <c r="I58" s="58"/>
      <c r="J58" s="58"/>
      <c r="K58" s="58"/>
      <c r="L58" s="25">
        <f>+P58-N58+1</f>
        <v>92</v>
      </c>
      <c r="M58" s="58"/>
      <c r="N58" s="45">
        <v>39217</v>
      </c>
      <c r="O58" s="46"/>
      <c r="P58" s="45">
        <v>39308</v>
      </c>
      <c r="Q58" s="25"/>
      <c r="R58" s="5"/>
    </row>
    <row r="59" spans="1:18" ht="15.6" x14ac:dyDescent="0.3">
      <c r="A59" s="24"/>
      <c r="B59" s="25" t="s">
        <v>143</v>
      </c>
      <c r="C59" s="25"/>
      <c r="D59" s="25"/>
      <c r="E59" s="25"/>
      <c r="F59" s="25"/>
      <c r="G59" s="25"/>
      <c r="H59" s="25"/>
      <c r="I59" s="25"/>
      <c r="J59" s="25"/>
      <c r="K59" s="25"/>
      <c r="L59" s="25">
        <f>+P59-N59+1</f>
        <v>92</v>
      </c>
      <c r="M59" s="25"/>
      <c r="N59" s="45">
        <v>39309</v>
      </c>
      <c r="O59" s="46"/>
      <c r="P59" s="45">
        <v>39400</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39387</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266</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558437</v>
      </c>
      <c r="I70" s="34"/>
      <c r="J70" s="34">
        <f>44293+4363+53-1</f>
        <v>48708</v>
      </c>
      <c r="K70" s="34"/>
      <c r="L70" s="34">
        <f>4363+53</f>
        <v>4416</v>
      </c>
      <c r="M70" s="34"/>
      <c r="N70" s="34">
        <v>0</v>
      </c>
      <c r="O70" s="34"/>
      <c r="P70" s="53">
        <f>+H70-J70+L70-N70</f>
        <v>514145</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558437</v>
      </c>
      <c r="I73" s="34"/>
      <c r="J73" s="34">
        <f>SUM(J70:J72)</f>
        <v>48708</v>
      </c>
      <c r="K73" s="34"/>
      <c r="L73" s="34">
        <f>SUM(L70:L72)</f>
        <v>4416</v>
      </c>
      <c r="M73" s="34"/>
      <c r="N73" s="34">
        <f>SUM(N70:N72)</f>
        <v>0</v>
      </c>
      <c r="O73" s="34"/>
      <c r="P73" s="54">
        <f>SUM(P70:P72)</f>
        <v>514145</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558437</v>
      </c>
      <c r="I86" s="34"/>
      <c r="J86" s="34"/>
      <c r="K86" s="34"/>
      <c r="L86" s="34"/>
      <c r="M86" s="34"/>
      <c r="N86" s="54"/>
      <c r="O86" s="34"/>
      <c r="P86" s="54">
        <f>SUM(P73:P85)</f>
        <v>514145</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39386</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f>48708-163</f>
        <v>48545</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12967+628-4259-169-142</f>
        <v>9025</v>
      </c>
      <c r="Q92" s="25"/>
      <c r="R92" s="5"/>
    </row>
    <row r="93" spans="1:18" ht="15.6" x14ac:dyDescent="0.3">
      <c r="A93" s="24"/>
      <c r="B93" s="25" t="s">
        <v>249</v>
      </c>
      <c r="C93" s="25"/>
      <c r="D93" s="25"/>
      <c r="E93" s="25"/>
      <c r="F93" s="40"/>
      <c r="G93" s="57"/>
      <c r="H93" s="127"/>
      <c r="I93" s="25"/>
      <c r="J93" s="25"/>
      <c r="K93" s="25"/>
      <c r="L93" s="25"/>
      <c r="M93" s="25"/>
      <c r="N93" s="34"/>
      <c r="O93" s="25"/>
      <c r="P93" s="53">
        <f>661+17</f>
        <v>678</v>
      </c>
      <c r="Q93" s="25"/>
      <c r="R93" s="5"/>
    </row>
    <row r="94" spans="1:18" ht="15.6" x14ac:dyDescent="0.3">
      <c r="A94" s="24"/>
      <c r="B94" s="25" t="s">
        <v>250</v>
      </c>
      <c r="C94" s="25"/>
      <c r="D94" s="25"/>
      <c r="E94" s="25"/>
      <c r="F94" s="40"/>
      <c r="G94" s="57"/>
      <c r="H94" s="127"/>
      <c r="I94" s="25"/>
      <c r="J94" s="25"/>
      <c r="K94" s="25"/>
      <c r="L94" s="25"/>
      <c r="M94" s="25"/>
      <c r="N94" s="34"/>
      <c r="O94" s="25"/>
      <c r="P94" s="53">
        <v>690</v>
      </c>
      <c r="Q94" s="25"/>
      <c r="R94" s="5"/>
    </row>
    <row r="95" spans="1:18" ht="15.6" x14ac:dyDescent="0.3">
      <c r="A95" s="24"/>
      <c r="B95" s="25" t="s">
        <v>259</v>
      </c>
      <c r="C95" s="25"/>
      <c r="D95" s="25"/>
      <c r="E95" s="25"/>
      <c r="F95" s="40"/>
      <c r="G95" s="57"/>
      <c r="H95" s="127"/>
      <c r="I95" s="25"/>
      <c r="J95" s="25"/>
      <c r="K95" s="25"/>
      <c r="L95" s="25"/>
      <c r="M95" s="25"/>
      <c r="N95" s="34"/>
      <c r="O95" s="25"/>
      <c r="P95" s="53">
        <v>483</v>
      </c>
      <c r="Q95" s="25"/>
      <c r="R95" s="5"/>
    </row>
    <row r="96" spans="1:18" ht="15.6" x14ac:dyDescent="0.3">
      <c r="A96" s="24"/>
      <c r="B96" s="25" t="s">
        <v>160</v>
      </c>
      <c r="C96" s="25"/>
      <c r="D96" s="25"/>
      <c r="E96" s="25"/>
      <c r="F96" s="25"/>
      <c r="G96" s="25"/>
      <c r="H96" s="25"/>
      <c r="I96" s="25"/>
      <c r="J96" s="25"/>
      <c r="K96" s="25"/>
      <c r="L96" s="25"/>
      <c r="M96" s="25"/>
      <c r="N96" s="34"/>
      <c r="O96" s="25"/>
      <c r="P96" s="53">
        <v>0</v>
      </c>
      <c r="Q96" s="25"/>
      <c r="R96" s="5"/>
    </row>
    <row r="97" spans="1:19" ht="15.6" x14ac:dyDescent="0.3">
      <c r="A97" s="24"/>
      <c r="B97" s="25" t="s">
        <v>192</v>
      </c>
      <c r="C97" s="25"/>
      <c r="D97" s="25"/>
      <c r="E97" s="25"/>
      <c r="F97" s="25"/>
      <c r="G97" s="25"/>
      <c r="H97" s="25"/>
      <c r="I97" s="25"/>
      <c r="J97" s="25"/>
      <c r="K97" s="25"/>
      <c r="L97" s="25"/>
      <c r="M97" s="25"/>
      <c r="N97" s="34"/>
      <c r="O97" s="25"/>
      <c r="P97" s="53">
        <v>521</v>
      </c>
      <c r="Q97" s="25"/>
      <c r="R97" s="5"/>
    </row>
    <row r="98" spans="1:19" ht="15.6" x14ac:dyDescent="0.3">
      <c r="A98" s="24"/>
      <c r="B98" s="25" t="s">
        <v>35</v>
      </c>
      <c r="C98" s="25"/>
      <c r="D98" s="25"/>
      <c r="E98" s="25"/>
      <c r="F98" s="25"/>
      <c r="G98" s="25"/>
      <c r="H98" s="25"/>
      <c r="I98" s="25"/>
      <c r="J98" s="25"/>
      <c r="K98" s="25"/>
      <c r="L98" s="25"/>
      <c r="M98" s="25"/>
      <c r="N98" s="34">
        <f>SUM(N90:N97)</f>
        <v>48545</v>
      </c>
      <c r="O98" s="25"/>
      <c r="P98" s="54">
        <f>SUM(P90:P97)</f>
        <v>11397</v>
      </c>
      <c r="Q98" s="25"/>
      <c r="R98" s="5"/>
    </row>
    <row r="99" spans="1:19" ht="15.6" x14ac:dyDescent="0.3">
      <c r="A99" s="24"/>
      <c r="B99" s="25" t="s">
        <v>237</v>
      </c>
      <c r="C99" s="25"/>
      <c r="D99" s="25"/>
      <c r="E99" s="25"/>
      <c r="F99" s="25"/>
      <c r="G99" s="25"/>
      <c r="H99" s="25"/>
      <c r="I99" s="25"/>
      <c r="J99" s="25"/>
      <c r="K99" s="25"/>
      <c r="L99" s="25"/>
      <c r="M99" s="25"/>
      <c r="N99" s="34">
        <v>-15</v>
      </c>
      <c r="O99" s="25"/>
      <c r="P99" s="54">
        <f>-N99</f>
        <v>15</v>
      </c>
      <c r="Q99" s="25"/>
      <c r="R99" s="5"/>
    </row>
    <row r="100" spans="1:19" ht="15.6" x14ac:dyDescent="0.3">
      <c r="A100" s="24"/>
      <c r="B100" s="25" t="s">
        <v>36</v>
      </c>
      <c r="C100" s="25"/>
      <c r="D100" s="25"/>
      <c r="E100" s="25"/>
      <c r="F100" s="25"/>
      <c r="G100" s="25"/>
      <c r="H100" s="25"/>
      <c r="I100" s="25"/>
      <c r="J100" s="25"/>
      <c r="K100" s="25"/>
      <c r="L100" s="25"/>
      <c r="M100" s="25"/>
      <c r="N100" s="34">
        <f>-P100</f>
        <v>0</v>
      </c>
      <c r="O100" s="25"/>
      <c r="P100" s="53">
        <v>0</v>
      </c>
      <c r="Q100" s="25"/>
      <c r="R100" s="5"/>
    </row>
    <row r="101" spans="1:19" ht="15.6" x14ac:dyDescent="0.3">
      <c r="A101" s="24"/>
      <c r="B101" s="25" t="s">
        <v>37</v>
      </c>
      <c r="C101" s="25"/>
      <c r="D101" s="25"/>
      <c r="E101" s="25"/>
      <c r="F101" s="25"/>
      <c r="G101" s="25"/>
      <c r="H101" s="25"/>
      <c r="I101" s="25"/>
      <c r="J101" s="25"/>
      <c r="K101" s="25"/>
      <c r="L101" s="25"/>
      <c r="M101" s="25"/>
      <c r="N101" s="34">
        <f>N98+N100+N99</f>
        <v>48530</v>
      </c>
      <c r="O101" s="25"/>
      <c r="P101" s="54">
        <f>P98+P100+P99</f>
        <v>11412</v>
      </c>
      <c r="Q101" s="25"/>
      <c r="R101" s="5"/>
      <c r="S101" s="154"/>
    </row>
    <row r="102" spans="1:19" ht="15.6" x14ac:dyDescent="0.3">
      <c r="A102" s="24"/>
      <c r="B102" s="118" t="s">
        <v>38</v>
      </c>
      <c r="C102" s="25"/>
      <c r="D102" s="25"/>
      <c r="E102" s="25"/>
      <c r="F102" s="25"/>
      <c r="G102" s="25"/>
      <c r="H102" s="25"/>
      <c r="I102" s="25"/>
      <c r="J102" s="25"/>
      <c r="K102" s="25"/>
      <c r="L102" s="25"/>
      <c r="M102" s="25"/>
      <c r="N102" s="34"/>
      <c r="O102" s="25"/>
      <c r="P102" s="53"/>
      <c r="Q102" s="25"/>
      <c r="R102" s="5"/>
    </row>
    <row r="103" spans="1:19" ht="15.6" x14ac:dyDescent="0.3">
      <c r="A103" s="24">
        <v>1</v>
      </c>
      <c r="B103" s="25" t="s">
        <v>39</v>
      </c>
      <c r="C103" s="25"/>
      <c r="D103" s="25"/>
      <c r="E103" s="25"/>
      <c r="F103" s="25"/>
      <c r="G103" s="25"/>
      <c r="H103" s="25"/>
      <c r="I103" s="25"/>
      <c r="J103" s="25"/>
      <c r="K103" s="25"/>
      <c r="L103" s="25"/>
      <c r="M103" s="25"/>
      <c r="N103" s="25"/>
      <c r="O103" s="25"/>
      <c r="P103" s="53">
        <v>0</v>
      </c>
      <c r="Q103" s="25"/>
      <c r="R103" s="5"/>
    </row>
    <row r="104" spans="1:19" ht="15.6" x14ac:dyDescent="0.3">
      <c r="A104" s="24">
        <f>+A103+1</f>
        <v>2</v>
      </c>
      <c r="B104" s="25" t="s">
        <v>40</v>
      </c>
      <c r="C104" s="25"/>
      <c r="D104" s="25"/>
      <c r="E104" s="25"/>
      <c r="F104" s="25"/>
      <c r="G104" s="25"/>
      <c r="H104" s="25"/>
      <c r="I104" s="25"/>
      <c r="J104" s="25"/>
      <c r="K104" s="25"/>
      <c r="L104" s="25"/>
      <c r="M104" s="25"/>
      <c r="N104" s="25"/>
      <c r="O104" s="25"/>
      <c r="P104" s="53">
        <v>-2</v>
      </c>
      <c r="Q104" s="25"/>
      <c r="R104" s="5"/>
    </row>
    <row r="105" spans="1:19" ht="15.6" x14ac:dyDescent="0.3">
      <c r="A105" s="24">
        <f>+A104+1</f>
        <v>3</v>
      </c>
      <c r="B105" s="25" t="s">
        <v>226</v>
      </c>
      <c r="C105" s="25"/>
      <c r="D105" s="25"/>
      <c r="E105" s="25"/>
      <c r="F105" s="25"/>
      <c r="G105" s="25"/>
      <c r="H105" s="25"/>
      <c r="I105" s="25"/>
      <c r="J105" s="25"/>
      <c r="K105" s="25"/>
      <c r="L105" s="25"/>
      <c r="M105" s="25"/>
      <c r="N105" s="25"/>
      <c r="O105" s="25"/>
      <c r="P105" s="53">
        <f>-140-29-7</f>
        <v>-176</v>
      </c>
      <c r="Q105" s="25"/>
      <c r="R105" s="5"/>
    </row>
    <row r="106" spans="1:19" ht="15.6" x14ac:dyDescent="0.3">
      <c r="A106" s="24" t="s">
        <v>151</v>
      </c>
      <c r="B106" s="25" t="s">
        <v>131</v>
      </c>
      <c r="C106" s="25"/>
      <c r="D106" s="25"/>
      <c r="E106" s="25"/>
      <c r="F106" s="25"/>
      <c r="G106" s="25"/>
      <c r="H106" s="25"/>
      <c r="I106" s="25"/>
      <c r="J106" s="25"/>
      <c r="K106" s="25"/>
      <c r="L106" s="25"/>
      <c r="M106" s="25"/>
      <c r="N106" s="25"/>
      <c r="O106" s="25"/>
      <c r="P106" s="53">
        <v>0</v>
      </c>
      <c r="Q106" s="25"/>
      <c r="R106" s="5"/>
    </row>
    <row r="107" spans="1:19" ht="15.6" x14ac:dyDescent="0.3">
      <c r="A107" s="24" t="s">
        <v>152</v>
      </c>
      <c r="B107" s="25" t="s">
        <v>195</v>
      </c>
      <c r="C107" s="25"/>
      <c r="D107" s="25"/>
      <c r="E107" s="25"/>
      <c r="F107" s="25"/>
      <c r="G107" s="25"/>
      <c r="H107" s="25"/>
      <c r="I107" s="25"/>
      <c r="J107" s="25"/>
      <c r="K107" s="25"/>
      <c r="L107" s="25"/>
      <c r="M107" s="25"/>
      <c r="N107" s="25"/>
      <c r="O107" s="25"/>
      <c r="P107" s="53">
        <v>-2465</v>
      </c>
      <c r="Q107" s="25"/>
      <c r="R107" s="5"/>
      <c r="S107" s="109"/>
    </row>
    <row r="108" spans="1:19" ht="15.6" x14ac:dyDescent="0.3">
      <c r="A108" s="24" t="s">
        <v>217</v>
      </c>
      <c r="B108" s="25" t="s">
        <v>196</v>
      </c>
      <c r="C108" s="25"/>
      <c r="D108" s="25"/>
      <c r="E108" s="25"/>
      <c r="F108" s="25"/>
      <c r="G108" s="25"/>
      <c r="H108" s="25"/>
      <c r="I108" s="25"/>
      <c r="J108" s="25"/>
      <c r="K108" s="25"/>
      <c r="L108" s="25"/>
      <c r="M108" s="25"/>
      <c r="N108" s="25"/>
      <c r="O108" s="25"/>
      <c r="P108" s="53">
        <v>-2113</v>
      </c>
      <c r="Q108" s="25"/>
      <c r="R108" s="5"/>
      <c r="S108" s="109"/>
    </row>
    <row r="109" spans="1:19" ht="15.6" x14ac:dyDescent="0.3">
      <c r="A109" s="24" t="s">
        <v>218</v>
      </c>
      <c r="B109" s="25" t="s">
        <v>197</v>
      </c>
      <c r="C109" s="25"/>
      <c r="D109" s="25"/>
      <c r="E109" s="25"/>
      <c r="F109" s="25"/>
      <c r="G109" s="25"/>
      <c r="H109" s="25"/>
      <c r="I109" s="25"/>
      <c r="J109" s="25"/>
      <c r="K109" s="25"/>
      <c r="L109" s="25"/>
      <c r="M109" s="25"/>
      <c r="N109" s="25"/>
      <c r="O109" s="25"/>
      <c r="P109" s="53">
        <v>-3283</v>
      </c>
      <c r="Q109" s="25"/>
      <c r="R109" s="5"/>
      <c r="S109" s="109"/>
    </row>
    <row r="110" spans="1:19" ht="15.6" x14ac:dyDescent="0.3">
      <c r="A110" s="24" t="s">
        <v>147</v>
      </c>
      <c r="B110" s="25" t="s">
        <v>146</v>
      </c>
      <c r="C110" s="25"/>
      <c r="D110" s="25"/>
      <c r="E110" s="25"/>
      <c r="F110" s="25"/>
      <c r="G110" s="25"/>
      <c r="H110" s="25"/>
      <c r="I110" s="25"/>
      <c r="J110" s="25"/>
      <c r="K110" s="25"/>
      <c r="L110" s="25"/>
      <c r="M110" s="25"/>
      <c r="N110" s="25"/>
      <c r="O110" s="25"/>
      <c r="P110" s="53">
        <v>-854</v>
      </c>
      <c r="Q110" s="25"/>
      <c r="R110" s="5"/>
      <c r="S110" s="109"/>
    </row>
    <row r="111" spans="1:19" ht="15.6" x14ac:dyDescent="0.3">
      <c r="A111" s="24" t="s">
        <v>148</v>
      </c>
      <c r="B111" s="25" t="s">
        <v>198</v>
      </c>
      <c r="C111" s="25"/>
      <c r="D111" s="25"/>
      <c r="E111" s="25"/>
      <c r="F111" s="25"/>
      <c r="G111" s="25"/>
      <c r="H111" s="25"/>
      <c r="I111" s="25"/>
      <c r="J111" s="25"/>
      <c r="K111" s="25"/>
      <c r="L111" s="25"/>
      <c r="M111" s="25"/>
      <c r="N111" s="25"/>
      <c r="O111" s="25"/>
      <c r="P111" s="53">
        <v>-808</v>
      </c>
      <c r="Q111" s="25"/>
      <c r="R111" s="5"/>
      <c r="S111" s="109"/>
    </row>
    <row r="112" spans="1:19" ht="15.6" x14ac:dyDescent="0.3">
      <c r="A112" s="24">
        <v>6</v>
      </c>
      <c r="B112" s="25" t="s">
        <v>41</v>
      </c>
      <c r="C112" s="25"/>
      <c r="D112" s="25"/>
      <c r="E112" s="25"/>
      <c r="F112" s="25"/>
      <c r="G112" s="25"/>
      <c r="H112" s="25"/>
      <c r="I112" s="25"/>
      <c r="J112" s="25"/>
      <c r="K112" s="25"/>
      <c r="L112" s="25"/>
      <c r="M112" s="25"/>
      <c r="N112" s="25"/>
      <c r="O112" s="25"/>
      <c r="P112" s="53">
        <v>-10</v>
      </c>
      <c r="Q112" s="25"/>
      <c r="R112" s="5"/>
    </row>
    <row r="113" spans="1:18" ht="15.6" x14ac:dyDescent="0.3">
      <c r="A113" s="24">
        <f t="shared" ref="A113:A118" si="0">+A112+1</f>
        <v>7</v>
      </c>
      <c r="B113" s="25" t="s">
        <v>53</v>
      </c>
      <c r="C113" s="25"/>
      <c r="D113" s="25"/>
      <c r="E113" s="25"/>
      <c r="F113" s="25"/>
      <c r="G113" s="25"/>
      <c r="H113" s="25"/>
      <c r="I113" s="25"/>
      <c r="J113" s="25"/>
      <c r="K113" s="25"/>
      <c r="L113" s="25"/>
      <c r="M113" s="25"/>
      <c r="N113" s="34">
        <f>-P113</f>
        <v>163</v>
      </c>
      <c r="O113" s="25"/>
      <c r="P113" s="53">
        <v>-163</v>
      </c>
      <c r="Q113" s="25"/>
      <c r="R113" s="5"/>
    </row>
    <row r="114" spans="1:18" ht="15.6" x14ac:dyDescent="0.3">
      <c r="A114" s="24">
        <f t="shared" si="0"/>
        <v>8</v>
      </c>
      <c r="B114" s="25" t="s">
        <v>149</v>
      </c>
      <c r="C114" s="25"/>
      <c r="D114" s="25"/>
      <c r="E114" s="25"/>
      <c r="F114" s="25"/>
      <c r="G114" s="25"/>
      <c r="H114" s="25"/>
      <c r="I114" s="25"/>
      <c r="J114" s="25"/>
      <c r="K114" s="25"/>
      <c r="L114" s="25"/>
      <c r="M114" s="25"/>
      <c r="N114" s="25"/>
      <c r="O114" s="25"/>
      <c r="P114" s="53">
        <v>0</v>
      </c>
      <c r="Q114" s="25"/>
      <c r="R114" s="5"/>
    </row>
    <row r="115" spans="1:18" ht="15.6" x14ac:dyDescent="0.3">
      <c r="A115" s="24">
        <f t="shared" si="0"/>
        <v>9</v>
      </c>
      <c r="B115" s="25" t="s">
        <v>42</v>
      </c>
      <c r="C115" s="25"/>
      <c r="D115" s="25"/>
      <c r="E115" s="25"/>
      <c r="F115" s="25"/>
      <c r="G115" s="25"/>
      <c r="H115" s="25"/>
      <c r="I115" s="25"/>
      <c r="J115" s="25"/>
      <c r="K115" s="25"/>
      <c r="L115" s="25"/>
      <c r="M115" s="25"/>
      <c r="N115" s="25"/>
      <c r="O115" s="25"/>
      <c r="P115" s="53">
        <v>0</v>
      </c>
      <c r="Q115" s="25"/>
      <c r="R115" s="5"/>
    </row>
    <row r="116" spans="1:18" ht="15.6" x14ac:dyDescent="0.3">
      <c r="A116" s="24">
        <f t="shared" si="0"/>
        <v>10</v>
      </c>
      <c r="B116" s="25" t="s">
        <v>43</v>
      </c>
      <c r="C116" s="25"/>
      <c r="D116" s="25"/>
      <c r="E116" s="25"/>
      <c r="F116" s="25"/>
      <c r="G116" s="25"/>
      <c r="H116" s="25"/>
      <c r="I116" s="25"/>
      <c r="J116" s="25"/>
      <c r="K116" s="25"/>
      <c r="L116" s="25"/>
      <c r="M116" s="25"/>
      <c r="N116" s="25"/>
      <c r="O116" s="25"/>
      <c r="P116" s="53">
        <v>0</v>
      </c>
      <c r="Q116" s="25"/>
      <c r="R116" s="5"/>
    </row>
    <row r="117" spans="1:18" ht="15.6" x14ac:dyDescent="0.3">
      <c r="A117" s="24">
        <f t="shared" si="0"/>
        <v>11</v>
      </c>
      <c r="B117" s="25" t="s">
        <v>215</v>
      </c>
      <c r="C117" s="25"/>
      <c r="D117" s="25"/>
      <c r="E117" s="25"/>
      <c r="F117" s="25"/>
      <c r="G117" s="25"/>
      <c r="H117" s="25"/>
      <c r="I117" s="25"/>
      <c r="J117" s="25"/>
      <c r="K117" s="25"/>
      <c r="L117" s="25"/>
      <c r="M117" s="25"/>
      <c r="N117" s="25"/>
      <c r="O117" s="25"/>
      <c r="P117" s="53">
        <v>-283</v>
      </c>
      <c r="Q117" s="25"/>
      <c r="R117" s="5"/>
    </row>
    <row r="118" spans="1:18" ht="15.6" x14ac:dyDescent="0.3">
      <c r="A118" s="24">
        <f t="shared" si="0"/>
        <v>12</v>
      </c>
      <c r="B118" s="25" t="s">
        <v>150</v>
      </c>
      <c r="C118" s="25"/>
      <c r="D118" s="25"/>
      <c r="E118" s="25"/>
      <c r="F118" s="25"/>
      <c r="G118" s="25"/>
      <c r="H118" s="25"/>
      <c r="I118" s="25"/>
      <c r="J118" s="25"/>
      <c r="K118" s="25"/>
      <c r="L118" s="25"/>
      <c r="M118" s="25"/>
      <c r="N118" s="25"/>
      <c r="O118" s="25"/>
      <c r="P118" s="53">
        <f>-P101-SUM(P103:P117)</f>
        <v>-1255</v>
      </c>
      <c r="Q118" s="25"/>
      <c r="R118" s="5"/>
    </row>
    <row r="119" spans="1:18" ht="15.6" x14ac:dyDescent="0.3">
      <c r="A119" s="24"/>
      <c r="B119" s="118" t="s">
        <v>44</v>
      </c>
      <c r="C119" s="25"/>
      <c r="D119" s="25"/>
      <c r="E119" s="25"/>
      <c r="F119" s="25"/>
      <c r="G119" s="25"/>
      <c r="H119" s="25"/>
      <c r="I119" s="25"/>
      <c r="J119" s="25"/>
      <c r="K119" s="25"/>
      <c r="L119" s="25"/>
      <c r="M119" s="25"/>
      <c r="N119" s="25"/>
      <c r="O119" s="25"/>
      <c r="P119" s="59"/>
      <c r="Q119" s="25"/>
      <c r="R119" s="5"/>
    </row>
    <row r="120" spans="1:18" ht="15.6" x14ac:dyDescent="0.3">
      <c r="A120" s="24"/>
      <c r="B120" s="25" t="s">
        <v>45</v>
      </c>
      <c r="C120" s="25"/>
      <c r="D120" s="25"/>
      <c r="E120" s="25"/>
      <c r="F120" s="25"/>
      <c r="G120" s="25"/>
      <c r="H120" s="25"/>
      <c r="I120" s="25"/>
      <c r="J120" s="25"/>
      <c r="K120" s="25"/>
      <c r="L120" s="25"/>
      <c r="M120" s="25"/>
      <c r="N120" s="34">
        <v>-70</v>
      </c>
      <c r="O120" s="34"/>
      <c r="P120" s="53"/>
      <c r="Q120" s="25"/>
      <c r="R120" s="5"/>
    </row>
    <row r="121" spans="1:18" ht="15.6" x14ac:dyDescent="0.3">
      <c r="A121" s="24"/>
      <c r="B121" s="25" t="s">
        <v>46</v>
      </c>
      <c r="C121" s="25"/>
      <c r="D121" s="25"/>
      <c r="E121" s="25"/>
      <c r="F121" s="25"/>
      <c r="G121" s="25"/>
      <c r="H121" s="25"/>
      <c r="I121" s="25"/>
      <c r="J121" s="25"/>
      <c r="K121" s="25"/>
      <c r="L121" s="25"/>
      <c r="M121" s="25"/>
      <c r="N121" s="34">
        <f>-M168</f>
        <v>-4331</v>
      </c>
      <c r="O121" s="34"/>
      <c r="P121" s="53"/>
      <c r="Q121" s="25"/>
      <c r="R121" s="5"/>
    </row>
    <row r="122" spans="1:18" ht="15.6" x14ac:dyDescent="0.3">
      <c r="A122" s="24"/>
      <c r="B122" s="25" t="s">
        <v>199</v>
      </c>
      <c r="C122" s="25"/>
      <c r="D122" s="25"/>
      <c r="E122" s="25"/>
      <c r="F122" s="25"/>
      <c r="G122" s="25"/>
      <c r="H122" s="25"/>
      <c r="I122" s="25"/>
      <c r="J122" s="25"/>
      <c r="K122" s="25"/>
      <c r="L122" s="25"/>
      <c r="M122" s="25"/>
      <c r="N122" s="34">
        <v>-13824</v>
      </c>
      <c r="O122" s="34"/>
      <c r="P122" s="53"/>
      <c r="Q122" s="25"/>
      <c r="R122" s="5"/>
    </row>
    <row r="123" spans="1:18" ht="15.6" x14ac:dyDescent="0.3">
      <c r="A123" s="24"/>
      <c r="B123" s="25" t="s">
        <v>200</v>
      </c>
      <c r="C123" s="25"/>
      <c r="D123" s="25"/>
      <c r="E123" s="25"/>
      <c r="F123" s="25"/>
      <c r="G123" s="25"/>
      <c r="H123" s="25"/>
      <c r="I123" s="25"/>
      <c r="J123" s="25"/>
      <c r="K123" s="25"/>
      <c r="L123" s="25"/>
      <c r="M123" s="25"/>
      <c r="N123" s="34">
        <v>-12025</v>
      </c>
      <c r="O123" s="34"/>
      <c r="P123" s="53"/>
      <c r="Q123" s="25"/>
      <c r="R123" s="5"/>
    </row>
    <row r="124" spans="1:18" ht="15.6" x14ac:dyDescent="0.3">
      <c r="A124" s="24"/>
      <c r="B124" s="25" t="s">
        <v>201</v>
      </c>
      <c r="C124" s="25"/>
      <c r="D124" s="25"/>
      <c r="E124" s="25"/>
      <c r="F124" s="25"/>
      <c r="G124" s="25"/>
      <c r="H124" s="25"/>
      <c r="I124" s="25"/>
      <c r="J124" s="25"/>
      <c r="K124" s="25"/>
      <c r="L124" s="25"/>
      <c r="M124" s="25"/>
      <c r="N124" s="34">
        <v>-18443</v>
      </c>
      <c r="O124" s="34"/>
      <c r="P124" s="53"/>
      <c r="Q124" s="25"/>
      <c r="R124" s="5"/>
    </row>
    <row r="125" spans="1:18" ht="15.6" x14ac:dyDescent="0.3">
      <c r="A125" s="24"/>
      <c r="B125" s="25" t="s">
        <v>159</v>
      </c>
      <c r="C125" s="25"/>
      <c r="D125" s="25"/>
      <c r="E125" s="25"/>
      <c r="F125" s="25"/>
      <c r="G125" s="25"/>
      <c r="H125" s="25"/>
      <c r="I125" s="25"/>
      <c r="J125" s="25"/>
      <c r="K125" s="25"/>
      <c r="L125" s="25"/>
      <c r="M125" s="25"/>
      <c r="N125" s="34">
        <v>0</v>
      </c>
      <c r="O125" s="34"/>
      <c r="P125" s="53"/>
      <c r="Q125" s="25"/>
      <c r="R125" s="5"/>
    </row>
    <row r="126" spans="1:18" ht="15.6" x14ac:dyDescent="0.3">
      <c r="A126" s="24"/>
      <c r="B126" s="25" t="s">
        <v>214</v>
      </c>
      <c r="C126" s="25"/>
      <c r="D126" s="25"/>
      <c r="E126" s="25"/>
      <c r="F126" s="25"/>
      <c r="G126" s="25"/>
      <c r="H126" s="25"/>
      <c r="I126" s="25"/>
      <c r="J126" s="25"/>
      <c r="K126" s="25"/>
      <c r="L126" s="25"/>
      <c r="M126" s="25"/>
      <c r="N126" s="34">
        <v>0</v>
      </c>
      <c r="O126" s="34"/>
      <c r="P126" s="53"/>
      <c r="Q126" s="25"/>
      <c r="R126" s="5"/>
    </row>
    <row r="127" spans="1:18" ht="15.6" x14ac:dyDescent="0.3">
      <c r="A127" s="24"/>
      <c r="B127" s="25" t="s">
        <v>47</v>
      </c>
      <c r="C127" s="25"/>
      <c r="D127" s="25"/>
      <c r="E127" s="25"/>
      <c r="F127" s="25"/>
      <c r="G127" s="25"/>
      <c r="H127" s="25"/>
      <c r="I127" s="25"/>
      <c r="J127" s="25"/>
      <c r="K127" s="25"/>
      <c r="L127" s="25"/>
      <c r="M127" s="25"/>
      <c r="N127" s="34">
        <f>SUM(N120:N126)</f>
        <v>-48693</v>
      </c>
      <c r="O127" s="34"/>
      <c r="P127" s="34">
        <f>SUM(P102:P126)</f>
        <v>-11412</v>
      </c>
      <c r="Q127" s="25"/>
      <c r="R127" s="5"/>
    </row>
    <row r="128" spans="1:18" ht="15.6" x14ac:dyDescent="0.3">
      <c r="A128" s="24"/>
      <c r="B128" s="25" t="s">
        <v>48</v>
      </c>
      <c r="C128" s="25"/>
      <c r="D128" s="25"/>
      <c r="E128" s="25"/>
      <c r="F128" s="25"/>
      <c r="G128" s="25"/>
      <c r="H128" s="25"/>
      <c r="I128" s="25"/>
      <c r="J128" s="25"/>
      <c r="K128" s="25"/>
      <c r="L128" s="25"/>
      <c r="M128" s="25"/>
      <c r="N128" s="34">
        <f>N101+N127+N113</f>
        <v>0</v>
      </c>
      <c r="O128" s="34"/>
      <c r="P128" s="34">
        <f>P101+P127</f>
        <v>0</v>
      </c>
      <c r="Q128" s="25"/>
      <c r="R128" s="5"/>
    </row>
    <row r="129" spans="1:19" ht="15.6" x14ac:dyDescent="0.3">
      <c r="A129" s="24"/>
      <c r="B129" s="25"/>
      <c r="C129" s="25"/>
      <c r="D129" s="25"/>
      <c r="E129" s="25"/>
      <c r="F129" s="25"/>
      <c r="G129" s="25"/>
      <c r="H129" s="25"/>
      <c r="I129" s="25"/>
      <c r="J129" s="25"/>
      <c r="K129" s="25"/>
      <c r="L129" s="25"/>
      <c r="M129" s="25"/>
      <c r="N129" s="34"/>
      <c r="O129" s="34"/>
      <c r="P129" s="34"/>
      <c r="Q129" s="25"/>
      <c r="R129" s="5"/>
    </row>
    <row r="130" spans="1:19" ht="15.6" x14ac:dyDescent="0.3">
      <c r="A130" s="6"/>
      <c r="B130" s="146"/>
      <c r="C130" s="146"/>
      <c r="D130" s="146"/>
      <c r="E130" s="146"/>
      <c r="F130" s="146"/>
      <c r="G130" s="146"/>
      <c r="H130" s="146"/>
      <c r="I130" s="146"/>
      <c r="J130" s="146"/>
      <c r="K130" s="146"/>
      <c r="L130" s="146"/>
      <c r="M130" s="146"/>
      <c r="N130" s="147"/>
      <c r="O130" s="147"/>
      <c r="P130" s="147"/>
      <c r="Q130" s="146"/>
      <c r="R130" s="5"/>
    </row>
    <row r="131" spans="1:19" ht="18" thickBot="1" x14ac:dyDescent="0.35">
      <c r="A131" s="101"/>
      <c r="B131" s="102" t="str">
        <f>B65</f>
        <v>PM7 INVESTOR REPORT QUARTER ENDING OCTOBER 2007</v>
      </c>
      <c r="C131" s="103"/>
      <c r="D131" s="103"/>
      <c r="E131" s="103"/>
      <c r="F131" s="103"/>
      <c r="G131" s="103"/>
      <c r="H131" s="103"/>
      <c r="I131" s="103"/>
      <c r="J131" s="103"/>
      <c r="K131" s="103"/>
      <c r="L131" s="103"/>
      <c r="M131" s="103"/>
      <c r="N131" s="103"/>
      <c r="O131" s="103"/>
      <c r="P131" s="106"/>
      <c r="Q131" s="105"/>
      <c r="R131" s="5"/>
    </row>
    <row r="132" spans="1:19" ht="15.6" x14ac:dyDescent="0.3">
      <c r="A132" s="2"/>
      <c r="B132" s="60" t="s">
        <v>49</v>
      </c>
      <c r="C132" s="4"/>
      <c r="D132" s="4"/>
      <c r="E132" s="4"/>
      <c r="F132" s="4"/>
      <c r="G132" s="4"/>
      <c r="H132" s="4"/>
      <c r="I132" s="4"/>
      <c r="J132" s="4"/>
      <c r="K132" s="4"/>
      <c r="L132" s="4"/>
      <c r="M132" s="4"/>
      <c r="N132" s="4"/>
      <c r="O132" s="4"/>
      <c r="P132" s="50"/>
      <c r="Q132" s="4"/>
      <c r="R132" s="5"/>
    </row>
    <row r="133" spans="1:19" ht="15.6" x14ac:dyDescent="0.3">
      <c r="A133" s="6"/>
      <c r="B133" s="21"/>
      <c r="C133" s="8"/>
      <c r="D133" s="8"/>
      <c r="E133" s="8"/>
      <c r="F133" s="8"/>
      <c r="G133" s="8"/>
      <c r="H133" s="8"/>
      <c r="I133" s="8"/>
      <c r="J133" s="8"/>
      <c r="K133" s="8"/>
      <c r="L133" s="8"/>
      <c r="M133" s="8"/>
      <c r="N133" s="8"/>
      <c r="O133" s="8"/>
      <c r="P133" s="52"/>
      <c r="Q133" s="8"/>
      <c r="R133" s="5"/>
    </row>
    <row r="134" spans="1:19" ht="15.6" x14ac:dyDescent="0.3">
      <c r="A134" s="6"/>
      <c r="B134" s="119" t="s">
        <v>50</v>
      </c>
      <c r="C134" s="8"/>
      <c r="D134" s="8"/>
      <c r="E134" s="8"/>
      <c r="F134" s="8"/>
      <c r="G134" s="8"/>
      <c r="H134" s="8"/>
      <c r="I134" s="8"/>
      <c r="J134" s="8"/>
      <c r="K134" s="8"/>
      <c r="L134" s="8"/>
      <c r="M134" s="8"/>
      <c r="N134" s="8"/>
      <c r="O134" s="8"/>
      <c r="P134" s="52"/>
      <c r="Q134" s="8"/>
      <c r="R134" s="5"/>
    </row>
    <row r="135" spans="1:19" ht="15.6" x14ac:dyDescent="0.3">
      <c r="A135" s="24"/>
      <c r="B135" s="25" t="s">
        <v>51</v>
      </c>
      <c r="C135" s="25"/>
      <c r="D135" s="25"/>
      <c r="E135" s="25"/>
      <c r="F135" s="25"/>
      <c r="G135" s="25"/>
      <c r="H135" s="25"/>
      <c r="I135" s="25"/>
      <c r="J135" s="25"/>
      <c r="K135" s="25"/>
      <c r="L135" s="25"/>
      <c r="M135" s="25"/>
      <c r="N135" s="25"/>
      <c r="O135" s="25"/>
      <c r="P135" s="53">
        <f>+P36*0.022</f>
        <v>19815.399999999998</v>
      </c>
      <c r="Q135" s="25"/>
      <c r="R135" s="5"/>
    </row>
    <row r="136" spans="1:19" ht="15.6" x14ac:dyDescent="0.3">
      <c r="A136" s="24"/>
      <c r="B136" s="25" t="s">
        <v>52</v>
      </c>
      <c r="C136" s="25"/>
      <c r="D136" s="25"/>
      <c r="E136" s="25"/>
      <c r="F136" s="25"/>
      <c r="G136" s="25"/>
      <c r="H136" s="25"/>
      <c r="I136" s="25"/>
      <c r="J136" s="25"/>
      <c r="K136" s="25"/>
      <c r="L136" s="25"/>
      <c r="M136" s="25"/>
      <c r="N136" s="25"/>
      <c r="O136" s="25"/>
      <c r="P136" s="53">
        <v>19815</v>
      </c>
      <c r="Q136" s="25"/>
      <c r="R136" s="5"/>
    </row>
    <row r="137" spans="1:19" ht="15.6" x14ac:dyDescent="0.3">
      <c r="A137" s="24"/>
      <c r="B137" s="25" t="s">
        <v>161</v>
      </c>
      <c r="C137" s="25"/>
      <c r="D137" s="25"/>
      <c r="E137" s="25"/>
      <c r="F137" s="25"/>
      <c r="G137" s="25"/>
      <c r="H137" s="25"/>
      <c r="I137" s="25"/>
      <c r="J137" s="25"/>
      <c r="K137" s="25"/>
      <c r="L137" s="25"/>
      <c r="M137" s="25"/>
      <c r="N137" s="25"/>
      <c r="O137" s="25"/>
      <c r="P137" s="53">
        <v>0</v>
      </c>
      <c r="Q137" s="25"/>
      <c r="R137" s="5"/>
    </row>
    <row r="138" spans="1:19" ht="15.6" x14ac:dyDescent="0.3">
      <c r="A138" s="24"/>
      <c r="B138" s="25" t="s">
        <v>144</v>
      </c>
      <c r="C138" s="25"/>
      <c r="D138" s="25"/>
      <c r="E138" s="25"/>
      <c r="F138" s="25"/>
      <c r="G138" s="25"/>
      <c r="H138" s="25"/>
      <c r="I138" s="25"/>
      <c r="J138" s="25"/>
      <c r="K138" s="25"/>
      <c r="L138" s="25"/>
      <c r="M138" s="25"/>
      <c r="N138" s="25"/>
      <c r="O138" s="25"/>
      <c r="P138" s="53">
        <v>0</v>
      </c>
      <c r="Q138" s="25"/>
      <c r="R138" s="5"/>
    </row>
    <row r="139" spans="1:19" ht="15.6" x14ac:dyDescent="0.3">
      <c r="A139" s="24"/>
      <c r="B139" s="25" t="s">
        <v>145</v>
      </c>
      <c r="C139" s="25"/>
      <c r="D139" s="25"/>
      <c r="E139" s="25"/>
      <c r="F139" s="25"/>
      <c r="G139" s="25"/>
      <c r="H139" s="25"/>
      <c r="I139" s="25"/>
      <c r="J139" s="25"/>
      <c r="K139" s="25"/>
      <c r="L139" s="25"/>
      <c r="M139" s="25"/>
      <c r="N139" s="25"/>
      <c r="O139" s="25"/>
      <c r="P139" s="53">
        <v>0</v>
      </c>
      <c r="Q139" s="25"/>
      <c r="R139" s="5"/>
    </row>
    <row r="140" spans="1:19" ht="15.6" x14ac:dyDescent="0.3">
      <c r="A140" s="24"/>
      <c r="B140" s="25" t="s">
        <v>53</v>
      </c>
      <c r="C140" s="25"/>
      <c r="D140" s="25"/>
      <c r="E140" s="25"/>
      <c r="F140" s="25"/>
      <c r="G140" s="25"/>
      <c r="H140" s="25"/>
      <c r="I140" s="25"/>
      <c r="J140" s="25"/>
      <c r="K140" s="25"/>
      <c r="L140" s="25"/>
      <c r="M140" s="25"/>
      <c r="N140" s="25"/>
      <c r="O140" s="25"/>
      <c r="P140" s="53">
        <v>0</v>
      </c>
      <c r="Q140" s="25"/>
      <c r="R140" s="5"/>
    </row>
    <row r="141" spans="1:19" ht="15.6" x14ac:dyDescent="0.3">
      <c r="A141" s="24"/>
      <c r="B141" s="25" t="s">
        <v>153</v>
      </c>
      <c r="C141" s="25"/>
      <c r="D141" s="25"/>
      <c r="E141" s="25"/>
      <c r="F141" s="25"/>
      <c r="G141" s="25"/>
      <c r="H141" s="25"/>
      <c r="I141" s="25"/>
      <c r="J141" s="25"/>
      <c r="K141" s="25"/>
      <c r="L141" s="25"/>
      <c r="M141" s="25"/>
      <c r="N141" s="25"/>
      <c r="O141" s="25"/>
      <c r="P141" s="53">
        <v>0</v>
      </c>
      <c r="Q141" s="25"/>
      <c r="R141" s="5"/>
    </row>
    <row r="142" spans="1:19" ht="15.6" x14ac:dyDescent="0.3">
      <c r="A142" s="24"/>
      <c r="B142" s="25" t="s">
        <v>202</v>
      </c>
      <c r="C142" s="25"/>
      <c r="D142" s="25"/>
      <c r="E142" s="25"/>
      <c r="F142" s="25"/>
      <c r="G142" s="25"/>
      <c r="H142" s="25"/>
      <c r="I142" s="25"/>
      <c r="J142" s="25"/>
      <c r="K142" s="25"/>
      <c r="L142" s="25"/>
      <c r="M142" s="25"/>
      <c r="N142" s="25"/>
      <c r="O142" s="25"/>
      <c r="P142" s="53">
        <v>0</v>
      </c>
      <c r="Q142" s="25"/>
      <c r="R142" s="5"/>
      <c r="S142" s="109"/>
    </row>
    <row r="143" spans="1:19" ht="15.6" x14ac:dyDescent="0.3">
      <c r="A143" s="24"/>
      <c r="B143" s="25" t="s">
        <v>54</v>
      </c>
      <c r="C143" s="25"/>
      <c r="D143" s="25"/>
      <c r="E143" s="25"/>
      <c r="F143" s="25"/>
      <c r="G143" s="25"/>
      <c r="H143" s="25"/>
      <c r="I143" s="25"/>
      <c r="J143" s="25"/>
      <c r="K143" s="25"/>
      <c r="L143" s="25"/>
      <c r="M143" s="25"/>
      <c r="N143" s="25"/>
      <c r="O143" s="25"/>
      <c r="P143" s="53">
        <f>SUM(P136:P142)</f>
        <v>19815</v>
      </c>
      <c r="Q143" s="25"/>
      <c r="R143" s="5"/>
    </row>
    <row r="144" spans="1:19" ht="15.6" x14ac:dyDescent="0.3">
      <c r="A144" s="24"/>
      <c r="B144" s="25"/>
      <c r="C144" s="25"/>
      <c r="D144" s="25"/>
      <c r="E144" s="25"/>
      <c r="F144" s="25"/>
      <c r="G144" s="25"/>
      <c r="H144" s="25"/>
      <c r="I144" s="25"/>
      <c r="J144" s="25"/>
      <c r="K144" s="25"/>
      <c r="L144" s="25"/>
      <c r="M144" s="25"/>
      <c r="N144" s="25"/>
      <c r="O144" s="25"/>
      <c r="P144" s="61"/>
      <c r="Q144" s="25"/>
      <c r="R144" s="5"/>
    </row>
    <row r="145" spans="1:18" ht="15.6" x14ac:dyDescent="0.3">
      <c r="A145" s="6"/>
      <c r="B145" s="119" t="s">
        <v>28</v>
      </c>
      <c r="C145" s="8"/>
      <c r="D145" s="8"/>
      <c r="E145" s="8"/>
      <c r="F145" s="8"/>
      <c r="G145" s="8"/>
      <c r="H145" s="8"/>
      <c r="I145" s="8"/>
      <c r="J145" s="8"/>
      <c r="K145" s="8"/>
      <c r="L145" s="8"/>
      <c r="M145" s="8"/>
      <c r="N145" s="8"/>
      <c r="O145" s="8"/>
      <c r="P145" s="52"/>
      <c r="Q145" s="8"/>
      <c r="R145" s="5"/>
    </row>
    <row r="146" spans="1:18" ht="15.6" x14ac:dyDescent="0.3">
      <c r="A146" s="24"/>
      <c r="B146" s="25" t="s">
        <v>55</v>
      </c>
      <c r="C146" s="25"/>
      <c r="D146" s="25"/>
      <c r="E146" s="25"/>
      <c r="F146" s="25"/>
      <c r="G146" s="25"/>
      <c r="H146" s="25"/>
      <c r="I146" s="25"/>
      <c r="J146" s="25"/>
      <c r="K146" s="25"/>
      <c r="L146" s="25"/>
      <c r="M146" s="25"/>
      <c r="N146" s="25"/>
      <c r="O146" s="25"/>
      <c r="P146" s="59" t="s">
        <v>137</v>
      </c>
      <c r="Q146" s="25"/>
      <c r="R146" s="5"/>
    </row>
    <row r="147" spans="1:18" ht="15.6" x14ac:dyDescent="0.3">
      <c r="A147" s="24"/>
      <c r="B147" s="25" t="s">
        <v>56</v>
      </c>
      <c r="C147" s="141"/>
      <c r="D147" s="141"/>
      <c r="E147" s="141"/>
      <c r="F147" s="141"/>
      <c r="G147" s="141"/>
      <c r="H147" s="141"/>
      <c r="I147" s="141"/>
      <c r="J147" s="141"/>
      <c r="K147" s="141"/>
      <c r="L147" s="141"/>
      <c r="M147" s="141"/>
      <c r="N147" s="141"/>
      <c r="O147" s="141"/>
      <c r="P147" s="59" t="s">
        <v>137</v>
      </c>
      <c r="Q147" s="25"/>
      <c r="R147" s="5"/>
    </row>
    <row r="148" spans="1:18" ht="15.6" x14ac:dyDescent="0.3">
      <c r="A148" s="24"/>
      <c r="B148" s="25" t="s">
        <v>57</v>
      </c>
      <c r="C148" s="25"/>
      <c r="D148" s="25"/>
      <c r="E148" s="25"/>
      <c r="F148" s="25"/>
      <c r="G148" s="25"/>
      <c r="H148" s="25"/>
      <c r="I148" s="25"/>
      <c r="J148" s="25"/>
      <c r="K148" s="25"/>
      <c r="L148" s="25"/>
      <c r="M148" s="25"/>
      <c r="N148" s="25"/>
      <c r="O148" s="25"/>
      <c r="P148" s="59" t="s">
        <v>137</v>
      </c>
      <c r="Q148" s="25"/>
      <c r="R148" s="5"/>
    </row>
    <row r="149" spans="1:18" ht="15.6" x14ac:dyDescent="0.3">
      <c r="A149" s="24"/>
      <c r="B149" s="25" t="s">
        <v>58</v>
      </c>
      <c r="C149" s="25"/>
      <c r="D149" s="25"/>
      <c r="E149" s="25"/>
      <c r="F149" s="25"/>
      <c r="G149" s="25"/>
      <c r="H149" s="25"/>
      <c r="I149" s="25"/>
      <c r="J149" s="25"/>
      <c r="K149" s="25"/>
      <c r="L149" s="25"/>
      <c r="M149" s="25"/>
      <c r="N149" s="25"/>
      <c r="O149" s="25"/>
      <c r="P149" s="59" t="s">
        <v>137</v>
      </c>
      <c r="Q149" s="25"/>
      <c r="R149" s="5"/>
    </row>
    <row r="150" spans="1:18" ht="15.6" x14ac:dyDescent="0.3">
      <c r="A150" s="24"/>
      <c r="B150" s="25"/>
      <c r="C150" s="25"/>
      <c r="D150" s="25"/>
      <c r="E150" s="25"/>
      <c r="F150" s="25"/>
      <c r="G150" s="25"/>
      <c r="H150" s="25"/>
      <c r="I150" s="25"/>
      <c r="J150" s="25"/>
      <c r="K150" s="25"/>
      <c r="L150" s="25"/>
      <c r="M150" s="25"/>
      <c r="N150" s="25"/>
      <c r="O150" s="25"/>
      <c r="P150" s="61"/>
      <c r="Q150" s="25"/>
      <c r="R150" s="5"/>
    </row>
    <row r="151" spans="1:18" ht="15.6" x14ac:dyDescent="0.3">
      <c r="A151" s="6"/>
      <c r="B151" s="119" t="s">
        <v>59</v>
      </c>
      <c r="C151" s="8"/>
      <c r="D151" s="8"/>
      <c r="E151" s="8"/>
      <c r="F151" s="8"/>
      <c r="G151" s="8"/>
      <c r="H151" s="8"/>
      <c r="I151" s="8"/>
      <c r="J151" s="8"/>
      <c r="K151" s="8"/>
      <c r="L151" s="8"/>
      <c r="M151" s="8"/>
      <c r="N151" s="8"/>
      <c r="O151" s="8"/>
      <c r="P151" s="63"/>
      <c r="Q151" s="8"/>
      <c r="R151" s="5"/>
    </row>
    <row r="152" spans="1:18" ht="15.6" x14ac:dyDescent="0.3">
      <c r="A152" s="24"/>
      <c r="B152" s="25" t="s">
        <v>60</v>
      </c>
      <c r="C152" s="25"/>
      <c r="D152" s="25"/>
      <c r="E152" s="25"/>
      <c r="F152" s="25"/>
      <c r="G152" s="25"/>
      <c r="H152" s="25"/>
      <c r="I152" s="25"/>
      <c r="J152" s="25"/>
      <c r="K152" s="25"/>
      <c r="L152" s="25"/>
      <c r="M152" s="25"/>
      <c r="N152" s="25"/>
      <c r="O152" s="25"/>
      <c r="P152" s="53">
        <v>0</v>
      </c>
      <c r="Q152" s="25"/>
      <c r="R152" s="5"/>
    </row>
    <row r="153" spans="1:18" ht="15.6" x14ac:dyDescent="0.3">
      <c r="A153" s="24"/>
      <c r="B153" s="25" t="s">
        <v>61</v>
      </c>
      <c r="C153" s="25"/>
      <c r="D153" s="25"/>
      <c r="E153" s="25"/>
      <c r="F153" s="25"/>
      <c r="G153" s="25"/>
      <c r="H153" s="25"/>
      <c r="I153" s="25"/>
      <c r="J153" s="25"/>
      <c r="K153" s="25"/>
      <c r="L153" s="25"/>
      <c r="M153" s="25"/>
      <c r="N153" s="25"/>
      <c r="O153" s="25"/>
      <c r="P153" s="53">
        <f>-P113</f>
        <v>163</v>
      </c>
      <c r="Q153" s="25"/>
      <c r="R153" s="5"/>
    </row>
    <row r="154" spans="1:18" ht="15.6" x14ac:dyDescent="0.3">
      <c r="A154" s="24"/>
      <c r="B154" s="25" t="s">
        <v>62</v>
      </c>
      <c r="C154" s="25"/>
      <c r="D154" s="25"/>
      <c r="E154" s="25"/>
      <c r="F154" s="25"/>
      <c r="G154" s="25"/>
      <c r="H154" s="25"/>
      <c r="I154" s="25"/>
      <c r="J154" s="25"/>
      <c r="K154" s="25"/>
      <c r="L154" s="25"/>
      <c r="M154" s="25"/>
      <c r="N154" s="25"/>
      <c r="O154" s="25"/>
      <c r="P154" s="53">
        <f>P153+P152</f>
        <v>163</v>
      </c>
      <c r="Q154" s="25"/>
      <c r="R154" s="5"/>
    </row>
    <row r="155" spans="1:18" ht="15.6" x14ac:dyDescent="0.3">
      <c r="A155" s="24"/>
      <c r="B155" s="403" t="s">
        <v>297</v>
      </c>
      <c r="C155" s="25"/>
      <c r="D155" s="25"/>
      <c r="E155" s="25"/>
      <c r="F155" s="25"/>
      <c r="G155" s="25"/>
      <c r="H155" s="25"/>
      <c r="I155" s="25"/>
      <c r="J155" s="25"/>
      <c r="K155" s="25"/>
      <c r="L155" s="25"/>
      <c r="M155" s="25"/>
      <c r="N155" s="25"/>
      <c r="O155" s="25"/>
      <c r="P155" s="53">
        <f>P113</f>
        <v>-163</v>
      </c>
      <c r="Q155" s="25"/>
      <c r="R155" s="5"/>
    </row>
    <row r="156" spans="1:18" ht="15.6" x14ac:dyDescent="0.3">
      <c r="A156" s="24"/>
      <c r="B156" s="25" t="s">
        <v>63</v>
      </c>
      <c r="C156" s="25"/>
      <c r="D156" s="25"/>
      <c r="E156" s="25"/>
      <c r="F156" s="25"/>
      <c r="G156" s="25"/>
      <c r="H156" s="25"/>
      <c r="I156" s="25"/>
      <c r="J156" s="25"/>
      <c r="K156" s="25"/>
      <c r="L156" s="25"/>
      <c r="M156" s="25"/>
      <c r="N156" s="25"/>
      <c r="O156" s="25"/>
      <c r="P156" s="53">
        <f>P154+P155</f>
        <v>0</v>
      </c>
      <c r="Q156" s="25"/>
      <c r="R156" s="5"/>
    </row>
    <row r="157" spans="1:18" ht="16.2" thickBot="1" x14ac:dyDescent="0.35">
      <c r="A157" s="24"/>
      <c r="B157" s="25"/>
      <c r="C157" s="25"/>
      <c r="D157" s="25"/>
      <c r="E157" s="25"/>
      <c r="F157" s="25"/>
      <c r="G157" s="25"/>
      <c r="H157" s="25"/>
      <c r="I157" s="25"/>
      <c r="J157" s="25"/>
      <c r="K157" s="25"/>
      <c r="L157" s="25"/>
      <c r="M157" s="25"/>
      <c r="N157" s="25"/>
      <c r="O157" s="25"/>
      <c r="P157" s="61"/>
      <c r="Q157" s="25"/>
      <c r="R157" s="5"/>
    </row>
    <row r="158" spans="1:18" ht="15.6" x14ac:dyDescent="0.3">
      <c r="A158" s="2"/>
      <c r="B158" s="4"/>
      <c r="C158" s="4"/>
      <c r="D158" s="4"/>
      <c r="E158" s="4"/>
      <c r="F158" s="4"/>
      <c r="G158" s="4"/>
      <c r="H158" s="4"/>
      <c r="I158" s="4"/>
      <c r="J158" s="4"/>
      <c r="K158" s="4"/>
      <c r="L158" s="4"/>
      <c r="M158" s="4"/>
      <c r="N158" s="4"/>
      <c r="O158" s="4"/>
      <c r="P158" s="50"/>
      <c r="Q158" s="4"/>
      <c r="R158" s="5"/>
    </row>
    <row r="159" spans="1:18" ht="15.6" x14ac:dyDescent="0.3">
      <c r="A159" s="6"/>
      <c r="B159" s="119" t="s">
        <v>64</v>
      </c>
      <c r="C159" s="8"/>
      <c r="D159" s="8"/>
      <c r="E159" s="8"/>
      <c r="F159" s="8"/>
      <c r="G159" s="8"/>
      <c r="H159" s="8"/>
      <c r="I159" s="8"/>
      <c r="J159" s="8"/>
      <c r="K159" s="8"/>
      <c r="L159" s="8"/>
      <c r="M159" s="8"/>
      <c r="N159" s="8"/>
      <c r="O159" s="8"/>
      <c r="P159" s="52"/>
      <c r="Q159" s="8"/>
      <c r="R159" s="5"/>
    </row>
    <row r="160" spans="1:18" ht="15.6" x14ac:dyDescent="0.3">
      <c r="A160" s="6"/>
      <c r="B160" s="21"/>
      <c r="C160" s="8"/>
      <c r="D160" s="8"/>
      <c r="E160" s="8"/>
      <c r="F160" s="8"/>
      <c r="G160" s="8"/>
      <c r="H160" s="8"/>
      <c r="I160" s="8"/>
      <c r="J160" s="8"/>
      <c r="K160" s="8"/>
      <c r="L160" s="8"/>
      <c r="M160" s="8"/>
      <c r="N160" s="8"/>
      <c r="O160" s="8"/>
      <c r="P160" s="52"/>
      <c r="Q160" s="8"/>
      <c r="R160" s="5"/>
    </row>
    <row r="161" spans="1:18" ht="15.6" x14ac:dyDescent="0.3">
      <c r="A161" s="24"/>
      <c r="B161" s="25" t="s">
        <v>221</v>
      </c>
      <c r="C161" s="25"/>
      <c r="D161" s="25"/>
      <c r="E161" s="25"/>
      <c r="F161" s="25"/>
      <c r="G161" s="25"/>
      <c r="H161" s="25"/>
      <c r="I161" s="25"/>
      <c r="J161" s="25"/>
      <c r="K161" s="25"/>
      <c r="L161" s="25"/>
      <c r="M161" s="25"/>
      <c r="N161" s="25"/>
      <c r="O161" s="25"/>
      <c r="P161" s="53">
        <f>P73</f>
        <v>514145</v>
      </c>
      <c r="Q161" s="25"/>
      <c r="R161" s="5"/>
    </row>
    <row r="162" spans="1:18" ht="15.6" x14ac:dyDescent="0.3">
      <c r="A162" s="24"/>
      <c r="B162" s="25" t="s">
        <v>65</v>
      </c>
      <c r="C162" s="25"/>
      <c r="D162" s="25"/>
      <c r="E162" s="25"/>
      <c r="F162" s="25"/>
      <c r="G162" s="25"/>
      <c r="H162" s="25"/>
      <c r="I162" s="25"/>
      <c r="J162" s="25"/>
      <c r="K162" s="25"/>
      <c r="L162" s="25"/>
      <c r="M162" s="25"/>
      <c r="N162" s="25"/>
      <c r="O162" s="25"/>
      <c r="P162" s="53">
        <f>P86</f>
        <v>514145</v>
      </c>
      <c r="Q162" s="25"/>
      <c r="R162" s="5"/>
    </row>
    <row r="163" spans="1:18" ht="16.2" thickBot="1" x14ac:dyDescent="0.35">
      <c r="A163" s="24"/>
      <c r="B163" s="25"/>
      <c r="C163" s="25"/>
      <c r="D163" s="25"/>
      <c r="E163" s="25"/>
      <c r="F163" s="25"/>
      <c r="G163" s="25"/>
      <c r="H163" s="25"/>
      <c r="I163" s="25"/>
      <c r="J163" s="25"/>
      <c r="K163" s="25"/>
      <c r="L163" s="25"/>
      <c r="M163" s="25"/>
      <c r="N163" s="25"/>
      <c r="O163" s="25"/>
      <c r="P163" s="61"/>
      <c r="Q163" s="25"/>
      <c r="R163" s="5"/>
    </row>
    <row r="164" spans="1:18" ht="15.6" x14ac:dyDescent="0.3">
      <c r="A164" s="2"/>
      <c r="B164" s="4"/>
      <c r="C164" s="4"/>
      <c r="D164" s="4"/>
      <c r="E164" s="4"/>
      <c r="F164" s="4"/>
      <c r="G164" s="4"/>
      <c r="H164" s="4"/>
      <c r="I164" s="4"/>
      <c r="J164" s="4"/>
      <c r="K164" s="4"/>
      <c r="L164" s="4"/>
      <c r="M164" s="4"/>
      <c r="N164" s="4"/>
      <c r="O164" s="4"/>
      <c r="P164" s="50"/>
      <c r="Q164" s="4"/>
      <c r="R164" s="5"/>
    </row>
    <row r="165" spans="1:18" ht="15.6" x14ac:dyDescent="0.3">
      <c r="A165" s="6"/>
      <c r="B165" s="119" t="s">
        <v>66</v>
      </c>
      <c r="C165" s="117"/>
      <c r="D165" s="117"/>
      <c r="E165" s="117"/>
      <c r="F165" s="120"/>
      <c r="G165" s="120"/>
      <c r="H165" s="120"/>
      <c r="I165" s="120"/>
      <c r="J165" s="120"/>
      <c r="K165" s="120"/>
      <c r="L165" s="120"/>
      <c r="M165" s="120" t="s">
        <v>112</v>
      </c>
      <c r="N165" s="120" t="s">
        <v>120</v>
      </c>
      <c r="O165" s="111"/>
      <c r="P165" s="121" t="s">
        <v>129</v>
      </c>
      <c r="Q165" s="10"/>
      <c r="R165" s="5"/>
    </row>
    <row r="166" spans="1:18" ht="15.6" x14ac:dyDescent="0.3">
      <c r="A166" s="24"/>
      <c r="B166" s="25" t="s">
        <v>67</v>
      </c>
      <c r="C166" s="25"/>
      <c r="D166" s="25"/>
      <c r="E166" s="25"/>
      <c r="F166" s="25"/>
      <c r="G166" s="25"/>
      <c r="H166" s="25"/>
      <c r="I166" s="25"/>
      <c r="J166" s="25"/>
      <c r="K166" s="25"/>
      <c r="L166" s="25"/>
      <c r="M166" s="53">
        <v>144000</v>
      </c>
      <c r="N166" s="40">
        <v>0</v>
      </c>
      <c r="O166" s="25"/>
      <c r="P166" s="53"/>
      <c r="Q166" s="25"/>
      <c r="R166" s="5"/>
    </row>
    <row r="167" spans="1:18" ht="15.6" x14ac:dyDescent="0.3">
      <c r="A167" s="24"/>
      <c r="B167" s="25" t="s">
        <v>68</v>
      </c>
      <c r="C167" s="25"/>
      <c r="D167" s="25"/>
      <c r="E167" s="25"/>
      <c r="F167" s="25"/>
      <c r="G167" s="25"/>
      <c r="H167" s="25"/>
      <c r="I167" s="25"/>
      <c r="J167" s="25"/>
      <c r="K167" s="25"/>
      <c r="L167" s="25"/>
      <c r="M167" s="53">
        <f>'July 07'!M169</f>
        <v>69023</v>
      </c>
      <c r="N167" s="53">
        <f>+'July 07'!N169</f>
        <v>9570</v>
      </c>
      <c r="O167" s="25"/>
      <c r="P167" s="53">
        <f>M167+N167</f>
        <v>78593</v>
      </c>
      <c r="Q167" s="25"/>
      <c r="R167" s="5"/>
    </row>
    <row r="168" spans="1:18" ht="15.6" x14ac:dyDescent="0.3">
      <c r="A168" s="24"/>
      <c r="B168" s="25" t="s">
        <v>69</v>
      </c>
      <c r="C168" s="25"/>
      <c r="D168" s="25"/>
      <c r="E168" s="25"/>
      <c r="F168" s="25"/>
      <c r="G168" s="25"/>
      <c r="H168" s="25"/>
      <c r="I168" s="25"/>
      <c r="J168" s="25"/>
      <c r="K168" s="25"/>
      <c r="L168" s="25"/>
      <c r="M168" s="34">
        <v>4331</v>
      </c>
      <c r="N168" s="34">
        <f>-N99-N120</f>
        <v>85</v>
      </c>
      <c r="O168" s="25"/>
      <c r="P168" s="53">
        <f>M168+N168</f>
        <v>4416</v>
      </c>
      <c r="Q168" s="25"/>
      <c r="R168" s="5"/>
    </row>
    <row r="169" spans="1:18" ht="15.6" x14ac:dyDescent="0.3">
      <c r="A169" s="24"/>
      <c r="B169" s="25" t="s">
        <v>70</v>
      </c>
      <c r="C169" s="25"/>
      <c r="D169" s="25"/>
      <c r="E169" s="25"/>
      <c r="F169" s="25"/>
      <c r="G169" s="25"/>
      <c r="H169" s="25"/>
      <c r="I169" s="25"/>
      <c r="J169" s="25"/>
      <c r="K169" s="25"/>
      <c r="L169" s="25"/>
      <c r="M169" s="53">
        <f>M167+M168</f>
        <v>73354</v>
      </c>
      <c r="N169" s="53">
        <f>N168+N167</f>
        <v>9655</v>
      </c>
      <c r="O169" s="25"/>
      <c r="P169" s="53">
        <f>M169+N169</f>
        <v>83009</v>
      </c>
      <c r="Q169" s="25"/>
      <c r="R169" s="5"/>
    </row>
    <row r="170" spans="1:18" ht="15.6" x14ac:dyDescent="0.3">
      <c r="A170" s="24"/>
      <c r="B170" s="25" t="s">
        <v>71</v>
      </c>
      <c r="C170" s="25"/>
      <c r="D170" s="25"/>
      <c r="E170" s="25"/>
      <c r="F170" s="25"/>
      <c r="G170" s="25"/>
      <c r="H170" s="25"/>
      <c r="I170" s="25"/>
      <c r="J170" s="25"/>
      <c r="K170" s="25"/>
      <c r="L170" s="25"/>
      <c r="M170" s="53">
        <f>M166-M169-N169</f>
        <v>60991</v>
      </c>
      <c r="N170" s="40"/>
      <c r="O170" s="25"/>
      <c r="P170" s="53"/>
      <c r="Q170" s="25"/>
      <c r="R170" s="5"/>
    </row>
    <row r="171" spans="1:18" ht="16.2" thickBot="1" x14ac:dyDescent="0.35">
      <c r="A171" s="24"/>
      <c r="B171" s="25"/>
      <c r="C171" s="25"/>
      <c r="D171" s="25"/>
      <c r="E171" s="25"/>
      <c r="F171" s="25"/>
      <c r="G171" s="25"/>
      <c r="H171" s="25"/>
      <c r="I171" s="25"/>
      <c r="J171" s="25"/>
      <c r="K171" s="25"/>
      <c r="L171" s="25"/>
      <c r="M171" s="25"/>
      <c r="N171" s="25"/>
      <c r="O171" s="25"/>
      <c r="P171" s="61"/>
      <c r="Q171" s="25"/>
      <c r="R171" s="5"/>
    </row>
    <row r="172" spans="1:18" ht="15.6" x14ac:dyDescent="0.3">
      <c r="A172" s="2"/>
      <c r="B172" s="4"/>
      <c r="C172" s="4"/>
      <c r="D172" s="4"/>
      <c r="E172" s="4"/>
      <c r="F172" s="4"/>
      <c r="G172" s="4"/>
      <c r="H172" s="4"/>
      <c r="I172" s="4"/>
      <c r="J172" s="4"/>
      <c r="K172" s="4"/>
      <c r="L172" s="4"/>
      <c r="M172" s="4"/>
      <c r="N172" s="4"/>
      <c r="O172" s="4"/>
      <c r="P172" s="50"/>
      <c r="Q172" s="4"/>
      <c r="R172" s="5"/>
    </row>
    <row r="173" spans="1:18" ht="15.6" x14ac:dyDescent="0.3">
      <c r="A173" s="6"/>
      <c r="B173" s="119" t="s">
        <v>72</v>
      </c>
      <c r="C173" s="8"/>
      <c r="D173" s="8"/>
      <c r="E173" s="8"/>
      <c r="F173" s="8"/>
      <c r="G173" s="8"/>
      <c r="H173" s="8"/>
      <c r="I173" s="8"/>
      <c r="J173" s="8"/>
      <c r="K173" s="8"/>
      <c r="L173" s="8"/>
      <c r="M173" s="8"/>
      <c r="N173" s="8"/>
      <c r="O173" s="8"/>
      <c r="P173" s="65"/>
      <c r="Q173" s="8"/>
      <c r="R173" s="5"/>
    </row>
    <row r="174" spans="1:18" ht="15.6" x14ac:dyDescent="0.3">
      <c r="A174" s="24"/>
      <c r="B174" s="25" t="s">
        <v>73</v>
      </c>
      <c r="C174" s="25"/>
      <c r="D174" s="25"/>
      <c r="E174" s="25"/>
      <c r="F174" s="25"/>
      <c r="G174" s="25"/>
      <c r="H174" s="25"/>
      <c r="I174" s="25"/>
      <c r="J174" s="25"/>
      <c r="K174" s="25"/>
      <c r="L174" s="25"/>
      <c r="M174" s="25"/>
      <c r="N174" s="25"/>
      <c r="O174" s="25"/>
      <c r="P174" s="66">
        <f>(P101+P103+P104+P105+P106)/-(P107+P108+P109)</f>
        <v>1.4290802696857907</v>
      </c>
      <c r="Q174" s="25" t="s">
        <v>130</v>
      </c>
      <c r="R174" s="5"/>
    </row>
    <row r="175" spans="1:18" ht="15.6" x14ac:dyDescent="0.3">
      <c r="A175" s="24"/>
      <c r="B175" s="25" t="s">
        <v>74</v>
      </c>
      <c r="C175" s="25"/>
      <c r="D175" s="25"/>
      <c r="E175" s="25"/>
      <c r="F175" s="25"/>
      <c r="G175" s="25"/>
      <c r="H175" s="25"/>
      <c r="I175" s="25"/>
      <c r="J175" s="25"/>
      <c r="K175" s="25"/>
      <c r="L175" s="25"/>
      <c r="M175" s="25"/>
      <c r="N175" s="25"/>
      <c r="O175" s="25"/>
      <c r="P175" s="66">
        <v>1.39</v>
      </c>
      <c r="Q175" s="25" t="s">
        <v>130</v>
      </c>
      <c r="R175" s="5"/>
    </row>
    <row r="176" spans="1:18" ht="15.6" x14ac:dyDescent="0.3">
      <c r="A176" s="24"/>
      <c r="B176" s="25" t="s">
        <v>75</v>
      </c>
      <c r="C176" s="25"/>
      <c r="D176" s="25"/>
      <c r="E176" s="25"/>
      <c r="F176" s="25"/>
      <c r="G176" s="25"/>
      <c r="H176" s="25"/>
      <c r="I176" s="25"/>
      <c r="J176" s="25"/>
      <c r="K176" s="25"/>
      <c r="L176" s="25"/>
      <c r="M176" s="25"/>
      <c r="N176" s="25"/>
      <c r="O176" s="25"/>
      <c r="P176" s="59">
        <f>(P101+P103+P104+P105+P106+P107+P108+P109)/-(P110+P111)</f>
        <v>2.0294825511432011</v>
      </c>
      <c r="Q176" s="25" t="s">
        <v>130</v>
      </c>
      <c r="R176" s="5"/>
    </row>
    <row r="177" spans="1:18" ht="15.6" x14ac:dyDescent="0.3">
      <c r="A177" s="24"/>
      <c r="B177" s="25" t="s">
        <v>76</v>
      </c>
      <c r="C177" s="25"/>
      <c r="D177" s="25"/>
      <c r="E177" s="25"/>
      <c r="F177" s="25"/>
      <c r="G177" s="25"/>
      <c r="H177" s="25"/>
      <c r="I177" s="25"/>
      <c r="J177" s="25"/>
      <c r="K177" s="25"/>
      <c r="L177" s="25"/>
      <c r="M177" s="25"/>
      <c r="N177" s="25"/>
      <c r="O177" s="25"/>
      <c r="P177" s="66">
        <v>2.5299999999999998</v>
      </c>
      <c r="Q177" s="25" t="s">
        <v>130</v>
      </c>
      <c r="R177" s="5"/>
    </row>
    <row r="178" spans="1:18" ht="15.6" x14ac:dyDescent="0.3">
      <c r="A178" s="24"/>
      <c r="B178" s="25"/>
      <c r="C178" s="25"/>
      <c r="D178" s="25"/>
      <c r="E178" s="25"/>
      <c r="F178" s="25"/>
      <c r="G178" s="25"/>
      <c r="H178" s="25"/>
      <c r="I178" s="25"/>
      <c r="J178" s="25"/>
      <c r="K178" s="25"/>
      <c r="L178" s="25"/>
      <c r="M178" s="25"/>
      <c r="N178" s="25"/>
      <c r="O178" s="25"/>
      <c r="P178" s="25"/>
      <c r="Q178" s="25"/>
      <c r="R178" s="5"/>
    </row>
    <row r="179" spans="1:18" ht="15.6" x14ac:dyDescent="0.3">
      <c r="A179" s="24"/>
      <c r="B179" s="25"/>
      <c r="C179" s="25"/>
      <c r="D179" s="25"/>
      <c r="E179" s="25"/>
      <c r="F179" s="25"/>
      <c r="G179" s="25"/>
      <c r="H179" s="25"/>
      <c r="I179" s="25"/>
      <c r="J179" s="25"/>
      <c r="K179" s="25"/>
      <c r="L179" s="25"/>
      <c r="M179" s="25"/>
      <c r="N179" s="25"/>
      <c r="O179" s="25"/>
      <c r="P179" s="25"/>
      <c r="Q179" s="25"/>
      <c r="R179" s="5"/>
    </row>
    <row r="180" spans="1:18" ht="15.6" x14ac:dyDescent="0.3">
      <c r="A180" s="6"/>
      <c r="B180" s="8"/>
      <c r="C180" s="8"/>
      <c r="D180" s="8"/>
      <c r="E180" s="8"/>
      <c r="F180" s="8"/>
      <c r="G180" s="8"/>
      <c r="H180" s="8"/>
      <c r="I180" s="8"/>
      <c r="J180" s="8"/>
      <c r="K180" s="8"/>
      <c r="L180" s="8"/>
      <c r="M180" s="8"/>
      <c r="N180" s="8"/>
      <c r="O180" s="8"/>
      <c r="P180" s="8"/>
      <c r="Q180" s="8"/>
      <c r="R180" s="5"/>
    </row>
    <row r="181" spans="1:18" ht="18" thickBot="1" x14ac:dyDescent="0.35">
      <c r="A181" s="101"/>
      <c r="B181" s="102" t="str">
        <f>B131</f>
        <v>PM7 INVESTOR REPORT QUARTER ENDING OCTOBER 2007</v>
      </c>
      <c r="C181" s="143"/>
      <c r="D181" s="143"/>
      <c r="E181" s="143"/>
      <c r="F181" s="143"/>
      <c r="G181" s="143"/>
      <c r="H181" s="143"/>
      <c r="I181" s="143"/>
      <c r="J181" s="143"/>
      <c r="K181" s="143"/>
      <c r="L181" s="143"/>
      <c r="M181" s="143"/>
      <c r="N181" s="143"/>
      <c r="O181" s="143"/>
      <c r="P181" s="143"/>
      <c r="Q181" s="144"/>
      <c r="R181" s="5"/>
    </row>
    <row r="182" spans="1:18" ht="15.6" x14ac:dyDescent="0.3">
      <c r="A182" s="67"/>
      <c r="B182" s="60" t="s">
        <v>77</v>
      </c>
      <c r="C182" s="68"/>
      <c r="D182" s="68"/>
      <c r="E182" s="69"/>
      <c r="F182" s="69"/>
      <c r="G182" s="69"/>
      <c r="H182" s="69"/>
      <c r="I182" s="69"/>
      <c r="J182" s="69"/>
      <c r="K182" s="69"/>
      <c r="L182" s="69"/>
      <c r="M182" s="69"/>
      <c r="N182" s="70">
        <f>H89</f>
        <v>39386</v>
      </c>
      <c r="O182" s="4"/>
      <c r="P182" s="4"/>
      <c r="Q182" s="4"/>
      <c r="R182" s="5"/>
    </row>
    <row r="183" spans="1:18" ht="15.6" x14ac:dyDescent="0.3">
      <c r="A183" s="71"/>
      <c r="B183" s="72"/>
      <c r="C183" s="73"/>
      <c r="D183" s="73"/>
      <c r="E183" s="74"/>
      <c r="F183" s="74"/>
      <c r="G183" s="74"/>
      <c r="H183" s="74"/>
      <c r="I183" s="74"/>
      <c r="J183" s="74"/>
      <c r="K183" s="74"/>
      <c r="L183" s="74"/>
      <c r="M183" s="74"/>
      <c r="N183" s="74"/>
      <c r="O183" s="8"/>
      <c r="P183" s="8"/>
      <c r="Q183" s="8"/>
      <c r="R183" s="5"/>
    </row>
    <row r="184" spans="1:18" ht="15.6" x14ac:dyDescent="0.3">
      <c r="A184" s="75"/>
      <c r="B184" s="76" t="s">
        <v>78</v>
      </c>
      <c r="C184" s="77"/>
      <c r="D184" s="77"/>
      <c r="E184" s="64"/>
      <c r="F184" s="64"/>
      <c r="G184" s="64"/>
      <c r="H184" s="64"/>
      <c r="I184" s="64"/>
      <c r="J184" s="64"/>
      <c r="K184" s="64"/>
      <c r="L184" s="64"/>
      <c r="M184" s="64"/>
      <c r="N184" s="78">
        <v>5.8069999999999997E-2</v>
      </c>
      <c r="O184" s="25"/>
      <c r="P184" s="25"/>
      <c r="Q184" s="25"/>
      <c r="R184" s="5"/>
    </row>
    <row r="185" spans="1:18" ht="15.6" x14ac:dyDescent="0.3">
      <c r="A185" s="75"/>
      <c r="B185" s="76" t="s">
        <v>219</v>
      </c>
      <c r="C185" s="77"/>
      <c r="D185" s="77"/>
      <c r="E185" s="64"/>
      <c r="F185" s="64"/>
      <c r="G185" s="64"/>
      <c r="H185" s="64"/>
      <c r="I185" s="64"/>
      <c r="J185" s="64"/>
      <c r="K185" s="64"/>
      <c r="L185" s="64"/>
      <c r="M185" s="64"/>
      <c r="N185" s="39">
        <v>5.1499999999999997E-2</v>
      </c>
      <c r="O185" s="25"/>
      <c r="P185" s="25"/>
      <c r="Q185" s="25"/>
      <c r="R185" s="5"/>
    </row>
    <row r="186" spans="1:18" ht="15.6" x14ac:dyDescent="0.3">
      <c r="A186" s="75"/>
      <c r="B186" s="76" t="s">
        <v>79</v>
      </c>
      <c r="C186" s="77"/>
      <c r="D186" s="77"/>
      <c r="E186" s="64"/>
      <c r="F186" s="64"/>
      <c r="G186" s="64"/>
      <c r="H186" s="64"/>
      <c r="I186" s="64"/>
      <c r="J186" s="64"/>
      <c r="K186" s="64"/>
      <c r="L186" s="64"/>
      <c r="M186" s="64"/>
      <c r="N186" s="78">
        <f>N184-N185</f>
        <v>6.5699999999999995E-3</v>
      </c>
      <c r="O186" s="25"/>
      <c r="P186" s="25"/>
      <c r="Q186" s="25"/>
      <c r="R186" s="5"/>
    </row>
    <row r="187" spans="1:18" ht="15.6" x14ac:dyDescent="0.3">
      <c r="A187" s="75"/>
      <c r="B187" s="76" t="s">
        <v>80</v>
      </c>
      <c r="C187" s="77"/>
      <c r="D187" s="77"/>
      <c r="E187" s="64"/>
      <c r="F187" s="64"/>
      <c r="G187" s="64"/>
      <c r="H187" s="64"/>
      <c r="I187" s="64"/>
      <c r="J187" s="64"/>
      <c r="K187" s="64"/>
      <c r="L187" s="64"/>
      <c r="M187" s="64"/>
      <c r="N187" s="78">
        <v>6.8760000000000002E-2</v>
      </c>
      <c r="O187" s="25"/>
      <c r="P187" s="25"/>
      <c r="Q187" s="25"/>
      <c r="R187" s="5"/>
    </row>
    <row r="188" spans="1:18" ht="15.6" x14ac:dyDescent="0.3">
      <c r="A188" s="75"/>
      <c r="B188" s="76" t="s">
        <v>241</v>
      </c>
      <c r="C188" s="77"/>
      <c r="D188" s="77"/>
      <c r="E188" s="64"/>
      <c r="F188" s="64"/>
      <c r="G188" s="64"/>
      <c r="H188" s="64"/>
      <c r="I188" s="64"/>
      <c r="J188" s="64"/>
      <c r="K188" s="64"/>
      <c r="L188" s="64"/>
      <c r="M188" s="64"/>
      <c r="N188" s="78">
        <f>+P45</f>
        <v>6.7653729694934717E-2</v>
      </c>
      <c r="O188" s="25"/>
      <c r="P188" s="25"/>
      <c r="Q188" s="25"/>
      <c r="R188" s="5"/>
    </row>
    <row r="189" spans="1:18" ht="15.6" x14ac:dyDescent="0.3">
      <c r="A189" s="75"/>
      <c r="B189" s="76" t="s">
        <v>81</v>
      </c>
      <c r="C189" s="77"/>
      <c r="D189" s="77"/>
      <c r="E189" s="64"/>
      <c r="F189" s="64"/>
      <c r="G189" s="64"/>
      <c r="H189" s="64"/>
      <c r="I189" s="64"/>
      <c r="J189" s="64"/>
      <c r="K189" s="64"/>
      <c r="L189" s="64"/>
      <c r="M189" s="64"/>
      <c r="N189" s="78">
        <f>N187-N188</f>
        <v>1.106270305065285E-3</v>
      </c>
      <c r="O189" s="25"/>
      <c r="P189" s="25"/>
      <c r="Q189" s="25"/>
      <c r="R189" s="5"/>
    </row>
    <row r="190" spans="1:18" ht="15.6" x14ac:dyDescent="0.3">
      <c r="A190" s="75"/>
      <c r="B190" s="76" t="s">
        <v>257</v>
      </c>
      <c r="C190" s="77"/>
      <c r="D190" s="77"/>
      <c r="E190" s="64"/>
      <c r="F190" s="64"/>
      <c r="G190" s="64"/>
      <c r="H190" s="64"/>
      <c r="I190" s="64"/>
      <c r="J190" s="64"/>
      <c r="K190" s="64"/>
      <c r="L190" s="64"/>
      <c r="M190" s="64"/>
      <c r="N190" s="78">
        <f>+P101/H73</f>
        <v>2.0435608672061487E-2</v>
      </c>
      <c r="O190" s="25"/>
      <c r="P190" s="25"/>
      <c r="Q190" s="25"/>
      <c r="R190" s="5"/>
    </row>
    <row r="191" spans="1:18" ht="15.6" x14ac:dyDescent="0.3">
      <c r="A191" s="75"/>
      <c r="B191" s="76" t="s">
        <v>170</v>
      </c>
      <c r="C191" s="77"/>
      <c r="D191" s="77"/>
      <c r="E191" s="64"/>
      <c r="F191" s="64"/>
      <c r="G191" s="64"/>
      <c r="H191" s="64"/>
      <c r="I191" s="64"/>
      <c r="J191" s="64"/>
      <c r="K191" s="64"/>
      <c r="L191" s="64"/>
      <c r="M191" s="64"/>
      <c r="N191" s="133">
        <v>49065</v>
      </c>
      <c r="O191" s="25"/>
      <c r="P191" s="25"/>
      <c r="Q191" s="25"/>
      <c r="R191" s="5"/>
    </row>
    <row r="192" spans="1:18" ht="15.6" x14ac:dyDescent="0.3">
      <c r="A192" s="75"/>
      <c r="B192" s="76" t="s">
        <v>171</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172</v>
      </c>
      <c r="C193" s="77"/>
      <c r="D193" s="77"/>
      <c r="E193" s="64"/>
      <c r="F193" s="64"/>
      <c r="G193" s="64"/>
      <c r="H193" s="64"/>
      <c r="I193" s="64"/>
      <c r="J193" s="64"/>
      <c r="K193" s="64"/>
      <c r="L193" s="64"/>
      <c r="M193" s="64"/>
      <c r="N193" s="133">
        <v>49065</v>
      </c>
      <c r="O193" s="25"/>
      <c r="P193" s="25"/>
      <c r="Q193" s="25"/>
      <c r="R193" s="5"/>
    </row>
    <row r="194" spans="1:18" ht="15.6" x14ac:dyDescent="0.3">
      <c r="A194" s="75"/>
      <c r="B194" s="76" t="s">
        <v>138</v>
      </c>
      <c r="C194" s="77"/>
      <c r="D194" s="77"/>
      <c r="E194" s="64"/>
      <c r="F194" s="64"/>
      <c r="G194" s="64"/>
      <c r="H194" s="64"/>
      <c r="I194" s="64"/>
      <c r="J194" s="64"/>
      <c r="K194" s="64"/>
      <c r="L194" s="64"/>
      <c r="M194" s="64"/>
      <c r="N194" s="133">
        <v>52352</v>
      </c>
      <c r="O194" s="25"/>
      <c r="P194" s="25"/>
      <c r="Q194" s="25"/>
      <c r="R194" s="5"/>
    </row>
    <row r="195" spans="1:18" ht="15.6" x14ac:dyDescent="0.3">
      <c r="A195" s="75"/>
      <c r="B195" s="76" t="s">
        <v>139</v>
      </c>
      <c r="C195" s="77"/>
      <c r="D195" s="77"/>
      <c r="E195" s="64"/>
      <c r="F195" s="64"/>
      <c r="G195" s="64"/>
      <c r="H195" s="64"/>
      <c r="I195" s="64"/>
      <c r="J195" s="64"/>
      <c r="K195" s="64"/>
      <c r="L195" s="64"/>
      <c r="M195" s="64"/>
      <c r="N195" s="133">
        <v>52352</v>
      </c>
      <c r="O195" s="25"/>
      <c r="P195" s="25"/>
      <c r="Q195" s="25"/>
      <c r="R195" s="5"/>
    </row>
    <row r="196" spans="1:18" ht="15.6" x14ac:dyDescent="0.3">
      <c r="A196" s="75"/>
      <c r="B196" s="76" t="s">
        <v>82</v>
      </c>
      <c r="C196" s="77"/>
      <c r="D196" s="77"/>
      <c r="E196" s="64"/>
      <c r="F196" s="64"/>
      <c r="G196" s="64"/>
      <c r="H196" s="64"/>
      <c r="I196" s="64"/>
      <c r="J196" s="64"/>
      <c r="K196" s="64"/>
      <c r="L196" s="64"/>
      <c r="M196" s="64"/>
      <c r="N196" s="137">
        <v>20.45</v>
      </c>
      <c r="O196" s="25" t="s">
        <v>125</v>
      </c>
      <c r="P196" s="25"/>
      <c r="Q196" s="25"/>
      <c r="R196" s="5"/>
    </row>
    <row r="197" spans="1:18" ht="15.6" x14ac:dyDescent="0.3">
      <c r="A197" s="75"/>
      <c r="B197" s="76" t="s">
        <v>83</v>
      </c>
      <c r="C197" s="77"/>
      <c r="D197" s="77"/>
      <c r="E197" s="64"/>
      <c r="F197" s="64"/>
      <c r="G197" s="64"/>
      <c r="H197" s="64"/>
      <c r="I197" s="64"/>
      <c r="J197" s="64"/>
      <c r="K197" s="64"/>
      <c r="L197" s="64"/>
      <c r="M197" s="64"/>
      <c r="N197" s="137">
        <v>18.32</v>
      </c>
      <c r="O197" s="25" t="s">
        <v>125</v>
      </c>
      <c r="P197" s="25"/>
      <c r="Q197" s="25"/>
      <c r="R197" s="5"/>
    </row>
    <row r="198" spans="1:18" ht="15.6" x14ac:dyDescent="0.3">
      <c r="A198" s="75"/>
      <c r="B198" s="76" t="s">
        <v>84</v>
      </c>
      <c r="C198" s="77"/>
      <c r="D198" s="77"/>
      <c r="E198" s="64"/>
      <c r="F198" s="64"/>
      <c r="G198" s="64"/>
      <c r="H198" s="64"/>
      <c r="I198" s="64"/>
      <c r="J198" s="64"/>
      <c r="K198" s="64"/>
      <c r="L198" s="64"/>
      <c r="M198" s="64"/>
      <c r="N198" s="78">
        <f>+J70/H70</f>
        <v>8.7222014300628356E-2</v>
      </c>
      <c r="O198" s="25"/>
      <c r="P198" s="25"/>
      <c r="Q198" s="25"/>
      <c r="R198" s="5"/>
    </row>
    <row r="199" spans="1:18" ht="15.6" x14ac:dyDescent="0.3">
      <c r="A199" s="75"/>
      <c r="B199" s="76" t="s">
        <v>85</v>
      </c>
      <c r="C199" s="77"/>
      <c r="D199" s="77"/>
      <c r="E199" s="64"/>
      <c r="F199" s="64"/>
      <c r="G199" s="64"/>
      <c r="H199" s="64"/>
      <c r="I199" s="64"/>
      <c r="J199" s="64"/>
      <c r="K199" s="64"/>
      <c r="L199" s="64"/>
      <c r="M199" s="64"/>
      <c r="N199" s="78">
        <v>0.1827</v>
      </c>
      <c r="O199" s="25"/>
      <c r="P199" s="25"/>
      <c r="Q199" s="25"/>
      <c r="R199" s="5"/>
    </row>
    <row r="200" spans="1:18" ht="15.6" x14ac:dyDescent="0.3">
      <c r="A200" s="75"/>
      <c r="B200" s="76"/>
      <c r="C200" s="76"/>
      <c r="D200" s="76"/>
      <c r="E200" s="25"/>
      <c r="F200" s="25"/>
      <c r="G200" s="25"/>
      <c r="H200" s="25"/>
      <c r="I200" s="25"/>
      <c r="J200" s="25"/>
      <c r="K200" s="25"/>
      <c r="L200" s="25"/>
      <c r="M200" s="25"/>
      <c r="N200" s="61"/>
      <c r="O200" s="25"/>
      <c r="P200" s="79"/>
      <c r="Q200" s="25"/>
      <c r="R200" s="5"/>
    </row>
    <row r="201" spans="1:18" ht="15.6" x14ac:dyDescent="0.3">
      <c r="A201" s="80"/>
      <c r="B201" s="14" t="s">
        <v>86</v>
      </c>
      <c r="C201" s="81"/>
      <c r="D201" s="82"/>
      <c r="E201" s="81"/>
      <c r="F201" s="17"/>
      <c r="G201" s="17"/>
      <c r="H201" s="17"/>
      <c r="I201" s="17"/>
      <c r="J201" s="17"/>
      <c r="K201" s="17"/>
      <c r="L201" s="17"/>
      <c r="M201" s="17" t="s">
        <v>113</v>
      </c>
      <c r="N201" s="83" t="s">
        <v>121</v>
      </c>
      <c r="O201" s="8"/>
      <c r="P201" s="8"/>
      <c r="Q201" s="8"/>
      <c r="R201" s="5"/>
    </row>
    <row r="202" spans="1:18" ht="15.6" x14ac:dyDescent="0.3">
      <c r="A202" s="84"/>
      <c r="B202" s="76" t="s">
        <v>87</v>
      </c>
      <c r="C202" s="54"/>
      <c r="D202" s="25"/>
      <c r="E202" s="25"/>
      <c r="F202" s="30"/>
      <c r="G202" s="30"/>
      <c r="H202" s="30"/>
      <c r="I202" s="30"/>
      <c r="J202" s="30"/>
      <c r="K202" s="30"/>
      <c r="L202" s="30"/>
      <c r="M202" s="30">
        <v>2</v>
      </c>
      <c r="N202" s="85">
        <v>126</v>
      </c>
      <c r="O202" s="25"/>
      <c r="P202" s="79"/>
      <c r="Q202" s="86"/>
      <c r="R202" s="5"/>
    </row>
    <row r="203" spans="1:18" ht="15.6" x14ac:dyDescent="0.3">
      <c r="A203" s="84"/>
      <c r="B203" s="76" t="s">
        <v>203</v>
      </c>
      <c r="C203" s="54"/>
      <c r="D203" s="25"/>
      <c r="E203" s="25"/>
      <c r="F203" s="30"/>
      <c r="G203" s="30"/>
      <c r="H203" s="30"/>
      <c r="I203" s="30"/>
      <c r="J203" s="30"/>
      <c r="K203" s="30"/>
      <c r="L203" s="30"/>
      <c r="M203" s="151">
        <f>+L240</f>
        <v>22</v>
      </c>
      <c r="N203" s="85">
        <f>+N240</f>
        <v>2644</v>
      </c>
      <c r="O203" s="25"/>
      <c r="P203" s="79"/>
      <c r="Q203" s="86"/>
      <c r="R203" s="5"/>
    </row>
    <row r="204" spans="1:18" ht="15.6" x14ac:dyDescent="0.3">
      <c r="A204" s="84"/>
      <c r="B204" s="76" t="s">
        <v>88</v>
      </c>
      <c r="C204" s="54"/>
      <c r="D204" s="25"/>
      <c r="E204" s="25"/>
      <c r="F204" s="30"/>
      <c r="G204" s="30"/>
      <c r="H204" s="30"/>
      <c r="I204" s="30"/>
      <c r="J204" s="30"/>
      <c r="K204" s="30"/>
      <c r="L204" s="30"/>
      <c r="M204" s="151">
        <v>2</v>
      </c>
      <c r="N204" s="85">
        <v>109</v>
      </c>
      <c r="O204" s="25"/>
      <c r="P204" s="79"/>
      <c r="Q204" s="86"/>
      <c r="R204" s="5"/>
    </row>
    <row r="205" spans="1:18" ht="15.6" x14ac:dyDescent="0.3">
      <c r="A205" s="84"/>
      <c r="B205" s="122" t="s">
        <v>89</v>
      </c>
      <c r="C205" s="54"/>
      <c r="D205" s="25"/>
      <c r="E205" s="25"/>
      <c r="F205" s="25"/>
      <c r="G205" s="25"/>
      <c r="H205" s="25"/>
      <c r="I205" s="25"/>
      <c r="J205" s="25"/>
      <c r="K205" s="25"/>
      <c r="L205" s="25"/>
      <c r="M205" s="25"/>
      <c r="N205" s="85">
        <v>0</v>
      </c>
      <c r="O205" s="25"/>
      <c r="P205" s="79"/>
      <c r="Q205" s="86"/>
      <c r="R205" s="5"/>
    </row>
    <row r="206" spans="1:18" ht="15.6" x14ac:dyDescent="0.3">
      <c r="A206" s="84"/>
      <c r="B206" s="122" t="s">
        <v>90</v>
      </c>
      <c r="C206" s="54"/>
      <c r="D206" s="25"/>
      <c r="E206" s="25"/>
      <c r="F206" s="25"/>
      <c r="G206" s="25"/>
      <c r="H206" s="25"/>
      <c r="I206" s="25"/>
      <c r="J206" s="25"/>
      <c r="K206" s="25"/>
      <c r="L206" s="25"/>
      <c r="M206" s="25"/>
      <c r="N206" s="62" t="s">
        <v>122</v>
      </c>
      <c r="O206" s="25"/>
      <c r="P206" s="79"/>
      <c r="Q206" s="86"/>
      <c r="R206" s="5"/>
    </row>
    <row r="207" spans="1:18" ht="15.6" x14ac:dyDescent="0.3">
      <c r="A207" s="87"/>
      <c r="B207" s="122" t="s">
        <v>91</v>
      </c>
      <c r="C207" s="76"/>
      <c r="D207" s="76"/>
      <c r="E207" s="25"/>
      <c r="F207" s="25"/>
      <c r="G207" s="25"/>
      <c r="H207" s="25"/>
      <c r="I207" s="25"/>
      <c r="J207" s="167"/>
      <c r="K207" s="25"/>
      <c r="L207" s="25"/>
      <c r="M207" s="25"/>
      <c r="N207" s="85"/>
      <c r="O207" s="25"/>
      <c r="P207" s="79"/>
      <c r="Q207" s="88"/>
      <c r="R207" s="5"/>
    </row>
    <row r="208" spans="1:18" ht="15.6" x14ac:dyDescent="0.3">
      <c r="A208" s="87"/>
      <c r="B208" s="135" t="s">
        <v>92</v>
      </c>
      <c r="C208" s="76"/>
      <c r="D208" s="76"/>
      <c r="E208" s="25"/>
      <c r="F208" s="25"/>
      <c r="G208" s="25"/>
      <c r="H208" s="25"/>
      <c r="I208" s="25"/>
      <c r="J208" s="25"/>
      <c r="K208" s="25"/>
      <c r="L208" s="25"/>
      <c r="M208" s="25"/>
      <c r="N208" s="85">
        <f>P153</f>
        <v>163</v>
      </c>
      <c r="O208" s="25"/>
      <c r="P208" s="79"/>
      <c r="Q208" s="88"/>
      <c r="R208" s="5"/>
    </row>
    <row r="209" spans="1:18" ht="15.6" x14ac:dyDescent="0.3">
      <c r="A209" s="84"/>
      <c r="B209" s="76" t="s">
        <v>93</v>
      </c>
      <c r="C209" s="54"/>
      <c r="D209" s="54"/>
      <c r="E209" s="25"/>
      <c r="F209" s="25"/>
      <c r="G209" s="25"/>
      <c r="H209" s="25"/>
      <c r="I209" s="25"/>
      <c r="J209" s="25"/>
      <c r="K209" s="25"/>
      <c r="L209" s="25"/>
      <c r="M209" s="25"/>
      <c r="N209" s="85">
        <f>'July 07'!N209+'Oct 07'!N208</f>
        <v>739</v>
      </c>
      <c r="O209" s="25"/>
      <c r="P209" s="79"/>
      <c r="Q209" s="88"/>
      <c r="R209" s="5"/>
    </row>
    <row r="210" spans="1:18" ht="15.6" x14ac:dyDescent="0.3">
      <c r="A210" s="87"/>
      <c r="B210" s="122" t="s">
        <v>278</v>
      </c>
      <c r="C210" s="76"/>
      <c r="D210" s="76"/>
      <c r="E210" s="25"/>
      <c r="F210" s="25"/>
      <c r="G210" s="25"/>
      <c r="H210" s="25"/>
      <c r="I210" s="25"/>
      <c r="J210" s="25"/>
      <c r="K210" s="25"/>
      <c r="L210" s="25"/>
      <c r="M210" s="25"/>
      <c r="N210" s="85"/>
      <c r="O210" s="25"/>
      <c r="P210" s="79"/>
      <c r="Q210" s="88"/>
      <c r="R210" s="5"/>
    </row>
    <row r="211" spans="1:18" ht="15.6" x14ac:dyDescent="0.3">
      <c r="A211" s="87"/>
      <c r="B211" s="76" t="s">
        <v>276</v>
      </c>
      <c r="C211" s="76"/>
      <c r="D211" s="76"/>
      <c r="E211" s="25"/>
      <c r="F211" s="25"/>
      <c r="G211" s="25"/>
      <c r="H211" s="25"/>
      <c r="I211" s="25"/>
      <c r="J211" s="25"/>
      <c r="K211" s="25"/>
      <c r="L211" s="25"/>
      <c r="M211" s="30">
        <v>1</v>
      </c>
      <c r="N211" s="85">
        <v>31</v>
      </c>
      <c r="O211" s="25"/>
      <c r="P211" s="79"/>
      <c r="Q211" s="88"/>
      <c r="R211" s="5"/>
    </row>
    <row r="212" spans="1:18" ht="15.6" x14ac:dyDescent="0.3">
      <c r="A212" s="84"/>
      <c r="B212" s="76" t="s">
        <v>95</v>
      </c>
      <c r="C212" s="89"/>
      <c r="D212" s="90"/>
      <c r="E212" s="25"/>
      <c r="F212" s="25"/>
      <c r="G212" s="25"/>
      <c r="H212" s="25"/>
      <c r="I212" s="25"/>
      <c r="J212" s="25"/>
      <c r="K212" s="25"/>
      <c r="L212" s="25"/>
      <c r="M212" s="25"/>
      <c r="N212" s="62">
        <v>9.8699999999999992</v>
      </c>
      <c r="O212" s="25"/>
      <c r="P212" s="79"/>
      <c r="Q212" s="88"/>
      <c r="R212" s="5"/>
    </row>
    <row r="213" spans="1:18" ht="15.6" x14ac:dyDescent="0.3">
      <c r="A213" s="84"/>
      <c r="B213" s="76" t="s">
        <v>96</v>
      </c>
      <c r="C213" s="89"/>
      <c r="D213" s="90"/>
      <c r="E213" s="25"/>
      <c r="F213" s="25"/>
      <c r="G213" s="25"/>
      <c r="H213" s="25"/>
      <c r="I213" s="25"/>
      <c r="J213" s="25"/>
      <c r="K213" s="25"/>
      <c r="L213" s="25"/>
      <c r="M213" s="25"/>
      <c r="N213" s="62">
        <v>5.75</v>
      </c>
      <c r="O213" s="25"/>
      <c r="P213" s="79"/>
      <c r="Q213" s="88"/>
      <c r="R213" s="5"/>
    </row>
    <row r="214" spans="1:18" ht="15.6" x14ac:dyDescent="0.3">
      <c r="A214" s="84"/>
      <c r="B214" s="122" t="s">
        <v>251</v>
      </c>
      <c r="C214" s="89"/>
      <c r="D214" s="90"/>
      <c r="E214" s="25"/>
      <c r="F214" s="25"/>
      <c r="G214" s="25"/>
      <c r="H214" s="25"/>
      <c r="I214" s="25"/>
      <c r="J214" s="25"/>
      <c r="K214" s="25"/>
      <c r="L214" s="25"/>
      <c r="M214" s="25"/>
      <c r="N214" s="91"/>
      <c r="O214" s="25"/>
      <c r="P214" s="79"/>
      <c r="Q214" s="88"/>
      <c r="R214" s="5"/>
    </row>
    <row r="215" spans="1:18" ht="15.6" x14ac:dyDescent="0.3">
      <c r="A215" s="84"/>
      <c r="B215" s="76" t="s">
        <v>276</v>
      </c>
      <c r="C215" s="89"/>
      <c r="D215" s="90"/>
      <c r="E215" s="25"/>
      <c r="F215" s="25"/>
      <c r="G215" s="25"/>
      <c r="H215" s="25"/>
      <c r="I215" s="25"/>
      <c r="J215" s="25"/>
      <c r="K215" s="25"/>
      <c r="L215" s="25"/>
      <c r="M215" s="30">
        <v>4</v>
      </c>
      <c r="N215" s="85">
        <v>306</v>
      </c>
      <c r="O215" s="25"/>
      <c r="P215" s="79"/>
      <c r="Q215" s="88"/>
      <c r="R215" s="5"/>
    </row>
    <row r="216" spans="1:18" ht="15.6" x14ac:dyDescent="0.3">
      <c r="A216" s="84"/>
      <c r="B216" s="76" t="s">
        <v>252</v>
      </c>
      <c r="C216" s="89"/>
      <c r="D216" s="90"/>
      <c r="E216" s="25"/>
      <c r="F216" s="25"/>
      <c r="G216" s="25"/>
      <c r="H216" s="25"/>
      <c r="I216" s="25"/>
      <c r="J216" s="25"/>
      <c r="K216" s="25"/>
      <c r="L216" s="25"/>
      <c r="M216" s="25"/>
      <c r="N216" s="62">
        <v>17.600000000000001</v>
      </c>
      <c r="O216" s="25"/>
      <c r="P216" s="79"/>
      <c r="Q216" s="88"/>
      <c r="R216" s="5"/>
    </row>
    <row r="217" spans="1:18" ht="15.6" x14ac:dyDescent="0.3">
      <c r="A217" s="84"/>
      <c r="B217" s="76"/>
      <c r="C217" s="89"/>
      <c r="D217" s="90"/>
      <c r="E217" s="25"/>
      <c r="F217" s="25"/>
      <c r="G217" s="25"/>
      <c r="H217" s="25"/>
      <c r="I217" s="25"/>
      <c r="J217" s="25"/>
      <c r="K217" s="25"/>
      <c r="L217" s="25"/>
      <c r="M217" s="25"/>
      <c r="N217" s="91"/>
      <c r="O217" s="25"/>
      <c r="P217" s="79"/>
      <c r="Q217" s="88"/>
      <c r="R217" s="5"/>
    </row>
    <row r="218" spans="1:18" ht="17.399999999999999" x14ac:dyDescent="0.3">
      <c r="A218" s="84"/>
      <c r="B218" s="160" t="s">
        <v>244</v>
      </c>
      <c r="C218" s="161"/>
      <c r="D218" s="162"/>
      <c r="E218" s="163"/>
      <c r="F218" s="163"/>
      <c r="G218" s="163"/>
      <c r="H218" s="163"/>
      <c r="I218" s="166"/>
      <c r="J218" s="169" t="s">
        <v>243</v>
      </c>
      <c r="K218" s="163"/>
      <c r="L218" s="163"/>
      <c r="M218" s="25"/>
      <c r="N218" s="91"/>
      <c r="O218" s="25"/>
      <c r="P218" s="79"/>
      <c r="Q218" s="88"/>
      <c r="R218" s="5"/>
    </row>
    <row r="219" spans="1:18" ht="15.6" x14ac:dyDescent="0.3">
      <c r="A219" s="84"/>
      <c r="B219" s="156"/>
      <c r="C219" s="157"/>
      <c r="D219" s="158"/>
      <c r="E219" s="146"/>
      <c r="F219" s="146"/>
      <c r="G219" s="146"/>
      <c r="H219" s="146"/>
      <c r="I219" s="146"/>
      <c r="J219" s="146"/>
      <c r="K219" s="146"/>
      <c r="L219" s="146"/>
      <c r="M219" s="25"/>
      <c r="N219" s="91"/>
      <c r="O219" s="25"/>
      <c r="P219" s="79"/>
      <c r="Q219" s="88"/>
      <c r="R219" s="5"/>
    </row>
    <row r="220" spans="1:18" ht="15.6" x14ac:dyDescent="0.3">
      <c r="A220" s="6"/>
      <c r="B220" s="14" t="s">
        <v>236</v>
      </c>
      <c r="C220" s="81"/>
      <c r="D220" s="82"/>
      <c r="E220" s="81"/>
      <c r="F220" s="17"/>
      <c r="G220" s="17"/>
      <c r="H220" s="17"/>
      <c r="I220" s="17"/>
      <c r="J220" s="17"/>
      <c r="K220" s="17"/>
      <c r="L220" s="83" t="s">
        <v>113</v>
      </c>
      <c r="M220" s="17" t="s">
        <v>114</v>
      </c>
      <c r="N220" s="83" t="s">
        <v>123</v>
      </c>
      <c r="O220" s="17" t="s">
        <v>114</v>
      </c>
      <c r="P220" s="8"/>
      <c r="Q220" s="92"/>
      <c r="R220" s="5"/>
    </row>
    <row r="221" spans="1:18" ht="15.6" x14ac:dyDescent="0.3">
      <c r="A221" s="24"/>
      <c r="B221" s="54" t="s">
        <v>98</v>
      </c>
      <c r="C221" s="93"/>
      <c r="D221" s="25"/>
      <c r="E221" s="93"/>
      <c r="F221" s="93"/>
      <c r="G221" s="93"/>
      <c r="H221" s="93"/>
      <c r="I221" s="93"/>
      <c r="J221" s="93"/>
      <c r="K221" s="93"/>
      <c r="L221" s="54">
        <v>4958</v>
      </c>
      <c r="M221" s="94">
        <f t="shared" ref="M221:M228" si="1">L221/$L$229</f>
        <v>0.99299018626076507</v>
      </c>
      <c r="N221" s="53">
        <v>508307</v>
      </c>
      <c r="O221" s="136">
        <f t="shared" ref="O221:O228" si="2">N221/$N$229</f>
        <v>0.99396744571678863</v>
      </c>
      <c r="P221" s="79"/>
      <c r="Q221" s="88"/>
      <c r="R221" s="5"/>
    </row>
    <row r="222" spans="1:18" ht="15.6" x14ac:dyDescent="0.3">
      <c r="A222" s="24"/>
      <c r="B222" s="54" t="s">
        <v>99</v>
      </c>
      <c r="C222" s="93"/>
      <c r="D222" s="25"/>
      <c r="E222" s="94"/>
      <c r="F222" s="93"/>
      <c r="G222" s="93"/>
      <c r="H222" s="93"/>
      <c r="I222" s="93"/>
      <c r="J222" s="93"/>
      <c r="K222" s="93"/>
      <c r="L222" s="54">
        <v>23</v>
      </c>
      <c r="M222" s="94">
        <f t="shared" si="1"/>
        <v>4.6064490286400958E-3</v>
      </c>
      <c r="N222" s="53">
        <v>2619</v>
      </c>
      <c r="O222" s="136">
        <f t="shared" si="2"/>
        <v>5.1213159376759902E-3</v>
      </c>
      <c r="P222" s="79"/>
      <c r="Q222" s="88"/>
      <c r="R222" s="5"/>
    </row>
    <row r="223" spans="1:18" ht="15.6" x14ac:dyDescent="0.3">
      <c r="A223" s="24"/>
      <c r="B223" s="54" t="s">
        <v>100</v>
      </c>
      <c r="C223" s="93"/>
      <c r="D223" s="25"/>
      <c r="E223" s="94"/>
      <c r="F223" s="93"/>
      <c r="G223" s="93"/>
      <c r="H223" s="93"/>
      <c r="I223" s="93"/>
      <c r="J223" s="93"/>
      <c r="K223" s="93"/>
      <c r="L223" s="54">
        <v>6</v>
      </c>
      <c r="M223" s="94">
        <f t="shared" si="1"/>
        <v>1.2016823552974164E-3</v>
      </c>
      <c r="N223" s="53">
        <v>236</v>
      </c>
      <c r="O223" s="136">
        <f t="shared" si="2"/>
        <v>4.6148551404793191E-4</v>
      </c>
      <c r="P223" s="79"/>
      <c r="Q223" s="88"/>
      <c r="R223" s="5"/>
    </row>
    <row r="224" spans="1:18" ht="15.6" x14ac:dyDescent="0.3">
      <c r="A224" s="24"/>
      <c r="B224" s="54" t="s">
        <v>227</v>
      </c>
      <c r="C224" s="93"/>
      <c r="D224" s="25"/>
      <c r="E224" s="94"/>
      <c r="F224" s="93"/>
      <c r="G224" s="93"/>
      <c r="H224" s="93"/>
      <c r="I224" s="93"/>
      <c r="J224" s="93"/>
      <c r="K224" s="93"/>
      <c r="L224" s="54">
        <v>2</v>
      </c>
      <c r="M224" s="94">
        <f t="shared" si="1"/>
        <v>4.005607850991388E-4</v>
      </c>
      <c r="N224" s="53">
        <v>61</v>
      </c>
      <c r="O224" s="136">
        <f t="shared" si="2"/>
        <v>1.1928227269882985E-4</v>
      </c>
      <c r="P224" s="79"/>
      <c r="Q224" s="88"/>
      <c r="R224" s="5"/>
    </row>
    <row r="225" spans="1:18" ht="15.6" x14ac:dyDescent="0.3">
      <c r="A225" s="24"/>
      <c r="B225" s="54" t="s">
        <v>228</v>
      </c>
      <c r="C225" s="93"/>
      <c r="D225" s="25"/>
      <c r="E225" s="94"/>
      <c r="F225" s="93"/>
      <c r="G225" s="93"/>
      <c r="H225" s="93"/>
      <c r="I225" s="93"/>
      <c r="J225" s="93"/>
      <c r="K225" s="93"/>
      <c r="L225" s="54">
        <v>0</v>
      </c>
      <c r="M225" s="94">
        <f t="shared" si="1"/>
        <v>0</v>
      </c>
      <c r="N225" s="53">
        <v>0</v>
      </c>
      <c r="O225" s="136">
        <f t="shared" si="2"/>
        <v>0</v>
      </c>
      <c r="P225" s="79"/>
      <c r="Q225" s="88"/>
      <c r="R225" s="5"/>
    </row>
    <row r="226" spans="1:18" ht="15.6" x14ac:dyDescent="0.3">
      <c r="A226" s="24"/>
      <c r="B226" s="54" t="s">
        <v>229</v>
      </c>
      <c r="C226" s="93"/>
      <c r="D226" s="25"/>
      <c r="E226" s="94"/>
      <c r="F226" s="93"/>
      <c r="G226" s="93"/>
      <c r="H226" s="93"/>
      <c r="I226" s="93"/>
      <c r="J226" s="93"/>
      <c r="K226" s="93"/>
      <c r="L226" s="54">
        <v>0</v>
      </c>
      <c r="M226" s="94">
        <f t="shared" si="1"/>
        <v>0</v>
      </c>
      <c r="N226" s="53">
        <v>0</v>
      </c>
      <c r="O226" s="136">
        <f t="shared" si="2"/>
        <v>0</v>
      </c>
      <c r="P226" s="79"/>
      <c r="Q226" s="88"/>
      <c r="R226" s="5"/>
    </row>
    <row r="227" spans="1:18" ht="15.6" x14ac:dyDescent="0.3">
      <c r="A227" s="24"/>
      <c r="B227" s="54" t="s">
        <v>230</v>
      </c>
      <c r="C227" s="93"/>
      <c r="D227" s="25"/>
      <c r="E227" s="94"/>
      <c r="F227" s="93"/>
      <c r="G227" s="93"/>
      <c r="H227" s="93"/>
      <c r="I227" s="93"/>
      <c r="J227" s="93"/>
      <c r="K227" s="93"/>
      <c r="L227" s="54">
        <v>2</v>
      </c>
      <c r="M227" s="94">
        <f t="shared" si="1"/>
        <v>4.005607850991388E-4</v>
      </c>
      <c r="N227" s="53">
        <v>43</v>
      </c>
      <c r="O227" s="136">
        <f t="shared" si="2"/>
        <v>8.4084225017207941E-5</v>
      </c>
      <c r="P227" s="79"/>
      <c r="Q227" s="88"/>
      <c r="R227" s="5"/>
    </row>
    <row r="228" spans="1:18" ht="15.6" x14ac:dyDescent="0.3">
      <c r="A228" s="24"/>
      <c r="B228" s="54" t="s">
        <v>231</v>
      </c>
      <c r="C228" s="93"/>
      <c r="D228" s="25"/>
      <c r="E228" s="94"/>
      <c r="F228" s="93"/>
      <c r="G228" s="93"/>
      <c r="H228" s="93"/>
      <c r="I228" s="93"/>
      <c r="J228" s="93"/>
      <c r="K228" s="93"/>
      <c r="L228" s="54">
        <v>2</v>
      </c>
      <c r="M228" s="94">
        <f t="shared" si="1"/>
        <v>4.005607850991388E-4</v>
      </c>
      <c r="N228" s="53">
        <v>126</v>
      </c>
      <c r="O228" s="136">
        <f t="shared" si="2"/>
        <v>2.4638633377135346E-4</v>
      </c>
      <c r="P228" s="79"/>
      <c r="Q228" s="88"/>
      <c r="R228" s="5"/>
    </row>
    <row r="229" spans="1:18" ht="15.6" x14ac:dyDescent="0.3">
      <c r="A229" s="24"/>
      <c r="B229" s="25" t="s">
        <v>129</v>
      </c>
      <c r="C229" s="25"/>
      <c r="D229" s="25"/>
      <c r="E229" s="25"/>
      <c r="F229" s="95"/>
      <c r="G229" s="95"/>
      <c r="H229" s="95"/>
      <c r="I229" s="95"/>
      <c r="J229" s="95"/>
      <c r="K229" s="95"/>
      <c r="L229" s="34">
        <f>SUM(L221:L228)</f>
        <v>4993</v>
      </c>
      <c r="M229" s="136">
        <f>SUM(M221:M228)</f>
        <v>0.99999999999999978</v>
      </c>
      <c r="N229" s="53">
        <f>SUM(N221:N228)</f>
        <v>511392</v>
      </c>
      <c r="O229" s="136">
        <f>SUM(O221:O228)</f>
        <v>0.99999999999999989</v>
      </c>
      <c r="P229" s="25"/>
      <c r="Q229" s="25"/>
      <c r="R229" s="5"/>
    </row>
    <row r="230" spans="1:18" ht="15.6" x14ac:dyDescent="0.3">
      <c r="A230" s="24"/>
      <c r="B230" s="25"/>
      <c r="C230" s="25"/>
      <c r="D230" s="25"/>
      <c r="E230" s="25"/>
      <c r="F230" s="95"/>
      <c r="G230" s="95"/>
      <c r="H230" s="95"/>
      <c r="I230" s="95"/>
      <c r="J230" s="95"/>
      <c r="K230" s="95"/>
      <c r="L230" s="34"/>
      <c r="M230" s="136"/>
      <c r="N230" s="53"/>
      <c r="O230" s="136"/>
      <c r="P230" s="25"/>
      <c r="Q230" s="25"/>
      <c r="R230" s="5"/>
    </row>
    <row r="231" spans="1:18" ht="15.6" x14ac:dyDescent="0.3">
      <c r="A231" s="148"/>
      <c r="B231" s="14" t="s">
        <v>238</v>
      </c>
      <c r="C231" s="81"/>
      <c r="D231" s="82"/>
      <c r="E231" s="81"/>
      <c r="F231" s="17"/>
      <c r="G231" s="17"/>
      <c r="H231" s="17"/>
      <c r="I231" s="17"/>
      <c r="J231" s="17"/>
      <c r="K231" s="17"/>
      <c r="L231" s="83" t="s">
        <v>113</v>
      </c>
      <c r="M231" s="17" t="s">
        <v>114</v>
      </c>
      <c r="N231" s="83" t="s">
        <v>123</v>
      </c>
      <c r="O231" s="17" t="s">
        <v>114</v>
      </c>
      <c r="P231" s="8"/>
      <c r="Q231" s="149"/>
      <c r="R231" s="5"/>
    </row>
    <row r="232" spans="1:18" ht="15.6" x14ac:dyDescent="0.3">
      <c r="A232" s="24"/>
      <c r="B232" s="54" t="s">
        <v>98</v>
      </c>
      <c r="C232" s="93"/>
      <c r="D232" s="25"/>
      <c r="E232" s="93"/>
      <c r="F232" s="93"/>
      <c r="G232" s="93"/>
      <c r="H232" s="93"/>
      <c r="I232" s="93"/>
      <c r="J232" s="93"/>
      <c r="K232" s="93"/>
      <c r="L232" s="54">
        <v>1</v>
      </c>
      <c r="M232" s="94">
        <f t="shared" ref="M232:M239" si="3">L232/$L$240</f>
        <v>4.5454545454545456E-2</v>
      </c>
      <c r="N232" s="53">
        <v>127</v>
      </c>
      <c r="O232" s="136">
        <f t="shared" ref="O232:O239" si="4">N232/$N$240</f>
        <v>4.8033282904689861E-2</v>
      </c>
      <c r="P232" s="79"/>
      <c r="Q232" s="25"/>
      <c r="R232" s="5"/>
    </row>
    <row r="233" spans="1:18" ht="15.6" x14ac:dyDescent="0.3">
      <c r="A233" s="24"/>
      <c r="B233" s="54" t="s">
        <v>99</v>
      </c>
      <c r="C233" s="93"/>
      <c r="D233" s="25"/>
      <c r="E233" s="94"/>
      <c r="F233" s="93"/>
      <c r="G233" s="93"/>
      <c r="H233" s="93"/>
      <c r="I233" s="93"/>
      <c r="J233" s="93"/>
      <c r="K233" s="93"/>
      <c r="L233" s="54">
        <v>1</v>
      </c>
      <c r="M233" s="94">
        <f t="shared" si="3"/>
        <v>4.5454545454545456E-2</v>
      </c>
      <c r="N233" s="53">
        <v>166</v>
      </c>
      <c r="O233" s="136">
        <f t="shared" si="4"/>
        <v>6.2783661119515888E-2</v>
      </c>
      <c r="P233" s="79"/>
      <c r="Q233" s="25"/>
      <c r="R233" s="5"/>
    </row>
    <row r="234" spans="1:18" ht="15.6" x14ac:dyDescent="0.3">
      <c r="A234" s="24"/>
      <c r="B234" s="54" t="s">
        <v>100</v>
      </c>
      <c r="C234" s="93"/>
      <c r="D234" s="25"/>
      <c r="E234" s="94"/>
      <c r="F234" s="93"/>
      <c r="G234" s="93"/>
      <c r="H234" s="93"/>
      <c r="I234" s="93"/>
      <c r="J234" s="93"/>
      <c r="K234" s="93"/>
      <c r="L234" s="54">
        <v>1</v>
      </c>
      <c r="M234" s="94">
        <f t="shared" si="3"/>
        <v>4.5454545454545456E-2</v>
      </c>
      <c r="N234" s="53">
        <v>41</v>
      </c>
      <c r="O234" s="136">
        <f t="shared" si="4"/>
        <v>1.5506807866868382E-2</v>
      </c>
      <c r="P234" s="79"/>
      <c r="Q234" s="25"/>
      <c r="R234" s="5"/>
    </row>
    <row r="235" spans="1:18" ht="15.6" x14ac:dyDescent="0.3">
      <c r="A235" s="24"/>
      <c r="B235" s="54" t="s">
        <v>227</v>
      </c>
      <c r="C235" s="93"/>
      <c r="D235" s="25"/>
      <c r="E235" s="94"/>
      <c r="F235" s="93"/>
      <c r="G235" s="93"/>
      <c r="H235" s="93"/>
      <c r="I235" s="93"/>
      <c r="J235" s="93"/>
      <c r="K235" s="93"/>
      <c r="L235" s="54">
        <v>1</v>
      </c>
      <c r="M235" s="94">
        <f t="shared" si="3"/>
        <v>4.5454545454545456E-2</v>
      </c>
      <c r="N235" s="53">
        <v>302</v>
      </c>
      <c r="O235" s="136">
        <f t="shared" si="4"/>
        <v>0.11422087745839637</v>
      </c>
      <c r="P235" s="79"/>
      <c r="Q235" s="25"/>
      <c r="R235" s="5"/>
    </row>
    <row r="236" spans="1:18" ht="15.6" x14ac:dyDescent="0.3">
      <c r="A236" s="24"/>
      <c r="B236" s="54" t="s">
        <v>228</v>
      </c>
      <c r="C236" s="93"/>
      <c r="D236" s="25"/>
      <c r="E236" s="94"/>
      <c r="F236" s="93"/>
      <c r="G236" s="93"/>
      <c r="H236" s="93"/>
      <c r="I236" s="93"/>
      <c r="J236" s="93"/>
      <c r="K236" s="93"/>
      <c r="L236" s="54">
        <v>1</v>
      </c>
      <c r="M236" s="94">
        <f t="shared" si="3"/>
        <v>4.5454545454545456E-2</v>
      </c>
      <c r="N236" s="53">
        <v>90</v>
      </c>
      <c r="O236" s="136">
        <f t="shared" si="4"/>
        <v>3.4039334341906202E-2</v>
      </c>
      <c r="P236" s="79"/>
      <c r="Q236" s="25"/>
      <c r="R236" s="5"/>
    </row>
    <row r="237" spans="1:18" ht="15.6" x14ac:dyDescent="0.3">
      <c r="A237" s="24"/>
      <c r="B237" s="54" t="s">
        <v>229</v>
      </c>
      <c r="C237" s="93"/>
      <c r="D237" s="25"/>
      <c r="E237" s="94"/>
      <c r="F237" s="93"/>
      <c r="G237" s="93"/>
      <c r="H237" s="93"/>
      <c r="I237" s="93"/>
      <c r="J237" s="93"/>
      <c r="K237" s="93"/>
      <c r="L237" s="54">
        <v>0</v>
      </c>
      <c r="M237" s="94">
        <f t="shared" si="3"/>
        <v>0</v>
      </c>
      <c r="N237" s="53">
        <v>0</v>
      </c>
      <c r="O237" s="136">
        <f t="shared" si="4"/>
        <v>0</v>
      </c>
      <c r="P237" s="79"/>
      <c r="Q237" s="25"/>
      <c r="R237" s="5"/>
    </row>
    <row r="238" spans="1:18" ht="15.6" x14ac:dyDescent="0.3">
      <c r="A238" s="24"/>
      <c r="B238" s="54" t="s">
        <v>230</v>
      </c>
      <c r="C238" s="93"/>
      <c r="D238" s="25"/>
      <c r="E238" s="94"/>
      <c r="F238" s="93"/>
      <c r="G238" s="93"/>
      <c r="H238" s="93"/>
      <c r="I238" s="93"/>
      <c r="J238" s="93"/>
      <c r="K238" s="93"/>
      <c r="L238" s="54">
        <v>3</v>
      </c>
      <c r="M238" s="94">
        <f t="shared" si="3"/>
        <v>0.13636363636363635</v>
      </c>
      <c r="N238" s="53">
        <v>512</v>
      </c>
      <c r="O238" s="136">
        <f t="shared" si="4"/>
        <v>0.19364599092284418</v>
      </c>
      <c r="P238" s="79"/>
      <c r="Q238" s="25"/>
      <c r="R238" s="5"/>
    </row>
    <row r="239" spans="1:18" ht="15.6" x14ac:dyDescent="0.3">
      <c r="A239" s="24"/>
      <c r="B239" s="54" t="s">
        <v>231</v>
      </c>
      <c r="C239" s="93"/>
      <c r="D239" s="25"/>
      <c r="E239" s="94"/>
      <c r="F239" s="93"/>
      <c r="G239" s="93"/>
      <c r="H239" s="93"/>
      <c r="I239" s="93"/>
      <c r="J239" s="93"/>
      <c r="K239" s="93"/>
      <c r="L239" s="54">
        <v>14</v>
      </c>
      <c r="M239" s="94">
        <f t="shared" si="3"/>
        <v>0.63636363636363635</v>
      </c>
      <c r="N239" s="53">
        <v>1406</v>
      </c>
      <c r="O239" s="136">
        <f t="shared" si="4"/>
        <v>0.5317700453857791</v>
      </c>
      <c r="P239" s="79"/>
      <c r="Q239" s="25"/>
      <c r="R239" s="5"/>
    </row>
    <row r="240" spans="1:18" ht="15.6" x14ac:dyDescent="0.3">
      <c r="A240" s="24"/>
      <c r="B240" s="25" t="s">
        <v>129</v>
      </c>
      <c r="C240" s="25"/>
      <c r="D240" s="25"/>
      <c r="E240" s="25"/>
      <c r="F240" s="95"/>
      <c r="G240" s="95"/>
      <c r="H240" s="95"/>
      <c r="I240" s="95"/>
      <c r="J240" s="95"/>
      <c r="K240" s="95"/>
      <c r="L240" s="34">
        <f>SUM(L232:L239)</f>
        <v>22</v>
      </c>
      <c r="M240" s="136">
        <f>SUM(M232:M239)</f>
        <v>1</v>
      </c>
      <c r="N240" s="53">
        <f>SUM(N232:N239)</f>
        <v>2644</v>
      </c>
      <c r="O240" s="136">
        <f>SUM(O232:O239)</f>
        <v>1</v>
      </c>
      <c r="P240" s="25"/>
      <c r="Q240" s="25"/>
      <c r="R240" s="5"/>
    </row>
    <row r="241" spans="1:18" ht="15.6" x14ac:dyDescent="0.3">
      <c r="A241" s="24"/>
      <c r="B241" s="25"/>
      <c r="C241" s="25"/>
      <c r="D241" s="25"/>
      <c r="E241" s="25"/>
      <c r="F241" s="95"/>
      <c r="G241" s="95"/>
      <c r="H241" s="95"/>
      <c r="I241" s="95"/>
      <c r="J241" s="95"/>
      <c r="K241" s="95"/>
      <c r="L241" s="34"/>
      <c r="M241" s="136"/>
      <c r="N241" s="53"/>
      <c r="O241" s="136"/>
      <c r="P241" s="25"/>
      <c r="Q241" s="25"/>
      <c r="R241" s="5"/>
    </row>
    <row r="242" spans="1:18" ht="15.6" x14ac:dyDescent="0.3">
      <c r="A242" s="148"/>
      <c r="B242" s="14" t="s">
        <v>239</v>
      </c>
      <c r="C242" s="81"/>
      <c r="D242" s="82"/>
      <c r="E242" s="81"/>
      <c r="F242" s="17"/>
      <c r="G242" s="17"/>
      <c r="H242" s="17"/>
      <c r="I242" s="17"/>
      <c r="J242" s="17"/>
      <c r="K242" s="17"/>
      <c r="L242" s="83" t="s">
        <v>113</v>
      </c>
      <c r="M242" s="17" t="s">
        <v>114</v>
      </c>
      <c r="N242" s="83" t="s">
        <v>123</v>
      </c>
      <c r="O242" s="17" t="s">
        <v>114</v>
      </c>
      <c r="P242" s="150"/>
      <c r="Q242" s="149"/>
      <c r="R242" s="5"/>
    </row>
    <row r="243" spans="1:18" ht="15.6" x14ac:dyDescent="0.3">
      <c r="A243" s="24"/>
      <c r="B243" s="54" t="s">
        <v>98</v>
      </c>
      <c r="C243" s="93"/>
      <c r="D243" s="25"/>
      <c r="E243" s="93"/>
      <c r="F243" s="93"/>
      <c r="G243" s="93"/>
      <c r="H243" s="93"/>
      <c r="I243" s="93"/>
      <c r="J243" s="93"/>
      <c r="K243" s="93"/>
      <c r="L243" s="54">
        <v>0</v>
      </c>
      <c r="M243" s="136">
        <f>L243/$L$251</f>
        <v>0</v>
      </c>
      <c r="N243" s="53">
        <v>0</v>
      </c>
      <c r="O243" s="136">
        <f>N243/$N$251</f>
        <v>0</v>
      </c>
      <c r="P243" s="25"/>
      <c r="Q243" s="25"/>
      <c r="R243" s="5"/>
    </row>
    <row r="244" spans="1:18" ht="15.6" x14ac:dyDescent="0.3">
      <c r="A244" s="24"/>
      <c r="B244" s="54" t="s">
        <v>99</v>
      </c>
      <c r="C244" s="93"/>
      <c r="D244" s="25"/>
      <c r="E244" s="94"/>
      <c r="F244" s="93"/>
      <c r="G244" s="93"/>
      <c r="H244" s="93"/>
      <c r="I244" s="93"/>
      <c r="J244" s="93"/>
      <c r="K244" s="93"/>
      <c r="L244" s="54">
        <v>0</v>
      </c>
      <c r="M244" s="136">
        <f t="shared" ref="M244:M251" si="5">L244/$L$251</f>
        <v>0</v>
      </c>
      <c r="N244" s="53">
        <v>0</v>
      </c>
      <c r="O244" s="136">
        <f t="shared" ref="O244:O251" si="6">N244/$N$251</f>
        <v>0</v>
      </c>
      <c r="P244" s="25"/>
      <c r="Q244" s="25"/>
      <c r="R244" s="5"/>
    </row>
    <row r="245" spans="1:18" ht="15.6" x14ac:dyDescent="0.3">
      <c r="A245" s="24"/>
      <c r="B245" s="54" t="s">
        <v>100</v>
      </c>
      <c r="C245" s="93"/>
      <c r="D245" s="25"/>
      <c r="E245" s="94"/>
      <c r="F245" s="93"/>
      <c r="G245" s="93"/>
      <c r="H245" s="93"/>
      <c r="I245" s="93"/>
      <c r="J245" s="93"/>
      <c r="K245" s="93"/>
      <c r="L245" s="54">
        <v>0</v>
      </c>
      <c r="M245" s="136">
        <f t="shared" si="5"/>
        <v>0</v>
      </c>
      <c r="N245" s="53">
        <v>0</v>
      </c>
      <c r="O245" s="136">
        <f t="shared" si="6"/>
        <v>0</v>
      </c>
      <c r="P245" s="25"/>
      <c r="Q245" s="25"/>
      <c r="R245" s="5"/>
    </row>
    <row r="246" spans="1:18" ht="15.6" x14ac:dyDescent="0.3">
      <c r="A246" s="24"/>
      <c r="B246" s="54" t="s">
        <v>227</v>
      </c>
      <c r="C246" s="93"/>
      <c r="D246" s="25"/>
      <c r="E246" s="94"/>
      <c r="F246" s="93"/>
      <c r="G246" s="93"/>
      <c r="H246" s="93"/>
      <c r="I246" s="93"/>
      <c r="J246" s="93"/>
      <c r="K246" s="93"/>
      <c r="L246" s="54">
        <v>0</v>
      </c>
      <c r="M246" s="136">
        <f t="shared" si="5"/>
        <v>0</v>
      </c>
      <c r="N246" s="53">
        <v>0</v>
      </c>
      <c r="O246" s="136">
        <f t="shared" si="6"/>
        <v>0</v>
      </c>
      <c r="P246" s="25"/>
      <c r="Q246" s="25"/>
      <c r="R246" s="5"/>
    </row>
    <row r="247" spans="1:18" ht="15.6" x14ac:dyDescent="0.3">
      <c r="A247" s="24"/>
      <c r="B247" s="54" t="s">
        <v>228</v>
      </c>
      <c r="C247" s="93"/>
      <c r="D247" s="25"/>
      <c r="E247" s="94"/>
      <c r="F247" s="93"/>
      <c r="G247" s="93"/>
      <c r="H247" s="93"/>
      <c r="I247" s="93"/>
      <c r="J247" s="93"/>
      <c r="K247" s="93"/>
      <c r="L247" s="54">
        <v>0</v>
      </c>
      <c r="M247" s="136">
        <f t="shared" si="5"/>
        <v>0</v>
      </c>
      <c r="N247" s="53">
        <v>0</v>
      </c>
      <c r="O247" s="136">
        <f t="shared" si="6"/>
        <v>0</v>
      </c>
      <c r="P247" s="25"/>
      <c r="Q247" s="25"/>
      <c r="R247" s="5"/>
    </row>
    <row r="248" spans="1:18" ht="15.6" x14ac:dyDescent="0.3">
      <c r="A248" s="24"/>
      <c r="B248" s="54" t="s">
        <v>229</v>
      </c>
      <c r="C248" s="93"/>
      <c r="D248" s="25"/>
      <c r="E248" s="94"/>
      <c r="F248" s="93"/>
      <c r="G248" s="93"/>
      <c r="H248" s="93"/>
      <c r="I248" s="93"/>
      <c r="J248" s="93"/>
      <c r="K248" s="93"/>
      <c r="L248" s="54">
        <v>0</v>
      </c>
      <c r="M248" s="136">
        <f t="shared" si="5"/>
        <v>0</v>
      </c>
      <c r="N248" s="53">
        <v>0</v>
      </c>
      <c r="O248" s="136">
        <f t="shared" si="6"/>
        <v>0</v>
      </c>
      <c r="P248" s="25"/>
      <c r="Q248" s="25"/>
      <c r="R248" s="5"/>
    </row>
    <row r="249" spans="1:18" ht="15.6" x14ac:dyDescent="0.3">
      <c r="A249" s="24"/>
      <c r="B249" s="54" t="s">
        <v>230</v>
      </c>
      <c r="C249" s="93"/>
      <c r="D249" s="25"/>
      <c r="E249" s="94"/>
      <c r="F249" s="93"/>
      <c r="G249" s="93"/>
      <c r="H249" s="93"/>
      <c r="I249" s="93"/>
      <c r="J249" s="93"/>
      <c r="K249" s="93"/>
      <c r="L249" s="54">
        <v>1</v>
      </c>
      <c r="M249" s="136">
        <f t="shared" si="5"/>
        <v>0.5</v>
      </c>
      <c r="N249" s="53">
        <v>24</v>
      </c>
      <c r="O249" s="136">
        <f t="shared" si="6"/>
        <v>0.22018348623853212</v>
      </c>
      <c r="P249" s="25"/>
      <c r="Q249" s="25"/>
      <c r="R249" s="5"/>
    </row>
    <row r="250" spans="1:18" ht="15.6" x14ac:dyDescent="0.3">
      <c r="A250" s="24"/>
      <c r="B250" s="54" t="s">
        <v>231</v>
      </c>
      <c r="C250" s="93"/>
      <c r="D250" s="25"/>
      <c r="E250" s="94"/>
      <c r="F250" s="93"/>
      <c r="G250" s="93"/>
      <c r="H250" s="93"/>
      <c r="I250" s="93"/>
      <c r="J250" s="93"/>
      <c r="K250" s="93"/>
      <c r="L250" s="54">
        <v>1</v>
      </c>
      <c r="M250" s="136">
        <f t="shared" si="5"/>
        <v>0.5</v>
      </c>
      <c r="N250" s="53">
        <v>85</v>
      </c>
      <c r="O250" s="136">
        <f t="shared" si="6"/>
        <v>0.77981651376146788</v>
      </c>
      <c r="P250" s="25"/>
      <c r="Q250" s="25"/>
      <c r="R250" s="5"/>
    </row>
    <row r="251" spans="1:18" ht="15.6" x14ac:dyDescent="0.3">
      <c r="A251" s="24"/>
      <c r="B251" s="25" t="s">
        <v>129</v>
      </c>
      <c r="C251" s="25"/>
      <c r="D251" s="25"/>
      <c r="E251" s="25"/>
      <c r="F251" s="95"/>
      <c r="G251" s="95"/>
      <c r="H251" s="95"/>
      <c r="I251" s="95"/>
      <c r="J251" s="95"/>
      <c r="K251" s="95"/>
      <c r="L251" s="34">
        <f>SUM(L243:L250)</f>
        <v>2</v>
      </c>
      <c r="M251" s="136">
        <f t="shared" si="5"/>
        <v>1</v>
      </c>
      <c r="N251" s="53">
        <f>SUM(N243:N250)</f>
        <v>109</v>
      </c>
      <c r="O251" s="136">
        <f t="shared" si="6"/>
        <v>1</v>
      </c>
      <c r="P251" s="25"/>
      <c r="Q251" s="25"/>
      <c r="R251" s="5"/>
    </row>
    <row r="252" spans="1:18" ht="15.6" x14ac:dyDescent="0.3">
      <c r="A252" s="24"/>
      <c r="B252" s="25"/>
      <c r="C252" s="25"/>
      <c r="D252" s="25"/>
      <c r="E252" s="25"/>
      <c r="F252" s="95"/>
      <c r="G252" s="95"/>
      <c r="H252" s="95"/>
      <c r="I252" s="95"/>
      <c r="J252" s="95"/>
      <c r="K252" s="95"/>
      <c r="L252" s="34"/>
      <c r="M252" s="136"/>
      <c r="N252" s="53"/>
      <c r="O252" s="136"/>
      <c r="P252" s="25"/>
      <c r="Q252" s="25"/>
      <c r="R252" s="5"/>
    </row>
    <row r="253" spans="1:18" ht="15.6" x14ac:dyDescent="0.3">
      <c r="A253" s="24"/>
      <c r="B253" s="152" t="s">
        <v>240</v>
      </c>
      <c r="C253" s="25"/>
      <c r="D253" s="25"/>
      <c r="E253" s="25"/>
      <c r="F253" s="95"/>
      <c r="G253" s="95"/>
      <c r="H253" s="95"/>
      <c r="I253" s="95"/>
      <c r="J253" s="95"/>
      <c r="K253" s="95"/>
      <c r="L253" s="173">
        <f>+L229+L240+L251</f>
        <v>5017</v>
      </c>
      <c r="M253" s="136"/>
      <c r="N253" s="153">
        <f>+N251+N240+N229</f>
        <v>514145</v>
      </c>
      <c r="O253" s="136"/>
      <c r="P253" s="25"/>
      <c r="Q253" s="25"/>
      <c r="R253" s="5"/>
    </row>
    <row r="254" spans="1:18" ht="15.6" x14ac:dyDescent="0.3">
      <c r="A254" s="24"/>
      <c r="B254" s="25"/>
      <c r="C254" s="25"/>
      <c r="D254" s="25"/>
      <c r="E254" s="25"/>
      <c r="F254" s="95"/>
      <c r="G254" s="95"/>
      <c r="H254" s="95"/>
      <c r="I254" s="95"/>
      <c r="J254" s="95"/>
      <c r="K254" s="95"/>
      <c r="L254" s="95"/>
      <c r="M254" s="95"/>
      <c r="N254" s="53"/>
      <c r="O254" s="95"/>
      <c r="P254" s="25"/>
      <c r="Q254" s="25"/>
      <c r="R254" s="5"/>
    </row>
    <row r="255" spans="1:18" ht="15.6" x14ac:dyDescent="0.3">
      <c r="A255" s="6"/>
      <c r="B255" s="8"/>
      <c r="C255" s="8"/>
      <c r="D255" s="8"/>
      <c r="E255" s="8"/>
      <c r="F255" s="96"/>
      <c r="G255" s="96"/>
      <c r="H255" s="96"/>
      <c r="I255" s="96"/>
      <c r="J255" s="96"/>
      <c r="K255" s="96"/>
      <c r="L255" s="96"/>
      <c r="M255" s="96"/>
      <c r="N255" s="97"/>
      <c r="O255" s="96"/>
      <c r="P255" s="8"/>
      <c r="Q255" s="8"/>
      <c r="R255" s="5"/>
    </row>
    <row r="256" spans="1:18" ht="15.6" x14ac:dyDescent="0.3">
      <c r="A256" s="145"/>
      <c r="B256" s="14" t="s">
        <v>102</v>
      </c>
      <c r="C256" s="15"/>
      <c r="D256" s="15"/>
      <c r="E256" s="15"/>
      <c r="F256" s="17" t="s">
        <v>108</v>
      </c>
      <c r="G256" s="15"/>
      <c r="H256" s="14" t="s">
        <v>110</v>
      </c>
      <c r="I256" s="140"/>
      <c r="J256" s="140"/>
      <c r="K256" s="140"/>
      <c r="L256" s="140"/>
      <c r="M256" s="140"/>
      <c r="N256" s="140"/>
      <c r="O256" s="140"/>
      <c r="P256" s="140"/>
      <c r="Q256" s="140"/>
      <c r="R256" s="5"/>
    </row>
    <row r="257" spans="1:18" ht="15.6" x14ac:dyDescent="0.3">
      <c r="A257" s="145"/>
      <c r="B257" s="140"/>
      <c r="C257" s="8"/>
      <c r="D257" s="8"/>
      <c r="E257" s="8"/>
      <c r="F257" s="8"/>
      <c r="G257" s="8"/>
      <c r="H257" s="8"/>
      <c r="I257" s="140"/>
      <c r="J257" s="140"/>
      <c r="K257" s="140"/>
      <c r="L257" s="140"/>
      <c r="M257" s="140"/>
      <c r="N257" s="140"/>
      <c r="O257" s="140"/>
      <c r="P257" s="140"/>
      <c r="Q257" s="140"/>
      <c r="R257" s="5"/>
    </row>
    <row r="258" spans="1:18" ht="15.6" x14ac:dyDescent="0.3">
      <c r="A258" s="145"/>
      <c r="B258" s="13" t="s">
        <v>103</v>
      </c>
      <c r="C258" s="13"/>
      <c r="D258" s="13"/>
      <c r="E258" s="13"/>
      <c r="F258" s="134" t="s">
        <v>212</v>
      </c>
      <c r="G258" s="13"/>
      <c r="H258" s="13" t="s">
        <v>222</v>
      </c>
      <c r="I258" s="140"/>
      <c r="J258" s="140"/>
      <c r="K258" s="140"/>
      <c r="L258" s="140"/>
      <c r="M258" s="140"/>
      <c r="N258" s="140"/>
      <c r="O258" s="140"/>
      <c r="P258" s="140"/>
      <c r="Q258" s="140"/>
      <c r="R258" s="5"/>
    </row>
    <row r="259" spans="1:18" ht="15.6" x14ac:dyDescent="0.3">
      <c r="A259" s="145"/>
      <c r="B259" s="13" t="s">
        <v>263</v>
      </c>
      <c r="C259" s="13"/>
      <c r="D259" s="13"/>
      <c r="E259" s="13"/>
      <c r="F259" s="134" t="s">
        <v>264</v>
      </c>
      <c r="G259" s="13"/>
      <c r="H259" s="13" t="s">
        <v>265</v>
      </c>
      <c r="I259" s="140"/>
      <c r="J259" s="140"/>
      <c r="K259" s="140"/>
      <c r="L259" s="140"/>
      <c r="M259" s="140"/>
      <c r="N259" s="140"/>
      <c r="O259" s="140"/>
      <c r="P259" s="140"/>
      <c r="Q259" s="140"/>
      <c r="R259" s="5"/>
    </row>
    <row r="260" spans="1:18" ht="15.6" x14ac:dyDescent="0.3">
      <c r="A260" s="145"/>
      <c r="B260" s="13" t="s">
        <v>104</v>
      </c>
      <c r="C260" s="13"/>
      <c r="D260" s="13"/>
      <c r="E260" s="13"/>
      <c r="F260" s="134" t="s">
        <v>211</v>
      </c>
      <c r="G260" s="13"/>
      <c r="H260" s="13" t="s">
        <v>223</v>
      </c>
      <c r="I260" s="140"/>
      <c r="J260" s="140"/>
      <c r="K260" s="140"/>
      <c r="L260" s="140"/>
      <c r="M260" s="140"/>
      <c r="N260" s="140"/>
      <c r="O260" s="140"/>
      <c r="P260" s="140"/>
      <c r="Q260" s="140"/>
      <c r="R260" s="5"/>
    </row>
    <row r="261" spans="1:18" ht="15.6" x14ac:dyDescent="0.3">
      <c r="A261" s="145"/>
      <c r="B261" s="13"/>
      <c r="C261" s="13"/>
      <c r="D261" s="13"/>
      <c r="E261" s="99"/>
      <c r="F261" s="140"/>
      <c r="G261" s="140"/>
      <c r="H261" s="140"/>
      <c r="I261" s="140"/>
      <c r="J261" s="140"/>
      <c r="K261" s="140"/>
      <c r="L261" s="140"/>
      <c r="M261" s="140"/>
      <c r="N261" s="140"/>
      <c r="O261" s="140"/>
      <c r="P261" s="140"/>
      <c r="Q261" s="140"/>
      <c r="R261" s="5"/>
    </row>
    <row r="262" spans="1:18" ht="15.6" x14ac:dyDescent="0.3">
      <c r="A262" s="145"/>
      <c r="B262" s="13"/>
      <c r="C262" s="13"/>
      <c r="D262" s="13"/>
      <c r="E262" s="99"/>
      <c r="F262" s="140"/>
      <c r="G262" s="140"/>
      <c r="H262" s="140"/>
      <c r="I262" s="140"/>
      <c r="J262" s="140"/>
      <c r="K262" s="140"/>
      <c r="L262" s="140"/>
      <c r="M262" s="140"/>
      <c r="N262" s="140"/>
      <c r="O262" s="140"/>
      <c r="P262" s="140"/>
      <c r="Q262" s="140"/>
      <c r="R262" s="5"/>
    </row>
    <row r="263" spans="1:18" ht="18" thickBot="1" x14ac:dyDescent="0.35">
      <c r="A263" s="145"/>
      <c r="B263" s="49" t="str">
        <f>B181</f>
        <v>PM7 INVESTOR REPORT QUARTER ENDING OCTOBER 2007</v>
      </c>
      <c r="C263" s="13"/>
      <c r="D263" s="13"/>
      <c r="E263" s="99"/>
      <c r="F263" s="140"/>
      <c r="G263" s="140"/>
      <c r="H263" s="140"/>
      <c r="I263" s="140"/>
      <c r="J263" s="140"/>
      <c r="K263" s="140"/>
      <c r="L263" s="140"/>
      <c r="M263" s="140"/>
      <c r="N263" s="140"/>
      <c r="O263" s="140"/>
      <c r="P263" s="140"/>
      <c r="Q263" s="140"/>
      <c r="R263" s="5"/>
    </row>
    <row r="264" spans="1:18" x14ac:dyDescent="0.25">
      <c r="A264" s="100"/>
      <c r="B264" s="100"/>
      <c r="C264" s="100"/>
      <c r="D264" s="100"/>
      <c r="E264" s="100"/>
      <c r="F264" s="100"/>
      <c r="G264" s="100"/>
      <c r="H264" s="100"/>
      <c r="I264" s="100"/>
      <c r="J264" s="100"/>
      <c r="K264" s="100"/>
      <c r="L264" s="100"/>
      <c r="M264" s="100"/>
      <c r="N264" s="100"/>
      <c r="O264" s="100"/>
      <c r="P264" s="100"/>
      <c r="Q264" s="100"/>
    </row>
  </sheetData>
  <phoneticPr fontId="0" type="noConversion"/>
  <hyperlinks>
    <hyperlink ref="H9" r:id="rId1"/>
    <hyperlink ref="J218"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1" max="14" man="1"/>
    <brk id="181" max="14"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S265"/>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0.95120000000000005</v>
      </c>
      <c r="N17" s="17" t="s">
        <v>173</v>
      </c>
      <c r="O17" s="138">
        <v>4.8800000000000003E-2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39500</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235374.39</v>
      </c>
      <c r="E34" s="31"/>
      <c r="F34" s="131">
        <f>+F33*F40</f>
        <v>115050.31999999999</v>
      </c>
      <c r="G34" s="31"/>
      <c r="H34" s="124">
        <f>+H33*H40</f>
        <v>261538.05000000002</v>
      </c>
      <c r="I34" s="31"/>
      <c r="J34" s="130">
        <v>82500</v>
      </c>
      <c r="K34" s="31"/>
      <c r="L34" s="124">
        <v>65000</v>
      </c>
      <c r="M34" s="31"/>
      <c r="N34" s="31"/>
      <c r="O34" s="142"/>
      <c r="P34" s="31"/>
      <c r="Q34" s="34"/>
      <c r="R34" s="5"/>
    </row>
    <row r="35" spans="1:18" ht="15.6" x14ac:dyDescent="0.3">
      <c r="A35" s="28"/>
      <c r="B35" s="29" t="s">
        <v>158</v>
      </c>
      <c r="C35" s="36"/>
      <c r="D35" s="129">
        <f>+D33*D39</f>
        <v>216083.47500000001</v>
      </c>
      <c r="E35" s="35"/>
      <c r="F35" s="132">
        <f>+F33*F39</f>
        <v>105617.24800000001</v>
      </c>
      <c r="G35" s="35"/>
      <c r="H35" s="125">
        <f>+H33*H39</f>
        <v>240104.7</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132307.13322091065</v>
      </c>
      <c r="E37" s="31"/>
      <c r="F37" s="31">
        <f>+F34</f>
        <v>115050.31999999999</v>
      </c>
      <c r="G37" s="31"/>
      <c r="H37" s="31">
        <f>+H34/1.481481</f>
        <v>176538.24112492838</v>
      </c>
      <c r="I37" s="31"/>
      <c r="J37" s="31">
        <v>46374</v>
      </c>
      <c r="K37" s="31"/>
      <c r="L37" s="31">
        <v>43875</v>
      </c>
      <c r="M37" s="31"/>
      <c r="N37" s="31"/>
      <c r="O37" s="142"/>
      <c r="P37" s="31">
        <f>SUM(C37:L37)</f>
        <v>514144.69434583897</v>
      </c>
      <c r="Q37" s="34"/>
      <c r="R37" s="5"/>
    </row>
    <row r="38" spans="1:18" ht="15.6" x14ac:dyDescent="0.3">
      <c r="A38" s="28"/>
      <c r="B38" s="29" t="s">
        <v>281</v>
      </c>
      <c r="C38" s="36"/>
      <c r="D38" s="35">
        <f>D35/1.779</f>
        <v>121463.44856661046</v>
      </c>
      <c r="E38" s="35"/>
      <c r="F38" s="35">
        <f>+F35</f>
        <v>105617.24800000001</v>
      </c>
      <c r="G38" s="35"/>
      <c r="H38" s="35">
        <f>H35/1.481481</f>
        <v>162070.72517298569</v>
      </c>
      <c r="I38" s="35"/>
      <c r="J38" s="35">
        <v>46374</v>
      </c>
      <c r="K38" s="35"/>
      <c r="L38" s="35">
        <v>43875</v>
      </c>
      <c r="M38" s="35"/>
      <c r="N38" s="35"/>
      <c r="O38" s="37"/>
      <c r="P38" s="35">
        <f>SUM(D38:L38)+1</f>
        <v>479401.42173959618</v>
      </c>
      <c r="Q38" s="34"/>
      <c r="R38" s="5"/>
    </row>
    <row r="39" spans="1:18" ht="15.6" x14ac:dyDescent="0.3">
      <c r="A39" s="28"/>
      <c r="B39" s="122" t="s">
        <v>154</v>
      </c>
      <c r="C39" s="126"/>
      <c r="D39" s="174">
        <v>0.48018549999999999</v>
      </c>
      <c r="E39" s="174"/>
      <c r="F39" s="174">
        <v>0.48007840000000002</v>
      </c>
      <c r="G39" s="174"/>
      <c r="H39" s="174">
        <v>0.48020940000000001</v>
      </c>
      <c r="I39" s="174"/>
      <c r="J39" s="174">
        <v>1</v>
      </c>
      <c r="K39" s="174"/>
      <c r="L39" s="174">
        <v>1</v>
      </c>
      <c r="M39" s="31"/>
      <c r="N39" s="31"/>
      <c r="O39" s="142"/>
      <c r="P39" s="31"/>
      <c r="Q39" s="34"/>
      <c r="R39" s="5"/>
    </row>
    <row r="40" spans="1:18" ht="15.6" x14ac:dyDescent="0.3">
      <c r="A40" s="28"/>
      <c r="B40" s="122" t="s">
        <v>155</v>
      </c>
      <c r="C40" s="126"/>
      <c r="D40" s="174">
        <v>0.52305420000000002</v>
      </c>
      <c r="E40" s="174"/>
      <c r="F40" s="174">
        <v>0.52295599999999998</v>
      </c>
      <c r="G40" s="174"/>
      <c r="H40" s="174">
        <v>0.52307610000000004</v>
      </c>
      <c r="I40" s="174"/>
      <c r="J40" s="174">
        <v>1</v>
      </c>
      <c r="K40" s="174"/>
      <c r="L40" s="174">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5.0787499999999999E-2</v>
      </c>
      <c r="E42" s="39"/>
      <c r="F42" s="38">
        <v>6.5525E-2</v>
      </c>
      <c r="G42" s="39"/>
      <c r="H42" s="38">
        <v>4.7849999999999997E-2</v>
      </c>
      <c r="I42" s="39"/>
      <c r="J42" s="38">
        <v>5.6187500000000001E-2</v>
      </c>
      <c r="K42" s="39"/>
      <c r="L42" s="38">
        <v>5.3249999999999999E-2</v>
      </c>
      <c r="M42" s="39"/>
      <c r="N42" s="38"/>
      <c r="O42" s="141"/>
      <c r="P42" s="39"/>
      <c r="Q42" s="25"/>
      <c r="R42" s="5"/>
    </row>
    <row r="43" spans="1:18" ht="15.6" x14ac:dyDescent="0.3">
      <c r="A43" s="24"/>
      <c r="B43" s="25" t="s">
        <v>14</v>
      </c>
      <c r="C43" s="25"/>
      <c r="D43" s="38">
        <v>5.7674999999999997E-2</v>
      </c>
      <c r="E43" s="39"/>
      <c r="F43" s="38">
        <v>6.5975000000000006E-2</v>
      </c>
      <c r="G43" s="39"/>
      <c r="H43" s="38">
        <v>4.7160000000000001E-2</v>
      </c>
      <c r="I43" s="39"/>
      <c r="J43" s="38">
        <v>6.3075000000000006E-2</v>
      </c>
      <c r="K43" s="39"/>
      <c r="L43" s="38">
        <v>5.2560000000000003E-2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6.6470000000000001E-2</v>
      </c>
      <c r="E45" s="39"/>
      <c r="F45" s="38">
        <f>+F42</f>
        <v>6.5525E-2</v>
      </c>
      <c r="G45" s="39"/>
      <c r="H45" s="38">
        <v>6.6350000000000006E-2</v>
      </c>
      <c r="I45" s="39"/>
      <c r="J45" s="38">
        <v>7.2599999999999998E-2</v>
      </c>
      <c r="K45" s="39"/>
      <c r="L45" s="38">
        <v>7.2599999999999998E-2</v>
      </c>
      <c r="M45" s="39"/>
      <c r="N45" s="38"/>
      <c r="O45" s="141"/>
      <c r="P45" s="39">
        <f>SUMPRODUCT(D45:L45,D37:L37)/P37</f>
        <v>6.7293346488489225E-2</v>
      </c>
      <c r="Q45" s="25"/>
      <c r="R45" s="5"/>
    </row>
    <row r="46" spans="1:18" ht="15.6" x14ac:dyDescent="0.3">
      <c r="A46" s="24"/>
      <c r="B46" s="25" t="s">
        <v>283</v>
      </c>
      <c r="C46" s="25"/>
      <c r="D46" s="38">
        <v>6.6919999999999993E-2</v>
      </c>
      <c r="E46" s="39"/>
      <c r="F46" s="38">
        <f>+F43</f>
        <v>6.5975000000000006E-2</v>
      </c>
      <c r="G46" s="39"/>
      <c r="H46" s="38">
        <v>6.6799999999999998E-2</v>
      </c>
      <c r="I46" s="39"/>
      <c r="J46" s="38">
        <v>7.3050000000000004E-2</v>
      </c>
      <c r="K46" s="39"/>
      <c r="L46" s="38">
        <v>7.3050000000000004E-2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0.23191229675216463</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39493</v>
      </c>
      <c r="Q57" s="25"/>
      <c r="R57" s="5"/>
    </row>
    <row r="58" spans="1:18" ht="15.6" x14ac:dyDescent="0.3">
      <c r="A58" s="24"/>
      <c r="B58" s="25" t="s">
        <v>142</v>
      </c>
      <c r="C58" s="25"/>
      <c r="D58" s="25"/>
      <c r="E58" s="25"/>
      <c r="F58" s="58"/>
      <c r="G58" s="58"/>
      <c r="H58" s="58"/>
      <c r="I58" s="58"/>
      <c r="J58" s="58"/>
      <c r="K58" s="58"/>
      <c r="L58" s="25">
        <f>+P58-N58+1</f>
        <v>92</v>
      </c>
      <c r="M58" s="58"/>
      <c r="N58" s="45">
        <v>39309</v>
      </c>
      <c r="O58" s="46"/>
      <c r="P58" s="45">
        <v>39400</v>
      </c>
      <c r="Q58" s="25"/>
      <c r="R58" s="5"/>
    </row>
    <row r="59" spans="1:18" ht="15.6" x14ac:dyDescent="0.3">
      <c r="A59" s="24"/>
      <c r="B59" s="25" t="s">
        <v>143</v>
      </c>
      <c r="C59" s="25"/>
      <c r="D59" s="25"/>
      <c r="E59" s="25"/>
      <c r="F59" s="25"/>
      <c r="G59" s="25"/>
      <c r="H59" s="25"/>
      <c r="I59" s="25"/>
      <c r="J59" s="25"/>
      <c r="K59" s="25"/>
      <c r="L59" s="25">
        <f>+P59-N59+1</f>
        <v>92</v>
      </c>
      <c r="M59" s="25"/>
      <c r="N59" s="45">
        <v>39401</v>
      </c>
      <c r="O59" s="46"/>
      <c r="P59" s="45">
        <v>39492</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39479</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267</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514145</v>
      </c>
      <c r="I70" s="34"/>
      <c r="J70" s="34">
        <f>34744+2249+166</f>
        <v>37159</v>
      </c>
      <c r="K70" s="34"/>
      <c r="L70" s="34">
        <f>2249+166</f>
        <v>2415</v>
      </c>
      <c r="M70" s="34"/>
      <c r="N70" s="34">
        <v>0</v>
      </c>
      <c r="O70" s="34"/>
      <c r="P70" s="53">
        <f>+H70-J70+L70-N70</f>
        <v>479401</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514145</v>
      </c>
      <c r="I73" s="34"/>
      <c r="J73" s="34">
        <f>SUM(J70:J72)</f>
        <v>37159</v>
      </c>
      <c r="K73" s="34"/>
      <c r="L73" s="34">
        <f>SUM(L70:L72)</f>
        <v>2415</v>
      </c>
      <c r="M73" s="34"/>
      <c r="N73" s="34">
        <f>SUM(N70:N72)</f>
        <v>0</v>
      </c>
      <c r="O73" s="34"/>
      <c r="P73" s="54">
        <f>SUM(P70:P72)</f>
        <v>479401</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514145</v>
      </c>
      <c r="I86" s="34"/>
      <c r="J86" s="34"/>
      <c r="K86" s="34"/>
      <c r="L86" s="34"/>
      <c r="M86" s="34"/>
      <c r="N86" s="54"/>
      <c r="O86" s="34"/>
      <c r="P86" s="54">
        <f>SUM(P73:P85)</f>
        <v>479401</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39478</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f>37159-166</f>
        <v>36993</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9120+483-1582-77-81</f>
        <v>7863</v>
      </c>
      <c r="Q92" s="25"/>
      <c r="R92" s="5"/>
    </row>
    <row r="93" spans="1:18" ht="15.6" x14ac:dyDescent="0.3">
      <c r="A93" s="24"/>
      <c r="B93" s="25" t="s">
        <v>249</v>
      </c>
      <c r="C93" s="25"/>
      <c r="D93" s="25"/>
      <c r="E93" s="25"/>
      <c r="F93" s="40"/>
      <c r="G93" s="57"/>
      <c r="H93" s="127"/>
      <c r="I93" s="25"/>
      <c r="J93" s="25"/>
      <c r="K93" s="25"/>
      <c r="L93" s="25"/>
      <c r="M93" s="25"/>
      <c r="N93" s="34"/>
      <c r="O93" s="25"/>
      <c r="P93" s="53">
        <f>398+19</f>
        <v>417</v>
      </c>
      <c r="Q93" s="25"/>
      <c r="R93" s="5"/>
    </row>
    <row r="94" spans="1:18" ht="15.6" x14ac:dyDescent="0.3">
      <c r="A94" s="24"/>
      <c r="B94" s="25" t="s">
        <v>250</v>
      </c>
      <c r="C94" s="25"/>
      <c r="D94" s="25"/>
      <c r="E94" s="25"/>
      <c r="F94" s="40"/>
      <c r="G94" s="57"/>
      <c r="H94" s="127"/>
      <c r="I94" s="25"/>
      <c r="J94" s="25"/>
      <c r="K94" s="25"/>
      <c r="L94" s="25"/>
      <c r="M94" s="25"/>
      <c r="N94" s="34"/>
      <c r="O94" s="25"/>
      <c r="P94" s="53">
        <v>831</v>
      </c>
      <c r="Q94" s="25"/>
      <c r="R94" s="5"/>
    </row>
    <row r="95" spans="1:18" ht="15.6" x14ac:dyDescent="0.3">
      <c r="A95" s="24"/>
      <c r="B95" s="25" t="s">
        <v>259</v>
      </c>
      <c r="C95" s="25"/>
      <c r="D95" s="25"/>
      <c r="E95" s="25"/>
      <c r="F95" s="40"/>
      <c r="G95" s="57"/>
      <c r="H95" s="127"/>
      <c r="I95" s="25"/>
      <c r="J95" s="25"/>
      <c r="K95" s="25"/>
      <c r="L95" s="25"/>
      <c r="M95" s="25"/>
      <c r="N95" s="34"/>
      <c r="O95" s="25"/>
      <c r="P95" s="53">
        <v>473</v>
      </c>
      <c r="Q95" s="25"/>
      <c r="R95" s="5"/>
    </row>
    <row r="96" spans="1:18" ht="15.6" x14ac:dyDescent="0.3">
      <c r="A96" s="24"/>
      <c r="B96" s="25" t="s">
        <v>160</v>
      </c>
      <c r="C96" s="25"/>
      <c r="D96" s="25"/>
      <c r="E96" s="25"/>
      <c r="F96" s="25"/>
      <c r="G96" s="25"/>
      <c r="H96" s="25"/>
      <c r="I96" s="25"/>
      <c r="J96" s="25"/>
      <c r="K96" s="25"/>
      <c r="L96" s="25"/>
      <c r="M96" s="25"/>
      <c r="N96" s="34"/>
      <c r="O96" s="25"/>
      <c r="P96" s="53">
        <v>0</v>
      </c>
      <c r="Q96" s="25"/>
      <c r="R96" s="5"/>
    </row>
    <row r="97" spans="1:19" ht="15.6" x14ac:dyDescent="0.3">
      <c r="A97" s="24"/>
      <c r="B97" s="25" t="s">
        <v>192</v>
      </c>
      <c r="C97" s="25"/>
      <c r="D97" s="25"/>
      <c r="E97" s="25"/>
      <c r="F97" s="25"/>
      <c r="G97" s="25"/>
      <c r="H97" s="25"/>
      <c r="I97" s="25"/>
      <c r="J97" s="25"/>
      <c r="K97" s="25"/>
      <c r="L97" s="25"/>
      <c r="M97" s="25"/>
      <c r="N97" s="34"/>
      <c r="O97" s="25"/>
      <c r="P97" s="53">
        <v>78</v>
      </c>
      <c r="Q97" s="25"/>
      <c r="R97" s="5"/>
    </row>
    <row r="98" spans="1:19" ht="15.6" x14ac:dyDescent="0.3">
      <c r="A98" s="24"/>
      <c r="B98" s="25" t="s">
        <v>35</v>
      </c>
      <c r="C98" s="25"/>
      <c r="D98" s="25"/>
      <c r="E98" s="25"/>
      <c r="F98" s="25"/>
      <c r="G98" s="25"/>
      <c r="H98" s="25"/>
      <c r="I98" s="25"/>
      <c r="J98" s="25"/>
      <c r="K98" s="25"/>
      <c r="L98" s="25"/>
      <c r="M98" s="25"/>
      <c r="N98" s="34">
        <f>SUM(N90:N97)</f>
        <v>36993</v>
      </c>
      <c r="O98" s="25"/>
      <c r="P98" s="54">
        <f>SUM(P90:P97)</f>
        <v>9662</v>
      </c>
      <c r="Q98" s="25"/>
      <c r="R98" s="5"/>
    </row>
    <row r="99" spans="1:19" ht="15.6" x14ac:dyDescent="0.3">
      <c r="A99" s="24"/>
      <c r="B99" s="25" t="s">
        <v>237</v>
      </c>
      <c r="C99" s="25"/>
      <c r="D99" s="25"/>
      <c r="E99" s="25"/>
      <c r="F99" s="25"/>
      <c r="G99" s="25"/>
      <c r="H99" s="25"/>
      <c r="I99" s="25"/>
      <c r="J99" s="25"/>
      <c r="K99" s="25"/>
      <c r="L99" s="25"/>
      <c r="M99" s="25"/>
      <c r="N99" s="34">
        <v>-20</v>
      </c>
      <c r="O99" s="25"/>
      <c r="P99" s="54">
        <f>-N99</f>
        <v>20</v>
      </c>
      <c r="Q99" s="25"/>
      <c r="R99" s="5"/>
    </row>
    <row r="100" spans="1:19" ht="15.6" x14ac:dyDescent="0.3">
      <c r="A100" s="24"/>
      <c r="B100" s="25" t="s">
        <v>36</v>
      </c>
      <c r="C100" s="25"/>
      <c r="D100" s="25"/>
      <c r="E100" s="25"/>
      <c r="F100" s="25"/>
      <c r="G100" s="25"/>
      <c r="H100" s="25"/>
      <c r="I100" s="25"/>
      <c r="J100" s="25"/>
      <c r="K100" s="25"/>
      <c r="L100" s="25"/>
      <c r="M100" s="25"/>
      <c r="N100" s="34">
        <f>-P100</f>
        <v>0</v>
      </c>
      <c r="O100" s="25"/>
      <c r="P100" s="53">
        <v>0</v>
      </c>
      <c r="Q100" s="25"/>
      <c r="R100" s="5"/>
    </row>
    <row r="101" spans="1:19" ht="15.6" x14ac:dyDescent="0.3">
      <c r="A101" s="24"/>
      <c r="B101" s="25" t="s">
        <v>268</v>
      </c>
      <c r="C101" s="25"/>
      <c r="D101" s="25"/>
      <c r="E101" s="25"/>
      <c r="F101" s="25"/>
      <c r="G101" s="25"/>
      <c r="H101" s="25"/>
      <c r="I101" s="25"/>
      <c r="J101" s="25"/>
      <c r="K101" s="25"/>
      <c r="L101" s="25"/>
      <c r="M101" s="25"/>
      <c r="N101" s="34"/>
      <c r="O101" s="25"/>
      <c r="P101" s="53">
        <v>0</v>
      </c>
      <c r="Q101" s="25"/>
      <c r="R101" s="5"/>
    </row>
    <row r="102" spans="1:19" ht="15.6" x14ac:dyDescent="0.3">
      <c r="A102" s="24"/>
      <c r="B102" s="25" t="s">
        <v>37</v>
      </c>
      <c r="C102" s="25"/>
      <c r="D102" s="25"/>
      <c r="E102" s="25"/>
      <c r="F102" s="25"/>
      <c r="G102" s="25"/>
      <c r="H102" s="25"/>
      <c r="I102" s="25"/>
      <c r="J102" s="25"/>
      <c r="K102" s="25"/>
      <c r="L102" s="25"/>
      <c r="M102" s="25"/>
      <c r="N102" s="34">
        <f>N98+N100+N99</f>
        <v>36973</v>
      </c>
      <c r="O102" s="25"/>
      <c r="P102" s="54">
        <f>P98+P100+P99+P101</f>
        <v>9682</v>
      </c>
      <c r="Q102" s="25"/>
      <c r="R102" s="5"/>
      <c r="S102" s="154"/>
    </row>
    <row r="103" spans="1:19" ht="15.6" x14ac:dyDescent="0.3">
      <c r="A103" s="24"/>
      <c r="B103" s="118" t="s">
        <v>38</v>
      </c>
      <c r="C103" s="25"/>
      <c r="D103" s="25"/>
      <c r="E103" s="25"/>
      <c r="F103" s="25"/>
      <c r="G103" s="25"/>
      <c r="H103" s="25"/>
      <c r="I103" s="25"/>
      <c r="J103" s="25"/>
      <c r="K103" s="25"/>
      <c r="L103" s="25"/>
      <c r="M103" s="25"/>
      <c r="N103" s="34"/>
      <c r="O103" s="25"/>
      <c r="P103" s="53"/>
      <c r="Q103" s="25"/>
      <c r="R103" s="5"/>
    </row>
    <row r="104" spans="1:19" ht="15.6" x14ac:dyDescent="0.3">
      <c r="A104" s="24">
        <v>1</v>
      </c>
      <c r="B104" s="25" t="s">
        <v>39</v>
      </c>
      <c r="C104" s="25"/>
      <c r="D104" s="25"/>
      <c r="E104" s="25"/>
      <c r="F104" s="25"/>
      <c r="G104" s="25"/>
      <c r="H104" s="25"/>
      <c r="I104" s="25"/>
      <c r="J104" s="25"/>
      <c r="K104" s="25"/>
      <c r="L104" s="25"/>
      <c r="M104" s="25"/>
      <c r="N104" s="25"/>
      <c r="O104" s="25"/>
      <c r="P104" s="53">
        <v>0</v>
      </c>
      <c r="Q104" s="25"/>
      <c r="R104" s="5"/>
    </row>
    <row r="105" spans="1:19" ht="15.6" x14ac:dyDescent="0.3">
      <c r="A105" s="24">
        <f>+A104+1</f>
        <v>2</v>
      </c>
      <c r="B105" s="25" t="s">
        <v>40</v>
      </c>
      <c r="C105" s="25"/>
      <c r="D105" s="25"/>
      <c r="E105" s="25"/>
      <c r="F105" s="25"/>
      <c r="G105" s="25"/>
      <c r="H105" s="25"/>
      <c r="I105" s="25"/>
      <c r="J105" s="25"/>
      <c r="K105" s="25"/>
      <c r="L105" s="25"/>
      <c r="M105" s="25"/>
      <c r="N105" s="25"/>
      <c r="O105" s="25"/>
      <c r="P105" s="53">
        <v>-2</v>
      </c>
      <c r="Q105" s="25"/>
      <c r="R105" s="5"/>
    </row>
    <row r="106" spans="1:19" ht="15.6" x14ac:dyDescent="0.3">
      <c r="A106" s="24">
        <f>+A105+1</f>
        <v>3</v>
      </c>
      <c r="B106" s="25" t="s">
        <v>226</v>
      </c>
      <c r="C106" s="25"/>
      <c r="D106" s="25"/>
      <c r="E106" s="25"/>
      <c r="F106" s="25"/>
      <c r="G106" s="25"/>
      <c r="H106" s="25"/>
      <c r="I106" s="25"/>
      <c r="J106" s="25"/>
      <c r="K106" s="25"/>
      <c r="L106" s="25"/>
      <c r="M106" s="25"/>
      <c r="N106" s="25"/>
      <c r="O106" s="25"/>
      <c r="P106" s="53">
        <f>-129-25-6</f>
        <v>-160</v>
      </c>
      <c r="Q106" s="25"/>
      <c r="R106" s="5"/>
    </row>
    <row r="107" spans="1:19" ht="15.6" x14ac:dyDescent="0.3">
      <c r="A107" s="24" t="s">
        <v>151</v>
      </c>
      <c r="B107" s="25" t="s">
        <v>131</v>
      </c>
      <c r="C107" s="25"/>
      <c r="D107" s="25"/>
      <c r="E107" s="25"/>
      <c r="F107" s="25"/>
      <c r="G107" s="25"/>
      <c r="H107" s="25"/>
      <c r="I107" s="25"/>
      <c r="J107" s="25"/>
      <c r="K107" s="25"/>
      <c r="L107" s="25"/>
      <c r="M107" s="25"/>
      <c r="N107" s="25"/>
      <c r="O107" s="25"/>
      <c r="P107" s="53">
        <v>0</v>
      </c>
      <c r="Q107" s="25"/>
      <c r="R107" s="5"/>
    </row>
    <row r="108" spans="1:19" ht="15.6" x14ac:dyDescent="0.3">
      <c r="A108" s="24" t="s">
        <v>152</v>
      </c>
      <c r="B108" s="25" t="s">
        <v>195</v>
      </c>
      <c r="C108" s="25"/>
      <c r="D108" s="25"/>
      <c r="E108" s="25"/>
      <c r="F108" s="25"/>
      <c r="G108" s="25"/>
      <c r="H108" s="25"/>
      <c r="I108" s="25"/>
      <c r="J108" s="25"/>
      <c r="K108" s="25"/>
      <c r="L108" s="25"/>
      <c r="M108" s="25"/>
      <c r="N108" s="25"/>
      <c r="O108" s="25"/>
      <c r="P108" s="53">
        <v>-2211</v>
      </c>
      <c r="Q108" s="25"/>
      <c r="R108" s="5"/>
      <c r="S108" s="109"/>
    </row>
    <row r="109" spans="1:19" ht="15.6" x14ac:dyDescent="0.3">
      <c r="A109" s="24" t="s">
        <v>217</v>
      </c>
      <c r="B109" s="25" t="s">
        <v>196</v>
      </c>
      <c r="C109" s="25"/>
      <c r="D109" s="25"/>
      <c r="E109" s="25"/>
      <c r="F109" s="25"/>
      <c r="G109" s="25"/>
      <c r="H109" s="25"/>
      <c r="I109" s="25"/>
      <c r="J109" s="25"/>
      <c r="K109" s="25"/>
      <c r="L109" s="25"/>
      <c r="M109" s="25"/>
      <c r="N109" s="25"/>
      <c r="O109" s="25"/>
      <c r="P109" s="53">
        <v>-1895</v>
      </c>
      <c r="Q109" s="25"/>
      <c r="R109" s="5"/>
      <c r="S109" s="109"/>
    </row>
    <row r="110" spans="1:19" ht="15.6" x14ac:dyDescent="0.3">
      <c r="A110" s="24" t="s">
        <v>218</v>
      </c>
      <c r="B110" s="25" t="s">
        <v>197</v>
      </c>
      <c r="C110" s="25"/>
      <c r="D110" s="25"/>
      <c r="E110" s="25"/>
      <c r="F110" s="25"/>
      <c r="G110" s="25"/>
      <c r="H110" s="25"/>
      <c r="I110" s="25"/>
      <c r="J110" s="25"/>
      <c r="K110" s="25"/>
      <c r="L110" s="25"/>
      <c r="M110" s="25"/>
      <c r="N110" s="25"/>
      <c r="O110" s="25"/>
      <c r="P110" s="53">
        <v>-2943</v>
      </c>
      <c r="Q110" s="25"/>
      <c r="R110" s="5"/>
      <c r="S110" s="109"/>
    </row>
    <row r="111" spans="1:19" ht="15.6" x14ac:dyDescent="0.3">
      <c r="A111" s="24" t="s">
        <v>147</v>
      </c>
      <c r="B111" s="25" t="s">
        <v>146</v>
      </c>
      <c r="C111" s="25"/>
      <c r="D111" s="25"/>
      <c r="E111" s="25"/>
      <c r="F111" s="25"/>
      <c r="G111" s="25"/>
      <c r="H111" s="25"/>
      <c r="I111" s="25"/>
      <c r="J111" s="25"/>
      <c r="K111" s="25"/>
      <c r="L111" s="25"/>
      <c r="M111" s="25"/>
      <c r="N111" s="25"/>
      <c r="O111" s="25"/>
      <c r="P111" s="53">
        <v>-846</v>
      </c>
      <c r="Q111" s="25"/>
      <c r="R111" s="5"/>
      <c r="S111" s="109"/>
    </row>
    <row r="112" spans="1:19" ht="15.6" x14ac:dyDescent="0.3">
      <c r="A112" s="24" t="s">
        <v>148</v>
      </c>
      <c r="B112" s="25" t="s">
        <v>198</v>
      </c>
      <c r="C112" s="25"/>
      <c r="D112" s="25"/>
      <c r="E112" s="25"/>
      <c r="F112" s="25"/>
      <c r="G112" s="25"/>
      <c r="H112" s="25"/>
      <c r="I112" s="25"/>
      <c r="J112" s="25"/>
      <c r="K112" s="25"/>
      <c r="L112" s="25"/>
      <c r="M112" s="25"/>
      <c r="N112" s="25"/>
      <c r="O112" s="25"/>
      <c r="P112" s="53">
        <v>-801</v>
      </c>
      <c r="Q112" s="25"/>
      <c r="R112" s="5"/>
      <c r="S112" s="109"/>
    </row>
    <row r="113" spans="1:18" ht="15.6" x14ac:dyDescent="0.3">
      <c r="A113" s="24">
        <v>6</v>
      </c>
      <c r="B113" s="25" t="s">
        <v>41</v>
      </c>
      <c r="C113" s="25"/>
      <c r="D113" s="25"/>
      <c r="E113" s="25"/>
      <c r="F113" s="25"/>
      <c r="G113" s="25"/>
      <c r="H113" s="25"/>
      <c r="I113" s="25"/>
      <c r="J113" s="25"/>
      <c r="K113" s="25"/>
      <c r="L113" s="25"/>
      <c r="M113" s="25"/>
      <c r="N113" s="25"/>
      <c r="O113" s="25"/>
      <c r="P113" s="53">
        <v>-10</v>
      </c>
      <c r="Q113" s="25"/>
      <c r="R113" s="5"/>
    </row>
    <row r="114" spans="1:18" ht="15.6" x14ac:dyDescent="0.3">
      <c r="A114" s="24">
        <f t="shared" ref="A114:A119" si="0">+A113+1</f>
        <v>7</v>
      </c>
      <c r="B114" s="25" t="s">
        <v>53</v>
      </c>
      <c r="C114" s="25"/>
      <c r="D114" s="25"/>
      <c r="E114" s="25"/>
      <c r="F114" s="25"/>
      <c r="G114" s="25"/>
      <c r="H114" s="25"/>
      <c r="I114" s="25"/>
      <c r="J114" s="25"/>
      <c r="K114" s="25"/>
      <c r="L114" s="25"/>
      <c r="M114" s="25"/>
      <c r="N114" s="34">
        <f>-P114</f>
        <v>166</v>
      </c>
      <c r="O114" s="25"/>
      <c r="P114" s="53">
        <v>-166</v>
      </c>
      <c r="Q114" s="25"/>
      <c r="R114" s="5"/>
    </row>
    <row r="115" spans="1:18" ht="15.6" x14ac:dyDescent="0.3">
      <c r="A115" s="24">
        <f t="shared" si="0"/>
        <v>8</v>
      </c>
      <c r="B115" s="25" t="s">
        <v>149</v>
      </c>
      <c r="C115" s="25"/>
      <c r="D115" s="25"/>
      <c r="E115" s="25"/>
      <c r="F115" s="25"/>
      <c r="G115" s="25"/>
      <c r="H115" s="25"/>
      <c r="I115" s="25"/>
      <c r="J115" s="25"/>
      <c r="K115" s="25"/>
      <c r="L115" s="25"/>
      <c r="M115" s="25"/>
      <c r="N115" s="25"/>
      <c r="O115" s="25"/>
      <c r="P115" s="53">
        <v>0</v>
      </c>
      <c r="Q115" s="25"/>
      <c r="R115" s="5"/>
    </row>
    <row r="116" spans="1:18" ht="15.6" x14ac:dyDescent="0.3">
      <c r="A116" s="24">
        <f t="shared" si="0"/>
        <v>9</v>
      </c>
      <c r="B116" s="25" t="s">
        <v>42</v>
      </c>
      <c r="C116" s="25"/>
      <c r="D116" s="25"/>
      <c r="E116" s="25"/>
      <c r="F116" s="25"/>
      <c r="G116" s="25"/>
      <c r="H116" s="25"/>
      <c r="I116" s="25"/>
      <c r="J116" s="25"/>
      <c r="K116" s="25"/>
      <c r="L116" s="25"/>
      <c r="M116" s="25"/>
      <c r="N116" s="25"/>
      <c r="O116" s="25"/>
      <c r="P116" s="53">
        <v>0</v>
      </c>
      <c r="Q116" s="25"/>
      <c r="R116" s="5"/>
    </row>
    <row r="117" spans="1:18" ht="15.6" x14ac:dyDescent="0.3">
      <c r="A117" s="24">
        <f t="shared" si="0"/>
        <v>10</v>
      </c>
      <c r="B117" s="25" t="s">
        <v>43</v>
      </c>
      <c r="C117" s="25"/>
      <c r="D117" s="25"/>
      <c r="E117" s="25"/>
      <c r="F117" s="25"/>
      <c r="G117" s="25"/>
      <c r="H117" s="25"/>
      <c r="I117" s="25"/>
      <c r="J117" s="25"/>
      <c r="K117" s="25"/>
      <c r="L117" s="25"/>
      <c r="M117" s="25"/>
      <c r="N117" s="25"/>
      <c r="O117" s="25"/>
      <c r="P117" s="53">
        <v>0</v>
      </c>
      <c r="Q117" s="25"/>
      <c r="R117" s="5"/>
    </row>
    <row r="118" spans="1:18" ht="15.6" x14ac:dyDescent="0.3">
      <c r="A118" s="24">
        <f t="shared" si="0"/>
        <v>11</v>
      </c>
      <c r="B118" s="25" t="s">
        <v>215</v>
      </c>
      <c r="C118" s="25"/>
      <c r="D118" s="25"/>
      <c r="E118" s="25"/>
      <c r="F118" s="25"/>
      <c r="G118" s="25"/>
      <c r="H118" s="25"/>
      <c r="I118" s="25"/>
      <c r="J118" s="25"/>
      <c r="K118" s="25"/>
      <c r="L118" s="25"/>
      <c r="M118" s="25"/>
      <c r="N118" s="25"/>
      <c r="O118" s="25"/>
      <c r="P118" s="53">
        <v>-261</v>
      </c>
      <c r="Q118" s="25"/>
      <c r="R118" s="5"/>
    </row>
    <row r="119" spans="1:18" ht="15.6" x14ac:dyDescent="0.3">
      <c r="A119" s="24">
        <f t="shared" si="0"/>
        <v>12</v>
      </c>
      <c r="B119" s="25" t="s">
        <v>150</v>
      </c>
      <c r="C119" s="25"/>
      <c r="D119" s="25"/>
      <c r="E119" s="25"/>
      <c r="F119" s="25"/>
      <c r="G119" s="25"/>
      <c r="H119" s="25"/>
      <c r="I119" s="25"/>
      <c r="J119" s="25"/>
      <c r="K119" s="25"/>
      <c r="L119" s="25"/>
      <c r="M119" s="25"/>
      <c r="N119" s="25"/>
      <c r="O119" s="25"/>
      <c r="P119" s="53">
        <f>-P102-SUM(P104:P118)</f>
        <v>-387</v>
      </c>
      <c r="Q119" s="25"/>
      <c r="R119" s="5"/>
    </row>
    <row r="120" spans="1:18" ht="15.6" x14ac:dyDescent="0.3">
      <c r="A120" s="24"/>
      <c r="B120" s="118" t="s">
        <v>44</v>
      </c>
      <c r="C120" s="25"/>
      <c r="D120" s="25"/>
      <c r="E120" s="25"/>
      <c r="F120" s="25"/>
      <c r="G120" s="25"/>
      <c r="H120" s="25"/>
      <c r="I120" s="25"/>
      <c r="J120" s="25"/>
      <c r="K120" s="25"/>
      <c r="L120" s="25"/>
      <c r="M120" s="25"/>
      <c r="N120" s="25"/>
      <c r="O120" s="25"/>
      <c r="P120" s="59"/>
      <c r="Q120" s="25"/>
      <c r="R120" s="5"/>
    </row>
    <row r="121" spans="1:18" ht="15.6" x14ac:dyDescent="0.3">
      <c r="A121" s="24"/>
      <c r="B121" s="25" t="s">
        <v>45</v>
      </c>
      <c r="C121" s="25"/>
      <c r="D121" s="25"/>
      <c r="E121" s="25"/>
      <c r="F121" s="25"/>
      <c r="G121" s="25"/>
      <c r="H121" s="25"/>
      <c r="I121" s="25"/>
      <c r="J121" s="25"/>
      <c r="K121" s="25"/>
      <c r="L121" s="25"/>
      <c r="M121" s="25"/>
      <c r="N121" s="34">
        <v>-107</v>
      </c>
      <c r="O121" s="34"/>
      <c r="P121" s="53"/>
      <c r="Q121" s="25"/>
      <c r="R121" s="5"/>
    </row>
    <row r="122" spans="1:18" ht="15.6" x14ac:dyDescent="0.3">
      <c r="A122" s="24"/>
      <c r="B122" s="25" t="s">
        <v>46</v>
      </c>
      <c r="C122" s="25"/>
      <c r="D122" s="25"/>
      <c r="E122" s="25"/>
      <c r="F122" s="25"/>
      <c r="G122" s="25"/>
      <c r="H122" s="25"/>
      <c r="I122" s="25"/>
      <c r="J122" s="25"/>
      <c r="K122" s="25"/>
      <c r="L122" s="25"/>
      <c r="M122" s="25"/>
      <c r="N122" s="34">
        <f>-M169</f>
        <v>-2288</v>
      </c>
      <c r="O122" s="34"/>
      <c r="P122" s="53"/>
      <c r="Q122" s="25"/>
      <c r="R122" s="5"/>
    </row>
    <row r="123" spans="1:18" ht="15.6" x14ac:dyDescent="0.3">
      <c r="A123" s="24"/>
      <c r="B123" s="25" t="s">
        <v>199</v>
      </c>
      <c r="C123" s="25"/>
      <c r="D123" s="25"/>
      <c r="E123" s="25"/>
      <c r="F123" s="25"/>
      <c r="G123" s="25"/>
      <c r="H123" s="25"/>
      <c r="I123" s="25"/>
      <c r="J123" s="25"/>
      <c r="K123" s="25"/>
      <c r="L123" s="25"/>
      <c r="M123" s="25"/>
      <c r="N123" s="34">
        <v>-10844</v>
      </c>
      <c r="O123" s="34"/>
      <c r="P123" s="53"/>
      <c r="Q123" s="25"/>
      <c r="R123" s="5"/>
    </row>
    <row r="124" spans="1:18" ht="15.6" x14ac:dyDescent="0.3">
      <c r="A124" s="24"/>
      <c r="B124" s="25" t="s">
        <v>200</v>
      </c>
      <c r="C124" s="25"/>
      <c r="D124" s="25"/>
      <c r="E124" s="25"/>
      <c r="F124" s="25"/>
      <c r="G124" s="25"/>
      <c r="H124" s="25"/>
      <c r="I124" s="25"/>
      <c r="J124" s="25"/>
      <c r="K124" s="25"/>
      <c r="L124" s="25"/>
      <c r="M124" s="25"/>
      <c r="N124" s="34">
        <v>-9433</v>
      </c>
      <c r="O124" s="34"/>
      <c r="P124" s="53"/>
      <c r="Q124" s="25"/>
      <c r="R124" s="5"/>
    </row>
    <row r="125" spans="1:18" ht="15.6" x14ac:dyDescent="0.3">
      <c r="A125" s="24"/>
      <c r="B125" s="25" t="s">
        <v>201</v>
      </c>
      <c r="C125" s="25"/>
      <c r="D125" s="25"/>
      <c r="E125" s="25"/>
      <c r="F125" s="25"/>
      <c r="G125" s="25"/>
      <c r="H125" s="25"/>
      <c r="I125" s="25"/>
      <c r="J125" s="25"/>
      <c r="K125" s="25"/>
      <c r="L125" s="25"/>
      <c r="M125" s="25"/>
      <c r="N125" s="34">
        <v>-14467</v>
      </c>
      <c r="O125" s="34"/>
      <c r="P125" s="53"/>
      <c r="Q125" s="25"/>
      <c r="R125" s="5"/>
    </row>
    <row r="126" spans="1:18" ht="15.6" x14ac:dyDescent="0.3">
      <c r="A126" s="24"/>
      <c r="B126" s="25" t="s">
        <v>159</v>
      </c>
      <c r="C126" s="25"/>
      <c r="D126" s="25"/>
      <c r="E126" s="25"/>
      <c r="F126" s="25"/>
      <c r="G126" s="25"/>
      <c r="H126" s="25"/>
      <c r="I126" s="25"/>
      <c r="J126" s="25"/>
      <c r="K126" s="25"/>
      <c r="L126" s="25"/>
      <c r="M126" s="25"/>
      <c r="N126" s="34">
        <v>0</v>
      </c>
      <c r="O126" s="34"/>
      <c r="P126" s="53"/>
      <c r="Q126" s="25"/>
      <c r="R126" s="5"/>
    </row>
    <row r="127" spans="1:18" ht="15.6" x14ac:dyDescent="0.3">
      <c r="A127" s="24"/>
      <c r="B127" s="25" t="s">
        <v>214</v>
      </c>
      <c r="C127" s="25"/>
      <c r="D127" s="25"/>
      <c r="E127" s="25"/>
      <c r="F127" s="25"/>
      <c r="G127" s="25"/>
      <c r="H127" s="25"/>
      <c r="I127" s="25"/>
      <c r="J127" s="25"/>
      <c r="K127" s="25"/>
      <c r="L127" s="25"/>
      <c r="M127" s="25"/>
      <c r="N127" s="34">
        <v>0</v>
      </c>
      <c r="O127" s="34"/>
      <c r="P127" s="53"/>
      <c r="Q127" s="25"/>
      <c r="R127" s="5"/>
    </row>
    <row r="128" spans="1:18" ht="15.6" x14ac:dyDescent="0.3">
      <c r="A128" s="24"/>
      <c r="B128" s="25" t="s">
        <v>47</v>
      </c>
      <c r="C128" s="25"/>
      <c r="D128" s="25"/>
      <c r="E128" s="25"/>
      <c r="F128" s="25"/>
      <c r="G128" s="25"/>
      <c r="H128" s="25"/>
      <c r="I128" s="25"/>
      <c r="J128" s="25"/>
      <c r="K128" s="25"/>
      <c r="L128" s="25"/>
      <c r="M128" s="25"/>
      <c r="N128" s="34">
        <f>SUM(N121:N127)</f>
        <v>-37139</v>
      </c>
      <c r="O128" s="34"/>
      <c r="P128" s="34">
        <f>SUM(P103:P127)</f>
        <v>-9682</v>
      </c>
      <c r="Q128" s="25"/>
      <c r="R128" s="5"/>
    </row>
    <row r="129" spans="1:19" ht="15.6" x14ac:dyDescent="0.3">
      <c r="A129" s="24"/>
      <c r="B129" s="25" t="s">
        <v>48</v>
      </c>
      <c r="C129" s="25"/>
      <c r="D129" s="25"/>
      <c r="E129" s="25"/>
      <c r="F129" s="25"/>
      <c r="G129" s="25"/>
      <c r="H129" s="25"/>
      <c r="I129" s="25"/>
      <c r="J129" s="25"/>
      <c r="K129" s="25"/>
      <c r="L129" s="25"/>
      <c r="M129" s="25"/>
      <c r="N129" s="34">
        <f>N102+N128+N114</f>
        <v>0</v>
      </c>
      <c r="O129" s="34"/>
      <c r="P129" s="34">
        <f>P102+P128</f>
        <v>0</v>
      </c>
      <c r="Q129" s="25"/>
      <c r="R129" s="5"/>
    </row>
    <row r="130" spans="1:19" ht="15.6" x14ac:dyDescent="0.3">
      <c r="A130" s="24"/>
      <c r="B130" s="25"/>
      <c r="C130" s="25"/>
      <c r="D130" s="25"/>
      <c r="E130" s="25"/>
      <c r="F130" s="25"/>
      <c r="G130" s="25"/>
      <c r="H130" s="25"/>
      <c r="I130" s="25"/>
      <c r="J130" s="25"/>
      <c r="K130" s="25"/>
      <c r="L130" s="25"/>
      <c r="M130" s="25"/>
      <c r="N130" s="34"/>
      <c r="O130" s="34"/>
      <c r="P130" s="34"/>
      <c r="Q130" s="25"/>
      <c r="R130" s="5"/>
    </row>
    <row r="131" spans="1:19" ht="15.6" x14ac:dyDescent="0.3">
      <c r="A131" s="6"/>
      <c r="B131" s="146"/>
      <c r="C131" s="146"/>
      <c r="D131" s="146"/>
      <c r="E131" s="146"/>
      <c r="F131" s="146"/>
      <c r="G131" s="146"/>
      <c r="H131" s="146"/>
      <c r="I131" s="146"/>
      <c r="J131" s="146"/>
      <c r="K131" s="146"/>
      <c r="L131" s="146"/>
      <c r="M131" s="146"/>
      <c r="N131" s="147"/>
      <c r="O131" s="147"/>
      <c r="P131" s="147"/>
      <c r="Q131" s="146"/>
      <c r="R131" s="5"/>
    </row>
    <row r="132" spans="1:19" ht="18" thickBot="1" x14ac:dyDescent="0.35">
      <c r="A132" s="101"/>
      <c r="B132" s="102" t="str">
        <f>B65</f>
        <v>PM7 INVESTOR REPORT QUARTER ENDING JANUARY 2008</v>
      </c>
      <c r="C132" s="103"/>
      <c r="D132" s="103"/>
      <c r="E132" s="103"/>
      <c r="F132" s="103"/>
      <c r="G132" s="103"/>
      <c r="H132" s="103"/>
      <c r="I132" s="103"/>
      <c r="J132" s="103"/>
      <c r="K132" s="103"/>
      <c r="L132" s="103"/>
      <c r="M132" s="103"/>
      <c r="N132" s="103"/>
      <c r="O132" s="103"/>
      <c r="P132" s="106"/>
      <c r="Q132" s="105"/>
      <c r="R132" s="5"/>
    </row>
    <row r="133" spans="1:19" ht="15.6" x14ac:dyDescent="0.3">
      <c r="A133" s="2"/>
      <c r="B133" s="60" t="s">
        <v>49</v>
      </c>
      <c r="C133" s="4"/>
      <c r="D133" s="4"/>
      <c r="E133" s="4"/>
      <c r="F133" s="4"/>
      <c r="G133" s="4"/>
      <c r="H133" s="4"/>
      <c r="I133" s="4"/>
      <c r="J133" s="4"/>
      <c r="K133" s="4"/>
      <c r="L133" s="4"/>
      <c r="M133" s="4"/>
      <c r="N133" s="4"/>
      <c r="O133" s="4"/>
      <c r="P133" s="50"/>
      <c r="Q133" s="4"/>
      <c r="R133" s="5"/>
    </row>
    <row r="134" spans="1:19" ht="15.6" x14ac:dyDescent="0.3">
      <c r="A134" s="6"/>
      <c r="B134" s="21"/>
      <c r="C134" s="8"/>
      <c r="D134" s="8"/>
      <c r="E134" s="8"/>
      <c r="F134" s="8"/>
      <c r="G134" s="8"/>
      <c r="H134" s="8"/>
      <c r="I134" s="8"/>
      <c r="J134" s="8"/>
      <c r="K134" s="8"/>
      <c r="L134" s="8"/>
      <c r="M134" s="8"/>
      <c r="N134" s="8"/>
      <c r="O134" s="8"/>
      <c r="P134" s="52"/>
      <c r="Q134" s="8"/>
      <c r="R134" s="5"/>
    </row>
    <row r="135" spans="1:19" ht="15.6" x14ac:dyDescent="0.3">
      <c r="A135" s="6"/>
      <c r="B135" s="119" t="s">
        <v>50</v>
      </c>
      <c r="C135" s="8"/>
      <c r="D135" s="8"/>
      <c r="E135" s="8"/>
      <c r="F135" s="8"/>
      <c r="G135" s="8"/>
      <c r="H135" s="8"/>
      <c r="I135" s="8"/>
      <c r="J135" s="8"/>
      <c r="K135" s="8"/>
      <c r="L135" s="8"/>
      <c r="M135" s="8"/>
      <c r="N135" s="8"/>
      <c r="O135" s="8"/>
      <c r="P135" s="52"/>
      <c r="Q135" s="8"/>
      <c r="R135" s="5"/>
    </row>
    <row r="136" spans="1:19" ht="15.6" x14ac:dyDescent="0.3">
      <c r="A136" s="24"/>
      <c r="B136" s="25" t="s">
        <v>51</v>
      </c>
      <c r="C136" s="25"/>
      <c r="D136" s="25"/>
      <c r="E136" s="25"/>
      <c r="F136" s="25"/>
      <c r="G136" s="25"/>
      <c r="H136" s="25"/>
      <c r="I136" s="25"/>
      <c r="J136" s="25"/>
      <c r="K136" s="25"/>
      <c r="L136" s="25"/>
      <c r="M136" s="25"/>
      <c r="N136" s="25"/>
      <c r="O136" s="25"/>
      <c r="P136" s="53">
        <f>+P36*0.022</f>
        <v>19815.399999999998</v>
      </c>
      <c r="Q136" s="25"/>
      <c r="R136" s="5"/>
    </row>
    <row r="137" spans="1:19" ht="15.6" x14ac:dyDescent="0.3">
      <c r="A137" s="24"/>
      <c r="B137" s="25" t="s">
        <v>52</v>
      </c>
      <c r="C137" s="25"/>
      <c r="D137" s="25"/>
      <c r="E137" s="25"/>
      <c r="F137" s="25"/>
      <c r="G137" s="25"/>
      <c r="H137" s="25"/>
      <c r="I137" s="25"/>
      <c r="J137" s="25"/>
      <c r="K137" s="25"/>
      <c r="L137" s="25"/>
      <c r="M137" s="25"/>
      <c r="N137" s="25"/>
      <c r="O137" s="25"/>
      <c r="P137" s="53">
        <v>19815</v>
      </c>
      <c r="Q137" s="25"/>
      <c r="R137" s="5"/>
    </row>
    <row r="138" spans="1:19" ht="15.6" x14ac:dyDescent="0.3">
      <c r="A138" s="24"/>
      <c r="B138" s="25" t="s">
        <v>161</v>
      </c>
      <c r="C138" s="25"/>
      <c r="D138" s="25"/>
      <c r="E138" s="25"/>
      <c r="F138" s="25"/>
      <c r="G138" s="25"/>
      <c r="H138" s="25"/>
      <c r="I138" s="25"/>
      <c r="J138" s="25"/>
      <c r="K138" s="25"/>
      <c r="L138" s="25"/>
      <c r="M138" s="25"/>
      <c r="N138" s="25"/>
      <c r="O138" s="25"/>
      <c r="P138" s="53">
        <v>0</v>
      </c>
      <c r="Q138" s="25"/>
      <c r="R138" s="5"/>
    </row>
    <row r="139" spans="1:19" ht="15.6" x14ac:dyDescent="0.3">
      <c r="A139" s="24"/>
      <c r="B139" s="25" t="s">
        <v>144</v>
      </c>
      <c r="C139" s="25"/>
      <c r="D139" s="25"/>
      <c r="E139" s="25"/>
      <c r="F139" s="25"/>
      <c r="G139" s="25"/>
      <c r="H139" s="25"/>
      <c r="I139" s="25"/>
      <c r="J139" s="25"/>
      <c r="K139" s="25"/>
      <c r="L139" s="25"/>
      <c r="M139" s="25"/>
      <c r="N139" s="25"/>
      <c r="O139" s="25"/>
      <c r="P139" s="53">
        <v>0</v>
      </c>
      <c r="Q139" s="25"/>
      <c r="R139" s="5"/>
    </row>
    <row r="140" spans="1:19" ht="15.6" x14ac:dyDescent="0.3">
      <c r="A140" s="24"/>
      <c r="B140" s="25" t="s">
        <v>145</v>
      </c>
      <c r="C140" s="25"/>
      <c r="D140" s="25"/>
      <c r="E140" s="25"/>
      <c r="F140" s="25"/>
      <c r="G140" s="25"/>
      <c r="H140" s="25"/>
      <c r="I140" s="25"/>
      <c r="J140" s="25"/>
      <c r="K140" s="25"/>
      <c r="L140" s="25"/>
      <c r="M140" s="25"/>
      <c r="N140" s="25"/>
      <c r="O140" s="25"/>
      <c r="P140" s="53">
        <v>0</v>
      </c>
      <c r="Q140" s="25"/>
      <c r="R140" s="5"/>
    </row>
    <row r="141" spans="1:19" ht="15.6" x14ac:dyDescent="0.3">
      <c r="A141" s="24"/>
      <c r="B141" s="25" t="s">
        <v>53</v>
      </c>
      <c r="C141" s="25"/>
      <c r="D141" s="25"/>
      <c r="E141" s="25"/>
      <c r="F141" s="25"/>
      <c r="G141" s="25"/>
      <c r="H141" s="25"/>
      <c r="I141" s="25"/>
      <c r="J141" s="25"/>
      <c r="K141" s="25"/>
      <c r="L141" s="25"/>
      <c r="M141" s="25"/>
      <c r="N141" s="25"/>
      <c r="O141" s="25"/>
      <c r="P141" s="53">
        <v>0</v>
      </c>
      <c r="Q141" s="25"/>
      <c r="R141" s="5"/>
    </row>
    <row r="142" spans="1:19" ht="15.6" x14ac:dyDescent="0.3">
      <c r="A142" s="24"/>
      <c r="B142" s="25" t="s">
        <v>153</v>
      </c>
      <c r="C142" s="25"/>
      <c r="D142" s="25"/>
      <c r="E142" s="25"/>
      <c r="F142" s="25"/>
      <c r="G142" s="25"/>
      <c r="H142" s="25"/>
      <c r="I142" s="25"/>
      <c r="J142" s="25"/>
      <c r="K142" s="25"/>
      <c r="L142" s="25"/>
      <c r="M142" s="25"/>
      <c r="N142" s="25"/>
      <c r="O142" s="25"/>
      <c r="P142" s="53">
        <v>0</v>
      </c>
      <c r="Q142" s="25"/>
      <c r="R142" s="5"/>
    </row>
    <row r="143" spans="1:19" ht="15.6" x14ac:dyDescent="0.3">
      <c r="A143" s="24"/>
      <c r="B143" s="25" t="s">
        <v>202</v>
      </c>
      <c r="C143" s="25"/>
      <c r="D143" s="25"/>
      <c r="E143" s="25"/>
      <c r="F143" s="25"/>
      <c r="G143" s="25"/>
      <c r="H143" s="25"/>
      <c r="I143" s="25"/>
      <c r="J143" s="25"/>
      <c r="K143" s="25"/>
      <c r="L143" s="25"/>
      <c r="M143" s="25"/>
      <c r="N143" s="25"/>
      <c r="O143" s="25"/>
      <c r="P143" s="53">
        <v>0</v>
      </c>
      <c r="Q143" s="25"/>
      <c r="R143" s="5"/>
      <c r="S143" s="109"/>
    </row>
    <row r="144" spans="1:19" ht="15.6" x14ac:dyDescent="0.3">
      <c r="A144" s="24"/>
      <c r="B144" s="25" t="s">
        <v>54</v>
      </c>
      <c r="C144" s="25"/>
      <c r="D144" s="25"/>
      <c r="E144" s="25"/>
      <c r="F144" s="25"/>
      <c r="G144" s="25"/>
      <c r="H144" s="25"/>
      <c r="I144" s="25"/>
      <c r="J144" s="25"/>
      <c r="K144" s="25"/>
      <c r="L144" s="25"/>
      <c r="M144" s="25"/>
      <c r="N144" s="25"/>
      <c r="O144" s="25"/>
      <c r="P144" s="53">
        <f>SUM(P137:P143)</f>
        <v>19815</v>
      </c>
      <c r="Q144" s="25"/>
      <c r="R144" s="5"/>
    </row>
    <row r="145" spans="1:18" ht="15.6" x14ac:dyDescent="0.3">
      <c r="A145" s="24"/>
      <c r="B145" s="25"/>
      <c r="C145" s="25"/>
      <c r="D145" s="25"/>
      <c r="E145" s="25"/>
      <c r="F145" s="25"/>
      <c r="G145" s="25"/>
      <c r="H145" s="25"/>
      <c r="I145" s="25"/>
      <c r="J145" s="25"/>
      <c r="K145" s="25"/>
      <c r="L145" s="25"/>
      <c r="M145" s="25"/>
      <c r="N145" s="25"/>
      <c r="O145" s="25"/>
      <c r="P145" s="61"/>
      <c r="Q145" s="25"/>
      <c r="R145" s="5"/>
    </row>
    <row r="146" spans="1:18" ht="15.6" x14ac:dyDescent="0.3">
      <c r="A146" s="6"/>
      <c r="B146" s="119" t="s">
        <v>28</v>
      </c>
      <c r="C146" s="8"/>
      <c r="D146" s="8"/>
      <c r="E146" s="8"/>
      <c r="F146" s="8"/>
      <c r="G146" s="8"/>
      <c r="H146" s="8"/>
      <c r="I146" s="8"/>
      <c r="J146" s="8"/>
      <c r="K146" s="8"/>
      <c r="L146" s="8"/>
      <c r="M146" s="8"/>
      <c r="N146" s="8"/>
      <c r="O146" s="8"/>
      <c r="P146" s="52"/>
      <c r="Q146" s="8"/>
      <c r="R146" s="5"/>
    </row>
    <row r="147" spans="1:18" ht="15.6" x14ac:dyDescent="0.3">
      <c r="A147" s="24"/>
      <c r="B147" s="25" t="s">
        <v>55</v>
      </c>
      <c r="C147" s="25"/>
      <c r="D147" s="25"/>
      <c r="E147" s="25"/>
      <c r="F147" s="25"/>
      <c r="G147" s="25"/>
      <c r="H147" s="25"/>
      <c r="I147" s="25"/>
      <c r="J147" s="25"/>
      <c r="K147" s="25"/>
      <c r="L147" s="25"/>
      <c r="M147" s="25"/>
      <c r="N147" s="25"/>
      <c r="O147" s="25"/>
      <c r="P147" s="59" t="s">
        <v>137</v>
      </c>
      <c r="Q147" s="25"/>
      <c r="R147" s="5"/>
    </row>
    <row r="148" spans="1:18" ht="15.6" x14ac:dyDescent="0.3">
      <c r="A148" s="24"/>
      <c r="B148" s="25" t="s">
        <v>56</v>
      </c>
      <c r="C148" s="141"/>
      <c r="D148" s="141"/>
      <c r="E148" s="141"/>
      <c r="F148" s="141"/>
      <c r="G148" s="141"/>
      <c r="H148" s="141"/>
      <c r="I148" s="141"/>
      <c r="J148" s="141"/>
      <c r="K148" s="141"/>
      <c r="L148" s="141"/>
      <c r="M148" s="141"/>
      <c r="N148" s="141"/>
      <c r="O148" s="141"/>
      <c r="P148" s="59" t="s">
        <v>137</v>
      </c>
      <c r="Q148" s="25"/>
      <c r="R148" s="5"/>
    </row>
    <row r="149" spans="1:18" ht="15.6" x14ac:dyDescent="0.3">
      <c r="A149" s="24"/>
      <c r="B149" s="25" t="s">
        <v>57</v>
      </c>
      <c r="C149" s="25"/>
      <c r="D149" s="25"/>
      <c r="E149" s="25"/>
      <c r="F149" s="25"/>
      <c r="G149" s="25"/>
      <c r="H149" s="25"/>
      <c r="I149" s="25"/>
      <c r="J149" s="25"/>
      <c r="K149" s="25"/>
      <c r="L149" s="25"/>
      <c r="M149" s="25"/>
      <c r="N149" s="25"/>
      <c r="O149" s="25"/>
      <c r="P149" s="59" t="s">
        <v>137</v>
      </c>
      <c r="Q149" s="25"/>
      <c r="R149" s="5"/>
    </row>
    <row r="150" spans="1:18" ht="15.6" x14ac:dyDescent="0.3">
      <c r="A150" s="24"/>
      <c r="B150" s="25" t="s">
        <v>58</v>
      </c>
      <c r="C150" s="25"/>
      <c r="D150" s="25"/>
      <c r="E150" s="25"/>
      <c r="F150" s="25"/>
      <c r="G150" s="25"/>
      <c r="H150" s="25"/>
      <c r="I150" s="25"/>
      <c r="J150" s="25"/>
      <c r="K150" s="25"/>
      <c r="L150" s="25"/>
      <c r="M150" s="25"/>
      <c r="N150" s="25"/>
      <c r="O150" s="25"/>
      <c r="P150" s="59" t="s">
        <v>137</v>
      </c>
      <c r="Q150" s="25"/>
      <c r="R150" s="5"/>
    </row>
    <row r="151" spans="1:18" ht="15.6" x14ac:dyDescent="0.3">
      <c r="A151" s="24"/>
      <c r="B151" s="25"/>
      <c r="C151" s="25"/>
      <c r="D151" s="25"/>
      <c r="E151" s="25"/>
      <c r="F151" s="25"/>
      <c r="G151" s="25"/>
      <c r="H151" s="25"/>
      <c r="I151" s="25"/>
      <c r="J151" s="25"/>
      <c r="K151" s="25"/>
      <c r="L151" s="25"/>
      <c r="M151" s="25"/>
      <c r="N151" s="25"/>
      <c r="O151" s="25"/>
      <c r="P151" s="61"/>
      <c r="Q151" s="25"/>
      <c r="R151" s="5"/>
    </row>
    <row r="152" spans="1:18" ht="15.6" x14ac:dyDescent="0.3">
      <c r="A152" s="6"/>
      <c r="B152" s="119" t="s">
        <v>59</v>
      </c>
      <c r="C152" s="8"/>
      <c r="D152" s="8"/>
      <c r="E152" s="8"/>
      <c r="F152" s="8"/>
      <c r="G152" s="8"/>
      <c r="H152" s="8"/>
      <c r="I152" s="8"/>
      <c r="J152" s="8"/>
      <c r="K152" s="8"/>
      <c r="L152" s="8"/>
      <c r="M152" s="8"/>
      <c r="N152" s="8"/>
      <c r="O152" s="8"/>
      <c r="P152" s="63"/>
      <c r="Q152" s="8"/>
      <c r="R152" s="5"/>
    </row>
    <row r="153" spans="1:18" ht="15.6" x14ac:dyDescent="0.3">
      <c r="A153" s="24"/>
      <c r="B153" s="25" t="s">
        <v>60</v>
      </c>
      <c r="C153" s="25"/>
      <c r="D153" s="25"/>
      <c r="E153" s="25"/>
      <c r="F153" s="25"/>
      <c r="G153" s="25"/>
      <c r="H153" s="25"/>
      <c r="I153" s="25"/>
      <c r="J153" s="25"/>
      <c r="K153" s="25"/>
      <c r="L153" s="25"/>
      <c r="M153" s="25"/>
      <c r="N153" s="25"/>
      <c r="O153" s="25"/>
      <c r="P153" s="53">
        <v>0</v>
      </c>
      <c r="Q153" s="25"/>
      <c r="R153" s="5"/>
    </row>
    <row r="154" spans="1:18" ht="15.6" x14ac:dyDescent="0.3">
      <c r="A154" s="24"/>
      <c r="B154" s="25" t="s">
        <v>61</v>
      </c>
      <c r="C154" s="25"/>
      <c r="D154" s="25"/>
      <c r="E154" s="25"/>
      <c r="F154" s="25"/>
      <c r="G154" s="25"/>
      <c r="H154" s="25"/>
      <c r="I154" s="25"/>
      <c r="J154" s="25"/>
      <c r="K154" s="25"/>
      <c r="L154" s="25"/>
      <c r="M154" s="25"/>
      <c r="N154" s="25"/>
      <c r="O154" s="25"/>
      <c r="P154" s="53">
        <f>-P114</f>
        <v>166</v>
      </c>
      <c r="Q154" s="25"/>
      <c r="R154" s="5"/>
    </row>
    <row r="155" spans="1:18" ht="15.6" x14ac:dyDescent="0.3">
      <c r="A155" s="24"/>
      <c r="B155" s="25" t="s">
        <v>62</v>
      </c>
      <c r="C155" s="25"/>
      <c r="D155" s="25"/>
      <c r="E155" s="25"/>
      <c r="F155" s="25"/>
      <c r="G155" s="25"/>
      <c r="H155" s="25"/>
      <c r="I155" s="25"/>
      <c r="J155" s="25"/>
      <c r="K155" s="25"/>
      <c r="L155" s="25"/>
      <c r="M155" s="25"/>
      <c r="N155" s="25"/>
      <c r="O155" s="25"/>
      <c r="P155" s="53">
        <f>P154+P153</f>
        <v>166</v>
      </c>
      <c r="Q155" s="25"/>
      <c r="R155" s="5"/>
    </row>
    <row r="156" spans="1:18" ht="15.6" x14ac:dyDescent="0.3">
      <c r="A156" s="24"/>
      <c r="B156" s="403" t="s">
        <v>297</v>
      </c>
      <c r="C156" s="25"/>
      <c r="D156" s="25"/>
      <c r="E156" s="25"/>
      <c r="F156" s="25"/>
      <c r="G156" s="25"/>
      <c r="H156" s="25"/>
      <c r="I156" s="25"/>
      <c r="J156" s="25"/>
      <c r="K156" s="25"/>
      <c r="L156" s="25"/>
      <c r="M156" s="25"/>
      <c r="N156" s="25"/>
      <c r="O156" s="25"/>
      <c r="P156" s="53">
        <f>P114</f>
        <v>-166</v>
      </c>
      <c r="Q156" s="25"/>
      <c r="R156" s="5"/>
    </row>
    <row r="157" spans="1:18" ht="15.6" x14ac:dyDescent="0.3">
      <c r="A157" s="24"/>
      <c r="B157" s="25" t="s">
        <v>63</v>
      </c>
      <c r="C157" s="25"/>
      <c r="D157" s="25"/>
      <c r="E157" s="25"/>
      <c r="F157" s="25"/>
      <c r="G157" s="25"/>
      <c r="H157" s="25"/>
      <c r="I157" s="25"/>
      <c r="J157" s="25"/>
      <c r="K157" s="25"/>
      <c r="L157" s="25"/>
      <c r="M157" s="25"/>
      <c r="N157" s="25"/>
      <c r="O157" s="25"/>
      <c r="P157" s="53">
        <f>P155+P156</f>
        <v>0</v>
      </c>
      <c r="Q157" s="25"/>
      <c r="R157" s="5"/>
    </row>
    <row r="158" spans="1:18" ht="16.2" thickBot="1" x14ac:dyDescent="0.35">
      <c r="A158" s="24"/>
      <c r="B158" s="25"/>
      <c r="C158" s="25"/>
      <c r="D158" s="25"/>
      <c r="E158" s="25"/>
      <c r="F158" s="25"/>
      <c r="G158" s="25"/>
      <c r="H158" s="25"/>
      <c r="I158" s="25"/>
      <c r="J158" s="25"/>
      <c r="K158" s="25"/>
      <c r="L158" s="25"/>
      <c r="M158" s="25"/>
      <c r="N158" s="25"/>
      <c r="O158" s="25"/>
      <c r="P158" s="61"/>
      <c r="Q158" s="25"/>
      <c r="R158" s="5"/>
    </row>
    <row r="159" spans="1:18" ht="15.6" x14ac:dyDescent="0.3">
      <c r="A159" s="2"/>
      <c r="B159" s="4"/>
      <c r="C159" s="4"/>
      <c r="D159" s="4"/>
      <c r="E159" s="4"/>
      <c r="F159" s="4"/>
      <c r="G159" s="4"/>
      <c r="H159" s="4"/>
      <c r="I159" s="4"/>
      <c r="J159" s="4"/>
      <c r="K159" s="4"/>
      <c r="L159" s="4"/>
      <c r="M159" s="4"/>
      <c r="N159" s="4"/>
      <c r="O159" s="4"/>
      <c r="P159" s="50"/>
      <c r="Q159" s="4"/>
      <c r="R159" s="5"/>
    </row>
    <row r="160" spans="1:18" ht="15.6" x14ac:dyDescent="0.3">
      <c r="A160" s="6"/>
      <c r="B160" s="119" t="s">
        <v>64</v>
      </c>
      <c r="C160" s="8"/>
      <c r="D160" s="8"/>
      <c r="E160" s="8"/>
      <c r="F160" s="8"/>
      <c r="G160" s="8"/>
      <c r="H160" s="8"/>
      <c r="I160" s="8"/>
      <c r="J160" s="8"/>
      <c r="K160" s="8"/>
      <c r="L160" s="8"/>
      <c r="M160" s="8"/>
      <c r="N160" s="8"/>
      <c r="O160" s="8"/>
      <c r="P160" s="52"/>
      <c r="Q160" s="8"/>
      <c r="R160" s="5"/>
    </row>
    <row r="161" spans="1:18" ht="15.6" x14ac:dyDescent="0.3">
      <c r="A161" s="6"/>
      <c r="B161" s="21"/>
      <c r="C161" s="8"/>
      <c r="D161" s="8"/>
      <c r="E161" s="8"/>
      <c r="F161" s="8"/>
      <c r="G161" s="8"/>
      <c r="H161" s="8"/>
      <c r="I161" s="8"/>
      <c r="J161" s="8"/>
      <c r="K161" s="8"/>
      <c r="L161" s="8"/>
      <c r="M161" s="8"/>
      <c r="N161" s="8"/>
      <c r="O161" s="8"/>
      <c r="P161" s="52"/>
      <c r="Q161" s="8"/>
      <c r="R161" s="5"/>
    </row>
    <row r="162" spans="1:18" ht="15.6" x14ac:dyDescent="0.3">
      <c r="A162" s="24"/>
      <c r="B162" s="25" t="s">
        <v>221</v>
      </c>
      <c r="C162" s="25"/>
      <c r="D162" s="25"/>
      <c r="E162" s="25"/>
      <c r="F162" s="25"/>
      <c r="G162" s="25"/>
      <c r="H162" s="25"/>
      <c r="I162" s="25"/>
      <c r="J162" s="25"/>
      <c r="K162" s="25"/>
      <c r="L162" s="25"/>
      <c r="M162" s="25"/>
      <c r="N162" s="25"/>
      <c r="O162" s="25"/>
      <c r="P162" s="53">
        <f>P73</f>
        <v>479401</v>
      </c>
      <c r="Q162" s="25"/>
      <c r="R162" s="5"/>
    </row>
    <row r="163" spans="1:18" ht="15.6" x14ac:dyDescent="0.3">
      <c r="A163" s="24"/>
      <c r="B163" s="25" t="s">
        <v>65</v>
      </c>
      <c r="C163" s="25"/>
      <c r="D163" s="25"/>
      <c r="E163" s="25"/>
      <c r="F163" s="25"/>
      <c r="G163" s="25"/>
      <c r="H163" s="25"/>
      <c r="I163" s="25"/>
      <c r="J163" s="25"/>
      <c r="K163" s="25"/>
      <c r="L163" s="25"/>
      <c r="M163" s="25"/>
      <c r="N163" s="25"/>
      <c r="O163" s="25"/>
      <c r="P163" s="53">
        <f>P86</f>
        <v>479401</v>
      </c>
      <c r="Q163" s="25"/>
      <c r="R163" s="5"/>
    </row>
    <row r="164" spans="1:18" ht="16.2" thickBot="1" x14ac:dyDescent="0.35">
      <c r="A164" s="24"/>
      <c r="B164" s="25"/>
      <c r="C164" s="25"/>
      <c r="D164" s="25"/>
      <c r="E164" s="25"/>
      <c r="F164" s="25"/>
      <c r="G164" s="25"/>
      <c r="H164" s="25"/>
      <c r="I164" s="25"/>
      <c r="J164" s="25"/>
      <c r="K164" s="25"/>
      <c r="L164" s="25"/>
      <c r="M164" s="25"/>
      <c r="N164" s="25"/>
      <c r="O164" s="25"/>
      <c r="P164" s="61"/>
      <c r="Q164" s="25"/>
      <c r="R164" s="5"/>
    </row>
    <row r="165" spans="1:18" ht="15.6" x14ac:dyDescent="0.3">
      <c r="A165" s="2"/>
      <c r="B165" s="4"/>
      <c r="C165" s="4"/>
      <c r="D165" s="4"/>
      <c r="E165" s="4"/>
      <c r="F165" s="4"/>
      <c r="G165" s="4"/>
      <c r="H165" s="4"/>
      <c r="I165" s="4"/>
      <c r="J165" s="4"/>
      <c r="K165" s="4"/>
      <c r="L165" s="4"/>
      <c r="M165" s="4"/>
      <c r="N165" s="4"/>
      <c r="O165" s="4"/>
      <c r="P165" s="50"/>
      <c r="Q165" s="4"/>
      <c r="R165" s="5"/>
    </row>
    <row r="166" spans="1:18" ht="15.6" x14ac:dyDescent="0.3">
      <c r="A166" s="6"/>
      <c r="B166" s="119" t="s">
        <v>66</v>
      </c>
      <c r="C166" s="117"/>
      <c r="D166" s="117"/>
      <c r="E166" s="117"/>
      <c r="F166" s="120"/>
      <c r="G166" s="120"/>
      <c r="H166" s="120"/>
      <c r="I166" s="120"/>
      <c r="J166" s="120"/>
      <c r="K166" s="120"/>
      <c r="L166" s="120"/>
      <c r="M166" s="120" t="s">
        <v>112</v>
      </c>
      <c r="N166" s="120" t="s">
        <v>120</v>
      </c>
      <c r="O166" s="111"/>
      <c r="P166" s="121" t="s">
        <v>129</v>
      </c>
      <c r="Q166" s="10"/>
      <c r="R166" s="5"/>
    </row>
    <row r="167" spans="1:18" ht="15.6" x14ac:dyDescent="0.3">
      <c r="A167" s="24"/>
      <c r="B167" s="25" t="s">
        <v>67</v>
      </c>
      <c r="C167" s="25"/>
      <c r="D167" s="25"/>
      <c r="E167" s="25"/>
      <c r="F167" s="25"/>
      <c r="G167" s="25"/>
      <c r="H167" s="25"/>
      <c r="I167" s="25"/>
      <c r="J167" s="25"/>
      <c r="K167" s="25"/>
      <c r="L167" s="25"/>
      <c r="M167" s="53">
        <v>144000</v>
      </c>
      <c r="N167" s="40">
        <v>0</v>
      </c>
      <c r="O167" s="25"/>
      <c r="P167" s="53"/>
      <c r="Q167" s="25"/>
      <c r="R167" s="5"/>
    </row>
    <row r="168" spans="1:18" ht="15.6" x14ac:dyDescent="0.3">
      <c r="A168" s="24"/>
      <c r="B168" s="25" t="s">
        <v>68</v>
      </c>
      <c r="C168" s="25"/>
      <c r="D168" s="25"/>
      <c r="E168" s="25"/>
      <c r="F168" s="25"/>
      <c r="G168" s="25"/>
      <c r="H168" s="25"/>
      <c r="I168" s="25"/>
      <c r="J168" s="25"/>
      <c r="K168" s="25"/>
      <c r="L168" s="25"/>
      <c r="M168" s="53">
        <f>+'Oct 07'!M169</f>
        <v>73354</v>
      </c>
      <c r="N168" s="53">
        <f>+'Oct 07'!N169</f>
        <v>9655</v>
      </c>
      <c r="O168" s="25"/>
      <c r="P168" s="53">
        <f>M168+N168</f>
        <v>83009</v>
      </c>
      <c r="Q168" s="25"/>
      <c r="R168" s="5"/>
    </row>
    <row r="169" spans="1:18" ht="15.6" x14ac:dyDescent="0.3">
      <c r="A169" s="24"/>
      <c r="B169" s="25" t="s">
        <v>69</v>
      </c>
      <c r="C169" s="25"/>
      <c r="D169" s="25"/>
      <c r="E169" s="25"/>
      <c r="F169" s="25"/>
      <c r="G169" s="25"/>
      <c r="H169" s="25"/>
      <c r="I169" s="25"/>
      <c r="J169" s="25"/>
      <c r="K169" s="25"/>
      <c r="L169" s="25"/>
      <c r="M169" s="34">
        <v>2288</v>
      </c>
      <c r="N169" s="34">
        <f>-N99-N121</f>
        <v>127</v>
      </c>
      <c r="O169" s="25"/>
      <c r="P169" s="53">
        <f>M169+N169</f>
        <v>2415</v>
      </c>
      <c r="Q169" s="25"/>
      <c r="R169" s="5"/>
    </row>
    <row r="170" spans="1:18" ht="15.6" x14ac:dyDescent="0.3">
      <c r="A170" s="24"/>
      <c r="B170" s="25" t="s">
        <v>70</v>
      </c>
      <c r="C170" s="25"/>
      <c r="D170" s="25"/>
      <c r="E170" s="25"/>
      <c r="F170" s="25"/>
      <c r="G170" s="25"/>
      <c r="H170" s="25"/>
      <c r="I170" s="25"/>
      <c r="J170" s="25"/>
      <c r="K170" s="25"/>
      <c r="L170" s="25"/>
      <c r="M170" s="53">
        <f>M168+M169</f>
        <v>75642</v>
      </c>
      <c r="N170" s="53">
        <f>N169+N168</f>
        <v>9782</v>
      </c>
      <c r="O170" s="25"/>
      <c r="P170" s="53">
        <f>M170+N170</f>
        <v>85424</v>
      </c>
      <c r="Q170" s="25"/>
      <c r="R170" s="5"/>
    </row>
    <row r="171" spans="1:18" ht="15.6" x14ac:dyDescent="0.3">
      <c r="A171" s="24"/>
      <c r="B171" s="25" t="s">
        <v>71</v>
      </c>
      <c r="C171" s="25"/>
      <c r="D171" s="25"/>
      <c r="E171" s="25"/>
      <c r="F171" s="25"/>
      <c r="G171" s="25"/>
      <c r="H171" s="25"/>
      <c r="I171" s="25"/>
      <c r="J171" s="25"/>
      <c r="K171" s="25"/>
      <c r="L171" s="25"/>
      <c r="M171" s="53">
        <f>M167-M170-N170</f>
        <v>58576</v>
      </c>
      <c r="N171" s="40"/>
      <c r="O171" s="25"/>
      <c r="P171" s="53"/>
      <c r="Q171" s="25"/>
      <c r="R171" s="5"/>
    </row>
    <row r="172" spans="1:18" ht="16.2" thickBot="1" x14ac:dyDescent="0.35">
      <c r="A172" s="24"/>
      <c r="B172" s="25"/>
      <c r="C172" s="25"/>
      <c r="D172" s="25"/>
      <c r="E172" s="25"/>
      <c r="F172" s="25"/>
      <c r="G172" s="25"/>
      <c r="H172" s="25"/>
      <c r="I172" s="25"/>
      <c r="J172" s="25"/>
      <c r="K172" s="25"/>
      <c r="L172" s="25"/>
      <c r="M172" s="25"/>
      <c r="N172" s="25"/>
      <c r="O172" s="25"/>
      <c r="P172" s="61"/>
      <c r="Q172" s="25"/>
      <c r="R172" s="5"/>
    </row>
    <row r="173" spans="1:18" ht="15.6" x14ac:dyDescent="0.3">
      <c r="A173" s="2"/>
      <c r="B173" s="4"/>
      <c r="C173" s="4"/>
      <c r="D173" s="4"/>
      <c r="E173" s="4"/>
      <c r="F173" s="4"/>
      <c r="G173" s="4"/>
      <c r="H173" s="4"/>
      <c r="I173" s="4"/>
      <c r="J173" s="4"/>
      <c r="K173" s="4"/>
      <c r="L173" s="4"/>
      <c r="M173" s="4"/>
      <c r="N173" s="4"/>
      <c r="O173" s="4"/>
      <c r="P173" s="50"/>
      <c r="Q173" s="4"/>
      <c r="R173" s="5"/>
    </row>
    <row r="174" spans="1:18" ht="15.6" x14ac:dyDescent="0.3">
      <c r="A174" s="6"/>
      <c r="B174" s="119" t="s">
        <v>72</v>
      </c>
      <c r="C174" s="8"/>
      <c r="D174" s="8"/>
      <c r="E174" s="8"/>
      <c r="F174" s="8"/>
      <c r="G174" s="8"/>
      <c r="H174" s="8"/>
      <c r="I174" s="8"/>
      <c r="J174" s="8"/>
      <c r="K174" s="8"/>
      <c r="L174" s="8"/>
      <c r="M174" s="8"/>
      <c r="N174" s="8"/>
      <c r="O174" s="8"/>
      <c r="P174" s="65"/>
      <c r="Q174" s="8"/>
      <c r="R174" s="5"/>
    </row>
    <row r="175" spans="1:18" ht="15.6" x14ac:dyDescent="0.3">
      <c r="A175" s="24"/>
      <c r="B175" s="25" t="s">
        <v>73</v>
      </c>
      <c r="C175" s="25"/>
      <c r="D175" s="25"/>
      <c r="E175" s="25"/>
      <c r="F175" s="25"/>
      <c r="G175" s="25"/>
      <c r="H175" s="25"/>
      <c r="I175" s="25"/>
      <c r="J175" s="25"/>
      <c r="K175" s="25"/>
      <c r="L175" s="25"/>
      <c r="M175" s="25"/>
      <c r="N175" s="25"/>
      <c r="O175" s="25"/>
      <c r="P175" s="66">
        <f>(P102+P104+P105+P106+P107)/-(P108+P109+P110)</f>
        <v>1.3505461767626614</v>
      </c>
      <c r="Q175" s="25" t="s">
        <v>130</v>
      </c>
      <c r="R175" s="5"/>
    </row>
    <row r="176" spans="1:18" ht="15.6" x14ac:dyDescent="0.3">
      <c r="A176" s="24"/>
      <c r="B176" s="25" t="s">
        <v>74</v>
      </c>
      <c r="C176" s="25"/>
      <c r="D176" s="25"/>
      <c r="E176" s="25"/>
      <c r="F176" s="25"/>
      <c r="G176" s="25"/>
      <c r="H176" s="25"/>
      <c r="I176" s="25"/>
      <c r="J176" s="25"/>
      <c r="K176" s="25"/>
      <c r="L176" s="25"/>
      <c r="M176" s="25"/>
      <c r="N176" s="25"/>
      <c r="O176" s="25"/>
      <c r="P176" s="66">
        <v>1.39</v>
      </c>
      <c r="Q176" s="25" t="s">
        <v>130</v>
      </c>
      <c r="R176" s="5"/>
    </row>
    <row r="177" spans="1:18" ht="15.6" x14ac:dyDescent="0.3">
      <c r="A177" s="24"/>
      <c r="B177" s="25" t="s">
        <v>75</v>
      </c>
      <c r="C177" s="25"/>
      <c r="D177" s="25"/>
      <c r="E177" s="25"/>
      <c r="F177" s="25"/>
      <c r="G177" s="25"/>
      <c r="H177" s="25"/>
      <c r="I177" s="25"/>
      <c r="J177" s="25"/>
      <c r="K177" s="25"/>
      <c r="L177" s="25"/>
      <c r="M177" s="25"/>
      <c r="N177" s="25"/>
      <c r="O177" s="25"/>
      <c r="P177" s="59">
        <f>(P102+P104+P105+P106+P107+P108+P109+P110)/-(P111+P112)</f>
        <v>1.5003035822707953</v>
      </c>
      <c r="Q177" s="25" t="s">
        <v>130</v>
      </c>
      <c r="R177" s="5"/>
    </row>
    <row r="178" spans="1:18" ht="15.6" x14ac:dyDescent="0.3">
      <c r="A178" s="24"/>
      <c r="B178" s="25" t="s">
        <v>76</v>
      </c>
      <c r="C178" s="25"/>
      <c r="D178" s="25"/>
      <c r="E178" s="25"/>
      <c r="F178" s="25"/>
      <c r="G178" s="25"/>
      <c r="H178" s="25"/>
      <c r="I178" s="25"/>
      <c r="J178" s="25"/>
      <c r="K178" s="25"/>
      <c r="L178" s="25"/>
      <c r="M178" s="25"/>
      <c r="N178" s="25"/>
      <c r="O178" s="25"/>
      <c r="P178" s="66">
        <v>2.4500000000000002</v>
      </c>
      <c r="Q178" s="25" t="s">
        <v>130</v>
      </c>
      <c r="R178" s="5"/>
    </row>
    <row r="179" spans="1:18" ht="15.6" x14ac:dyDescent="0.3">
      <c r="A179" s="24"/>
      <c r="B179" s="25"/>
      <c r="C179" s="25"/>
      <c r="D179" s="25"/>
      <c r="E179" s="25"/>
      <c r="F179" s="25"/>
      <c r="G179" s="25"/>
      <c r="H179" s="25"/>
      <c r="I179" s="25"/>
      <c r="J179" s="25"/>
      <c r="K179" s="25"/>
      <c r="L179" s="25"/>
      <c r="M179" s="25"/>
      <c r="N179" s="25"/>
      <c r="O179" s="25"/>
      <c r="P179" s="25"/>
      <c r="Q179" s="25"/>
      <c r="R179" s="5"/>
    </row>
    <row r="180" spans="1:18" ht="15.6" x14ac:dyDescent="0.3">
      <c r="A180" s="24"/>
      <c r="B180" s="25"/>
      <c r="C180" s="25"/>
      <c r="D180" s="25"/>
      <c r="E180" s="25"/>
      <c r="F180" s="25"/>
      <c r="G180" s="25"/>
      <c r="H180" s="25"/>
      <c r="I180" s="25"/>
      <c r="J180" s="25"/>
      <c r="K180" s="25"/>
      <c r="L180" s="25"/>
      <c r="M180" s="25"/>
      <c r="N180" s="25"/>
      <c r="O180" s="25"/>
      <c r="P180" s="25"/>
      <c r="Q180" s="25"/>
      <c r="R180" s="5"/>
    </row>
    <row r="181" spans="1:18" ht="15.6" x14ac:dyDescent="0.3">
      <c r="A181" s="6"/>
      <c r="B181" s="8"/>
      <c r="C181" s="8"/>
      <c r="D181" s="8"/>
      <c r="E181" s="8"/>
      <c r="F181" s="8"/>
      <c r="G181" s="8"/>
      <c r="H181" s="8"/>
      <c r="I181" s="8"/>
      <c r="J181" s="8"/>
      <c r="K181" s="8"/>
      <c r="L181" s="8"/>
      <c r="M181" s="8"/>
      <c r="N181" s="8"/>
      <c r="O181" s="8"/>
      <c r="P181" s="8"/>
      <c r="Q181" s="8"/>
      <c r="R181" s="5"/>
    </row>
    <row r="182" spans="1:18" ht="18" thickBot="1" x14ac:dyDescent="0.35">
      <c r="A182" s="101"/>
      <c r="B182" s="102" t="str">
        <f>B132</f>
        <v>PM7 INVESTOR REPORT QUARTER ENDING JANUARY 2008</v>
      </c>
      <c r="C182" s="143"/>
      <c r="D182" s="143"/>
      <c r="E182" s="143"/>
      <c r="F182" s="143"/>
      <c r="G182" s="143"/>
      <c r="H182" s="143"/>
      <c r="I182" s="143"/>
      <c r="J182" s="143"/>
      <c r="K182" s="143"/>
      <c r="L182" s="143"/>
      <c r="M182" s="143"/>
      <c r="N182" s="143"/>
      <c r="O182" s="143"/>
      <c r="P182" s="143"/>
      <c r="Q182" s="144"/>
      <c r="R182" s="5"/>
    </row>
    <row r="183" spans="1:18" ht="15.6" x14ac:dyDescent="0.3">
      <c r="A183" s="67"/>
      <c r="B183" s="60" t="s">
        <v>77</v>
      </c>
      <c r="C183" s="68"/>
      <c r="D183" s="68"/>
      <c r="E183" s="69"/>
      <c r="F183" s="69"/>
      <c r="G183" s="69"/>
      <c r="H183" s="69"/>
      <c r="I183" s="69"/>
      <c r="J183" s="69"/>
      <c r="K183" s="69"/>
      <c r="L183" s="69"/>
      <c r="M183" s="69"/>
      <c r="N183" s="70">
        <f>H89</f>
        <v>39478</v>
      </c>
      <c r="O183" s="4"/>
      <c r="P183" s="4"/>
      <c r="Q183" s="4"/>
      <c r="R183" s="5"/>
    </row>
    <row r="184" spans="1:18" ht="15.6" x14ac:dyDescent="0.3">
      <c r="A184" s="71"/>
      <c r="B184" s="72"/>
      <c r="C184" s="73"/>
      <c r="D184" s="73"/>
      <c r="E184" s="74"/>
      <c r="F184" s="74"/>
      <c r="G184" s="74"/>
      <c r="H184" s="74"/>
      <c r="I184" s="74"/>
      <c r="J184" s="74"/>
      <c r="K184" s="74"/>
      <c r="L184" s="74"/>
      <c r="M184" s="74"/>
      <c r="N184" s="74"/>
      <c r="O184" s="8"/>
      <c r="P184" s="8"/>
      <c r="Q184" s="8"/>
      <c r="R184" s="5"/>
    </row>
    <row r="185" spans="1:18" ht="15.6" x14ac:dyDescent="0.3">
      <c r="A185" s="75"/>
      <c r="B185" s="76" t="s">
        <v>78</v>
      </c>
      <c r="C185" s="77"/>
      <c r="D185" s="77"/>
      <c r="E185" s="64"/>
      <c r="F185" s="64"/>
      <c r="G185" s="64"/>
      <c r="H185" s="64"/>
      <c r="I185" s="64"/>
      <c r="J185" s="64"/>
      <c r="K185" s="64"/>
      <c r="L185" s="64"/>
      <c r="M185" s="64"/>
      <c r="N185" s="78">
        <v>5.8069999999999997E-2</v>
      </c>
      <c r="O185" s="25"/>
      <c r="P185" s="25"/>
      <c r="Q185" s="25"/>
      <c r="R185" s="5"/>
    </row>
    <row r="186" spans="1:18" ht="15.6" x14ac:dyDescent="0.3">
      <c r="A186" s="75"/>
      <c r="B186" s="76" t="s">
        <v>219</v>
      </c>
      <c r="C186" s="77"/>
      <c r="D186" s="77"/>
      <c r="E186" s="64"/>
      <c r="F186" s="64"/>
      <c r="G186" s="64"/>
      <c r="H186" s="64"/>
      <c r="I186" s="64"/>
      <c r="J186" s="64"/>
      <c r="K186" s="64"/>
      <c r="L186" s="64"/>
      <c r="M186" s="64"/>
      <c r="N186" s="39">
        <v>5.1499999999999997E-2</v>
      </c>
      <c r="O186" s="25"/>
      <c r="P186" s="25"/>
      <c r="Q186" s="25"/>
      <c r="R186" s="5"/>
    </row>
    <row r="187" spans="1:18" ht="15.6" x14ac:dyDescent="0.3">
      <c r="A187" s="75"/>
      <c r="B187" s="76" t="s">
        <v>79</v>
      </c>
      <c r="C187" s="77"/>
      <c r="D187" s="77"/>
      <c r="E187" s="64"/>
      <c r="F187" s="64"/>
      <c r="G187" s="64"/>
      <c r="H187" s="64"/>
      <c r="I187" s="64"/>
      <c r="J187" s="64"/>
      <c r="K187" s="64"/>
      <c r="L187" s="64"/>
      <c r="M187" s="64"/>
      <c r="N187" s="78">
        <f>N185-N186</f>
        <v>6.5699999999999995E-3</v>
      </c>
      <c r="O187" s="25"/>
      <c r="P187" s="25"/>
      <c r="Q187" s="25"/>
      <c r="R187" s="5"/>
    </row>
    <row r="188" spans="1:18" ht="15.6" x14ac:dyDescent="0.3">
      <c r="A188" s="75"/>
      <c r="B188" s="76" t="s">
        <v>80</v>
      </c>
      <c r="C188" s="77"/>
      <c r="D188" s="77"/>
      <c r="E188" s="64"/>
      <c r="F188" s="64"/>
      <c r="G188" s="64"/>
      <c r="H188" s="64"/>
      <c r="I188" s="64"/>
      <c r="J188" s="64"/>
      <c r="K188" s="64"/>
      <c r="L188" s="64"/>
      <c r="M188" s="64"/>
      <c r="N188" s="78">
        <v>6.6489999999999994E-2</v>
      </c>
      <c r="O188" s="25"/>
      <c r="P188" s="25"/>
      <c r="Q188" s="25"/>
      <c r="R188" s="5"/>
    </row>
    <row r="189" spans="1:18" ht="15.6" x14ac:dyDescent="0.3">
      <c r="A189" s="75"/>
      <c r="B189" s="76" t="s">
        <v>241</v>
      </c>
      <c r="C189" s="77"/>
      <c r="D189" s="77"/>
      <c r="E189" s="64"/>
      <c r="F189" s="64"/>
      <c r="G189" s="64"/>
      <c r="H189" s="64"/>
      <c r="I189" s="64"/>
      <c r="J189" s="64"/>
      <c r="K189" s="64"/>
      <c r="L189" s="64"/>
      <c r="M189" s="64"/>
      <c r="N189" s="78">
        <f>+P45</f>
        <v>6.7293346488489225E-2</v>
      </c>
      <c r="O189" s="25"/>
      <c r="P189" s="25"/>
      <c r="Q189" s="25"/>
      <c r="R189" s="5"/>
    </row>
    <row r="190" spans="1:18" ht="15.6" x14ac:dyDescent="0.3">
      <c r="A190" s="75"/>
      <c r="B190" s="76" t="s">
        <v>81</v>
      </c>
      <c r="C190" s="77"/>
      <c r="D190" s="77"/>
      <c r="E190" s="64"/>
      <c r="F190" s="64"/>
      <c r="G190" s="64"/>
      <c r="H190" s="64"/>
      <c r="I190" s="64"/>
      <c r="J190" s="64"/>
      <c r="K190" s="64"/>
      <c r="L190" s="64"/>
      <c r="M190" s="64"/>
      <c r="N190" s="78">
        <f>N188-N189</f>
        <v>-8.0334648848923162E-4</v>
      </c>
      <c r="O190" s="25"/>
      <c r="P190" s="25"/>
      <c r="Q190" s="25"/>
      <c r="R190" s="5"/>
    </row>
    <row r="191" spans="1:18" ht="15.6" x14ac:dyDescent="0.3">
      <c r="A191" s="75"/>
      <c r="B191" s="76" t="s">
        <v>257</v>
      </c>
      <c r="C191" s="77"/>
      <c r="D191" s="77"/>
      <c r="E191" s="64"/>
      <c r="F191" s="64"/>
      <c r="G191" s="64"/>
      <c r="H191" s="64"/>
      <c r="I191" s="64"/>
      <c r="J191" s="64"/>
      <c r="K191" s="64"/>
      <c r="L191" s="64"/>
      <c r="M191" s="64"/>
      <c r="N191" s="78">
        <f>+P102/H73</f>
        <v>1.8831263554055764E-2</v>
      </c>
      <c r="O191" s="25"/>
      <c r="P191" s="25"/>
      <c r="Q191" s="25"/>
      <c r="R191" s="5"/>
    </row>
    <row r="192" spans="1:18" ht="15.6" x14ac:dyDescent="0.3">
      <c r="A192" s="75"/>
      <c r="B192" s="76" t="s">
        <v>170</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171</v>
      </c>
      <c r="C193" s="77"/>
      <c r="D193" s="77"/>
      <c r="E193" s="64"/>
      <c r="F193" s="64"/>
      <c r="G193" s="64"/>
      <c r="H193" s="64"/>
      <c r="I193" s="64"/>
      <c r="J193" s="64"/>
      <c r="K193" s="64"/>
      <c r="L193" s="64"/>
      <c r="M193" s="64"/>
      <c r="N193" s="133">
        <v>49065</v>
      </c>
      <c r="O193" s="25"/>
      <c r="P193" s="25"/>
      <c r="Q193" s="25"/>
      <c r="R193" s="5"/>
    </row>
    <row r="194" spans="1:18" ht="15.6" x14ac:dyDescent="0.3">
      <c r="A194" s="75"/>
      <c r="B194" s="76" t="s">
        <v>172</v>
      </c>
      <c r="C194" s="77"/>
      <c r="D194" s="77"/>
      <c r="E194" s="64"/>
      <c r="F194" s="64"/>
      <c r="G194" s="64"/>
      <c r="H194" s="64"/>
      <c r="I194" s="64"/>
      <c r="J194" s="64"/>
      <c r="K194" s="64"/>
      <c r="L194" s="64"/>
      <c r="M194" s="64"/>
      <c r="N194" s="133">
        <v>49065</v>
      </c>
      <c r="O194" s="25"/>
      <c r="P194" s="25"/>
      <c r="Q194" s="25"/>
      <c r="R194" s="5"/>
    </row>
    <row r="195" spans="1:18" ht="15.6" x14ac:dyDescent="0.3">
      <c r="A195" s="75"/>
      <c r="B195" s="76" t="s">
        <v>138</v>
      </c>
      <c r="C195" s="77"/>
      <c r="D195" s="77"/>
      <c r="E195" s="64"/>
      <c r="F195" s="64"/>
      <c r="G195" s="64"/>
      <c r="H195" s="64"/>
      <c r="I195" s="64"/>
      <c r="J195" s="64"/>
      <c r="K195" s="64"/>
      <c r="L195" s="64"/>
      <c r="M195" s="64"/>
      <c r="N195" s="133">
        <v>52352</v>
      </c>
      <c r="O195" s="25"/>
      <c r="P195" s="25"/>
      <c r="Q195" s="25"/>
      <c r="R195" s="5"/>
    </row>
    <row r="196" spans="1:18" ht="15.6" x14ac:dyDescent="0.3">
      <c r="A196" s="75"/>
      <c r="B196" s="76" t="s">
        <v>139</v>
      </c>
      <c r="C196" s="77"/>
      <c r="D196" s="77"/>
      <c r="E196" s="64"/>
      <c r="F196" s="64"/>
      <c r="G196" s="64"/>
      <c r="H196" s="64"/>
      <c r="I196" s="64"/>
      <c r="J196" s="64"/>
      <c r="K196" s="64"/>
      <c r="L196" s="64"/>
      <c r="M196" s="64"/>
      <c r="N196" s="133">
        <v>52352</v>
      </c>
      <c r="O196" s="25"/>
      <c r="P196" s="25"/>
      <c r="Q196" s="25"/>
      <c r="R196" s="5"/>
    </row>
    <row r="197" spans="1:18" ht="15.6" x14ac:dyDescent="0.3">
      <c r="A197" s="75"/>
      <c r="B197" s="76" t="s">
        <v>82</v>
      </c>
      <c r="C197" s="77"/>
      <c r="D197" s="77"/>
      <c r="E197" s="64"/>
      <c r="F197" s="64"/>
      <c r="G197" s="64"/>
      <c r="H197" s="64"/>
      <c r="I197" s="64"/>
      <c r="J197" s="64"/>
      <c r="K197" s="64"/>
      <c r="L197" s="64"/>
      <c r="M197" s="64"/>
      <c r="N197" s="137">
        <v>20.45</v>
      </c>
      <c r="O197" s="25" t="s">
        <v>125</v>
      </c>
      <c r="P197" s="25"/>
      <c r="Q197" s="25"/>
      <c r="R197" s="5"/>
    </row>
    <row r="198" spans="1:18" ht="15.6" x14ac:dyDescent="0.3">
      <c r="A198" s="75"/>
      <c r="B198" s="76" t="s">
        <v>83</v>
      </c>
      <c r="C198" s="77"/>
      <c r="D198" s="77"/>
      <c r="E198" s="64"/>
      <c r="F198" s="64"/>
      <c r="G198" s="64"/>
      <c r="H198" s="64"/>
      <c r="I198" s="64"/>
      <c r="J198" s="64"/>
      <c r="K198" s="64"/>
      <c r="L198" s="64"/>
      <c r="M198" s="64"/>
      <c r="N198" s="137">
        <v>18.04</v>
      </c>
      <c r="O198" s="25" t="s">
        <v>125</v>
      </c>
      <c r="P198" s="25"/>
      <c r="Q198" s="25"/>
      <c r="R198" s="5"/>
    </row>
    <row r="199" spans="1:18" ht="15.6" x14ac:dyDescent="0.3">
      <c r="A199" s="75"/>
      <c r="B199" s="76" t="s">
        <v>84</v>
      </c>
      <c r="C199" s="77"/>
      <c r="D199" s="77"/>
      <c r="E199" s="64"/>
      <c r="F199" s="64"/>
      <c r="G199" s="64"/>
      <c r="H199" s="64"/>
      <c r="I199" s="64"/>
      <c r="J199" s="64"/>
      <c r="K199" s="64"/>
      <c r="L199" s="64"/>
      <c r="M199" s="64"/>
      <c r="N199" s="78">
        <f>+J70/H70</f>
        <v>7.2273385912534405E-2</v>
      </c>
      <c r="O199" s="25"/>
      <c r="P199" s="25"/>
      <c r="Q199" s="25"/>
      <c r="R199" s="5"/>
    </row>
    <row r="200" spans="1:18" ht="15.6" x14ac:dyDescent="0.3">
      <c r="A200" s="75"/>
      <c r="B200" s="76" t="s">
        <v>85</v>
      </c>
      <c r="C200" s="77"/>
      <c r="D200" s="77"/>
      <c r="E200" s="64"/>
      <c r="F200" s="64"/>
      <c r="G200" s="64"/>
      <c r="H200" s="64"/>
      <c r="I200" s="64"/>
      <c r="J200" s="64"/>
      <c r="K200" s="64"/>
      <c r="L200" s="64"/>
      <c r="M200" s="64"/>
      <c r="N200" s="78">
        <v>0.18809999999999999</v>
      </c>
      <c r="O200" s="25"/>
      <c r="P200" s="25"/>
      <c r="Q200" s="25"/>
      <c r="R200" s="5"/>
    </row>
    <row r="201" spans="1:18" ht="15.6" x14ac:dyDescent="0.3">
      <c r="A201" s="75"/>
      <c r="B201" s="76"/>
      <c r="C201" s="76"/>
      <c r="D201" s="76"/>
      <c r="E201" s="25"/>
      <c r="F201" s="25"/>
      <c r="G201" s="25"/>
      <c r="H201" s="25"/>
      <c r="I201" s="25"/>
      <c r="J201" s="25"/>
      <c r="K201" s="25"/>
      <c r="L201" s="25"/>
      <c r="M201" s="25"/>
      <c r="N201" s="61"/>
      <c r="O201" s="25"/>
      <c r="P201" s="79"/>
      <c r="Q201" s="25"/>
      <c r="R201" s="5"/>
    </row>
    <row r="202" spans="1:18" ht="15.6" x14ac:dyDescent="0.3">
      <c r="A202" s="80"/>
      <c r="B202" s="14" t="s">
        <v>86</v>
      </c>
      <c r="C202" s="81"/>
      <c r="D202" s="82"/>
      <c r="E202" s="81"/>
      <c r="F202" s="17"/>
      <c r="G202" s="17"/>
      <c r="H202" s="17"/>
      <c r="I202" s="17"/>
      <c r="J202" s="17"/>
      <c r="K202" s="17"/>
      <c r="L202" s="17"/>
      <c r="M202" s="17" t="s">
        <v>113</v>
      </c>
      <c r="N202" s="83" t="s">
        <v>121</v>
      </c>
      <c r="O202" s="8"/>
      <c r="P202" s="8"/>
      <c r="Q202" s="8"/>
      <c r="R202" s="5"/>
    </row>
    <row r="203" spans="1:18" ht="15.6" x14ac:dyDescent="0.3">
      <c r="A203" s="84"/>
      <c r="B203" s="76" t="s">
        <v>87</v>
      </c>
      <c r="C203" s="54"/>
      <c r="D203" s="25"/>
      <c r="E203" s="25"/>
      <c r="F203" s="30"/>
      <c r="G203" s="30"/>
      <c r="H203" s="30"/>
      <c r="I203" s="30"/>
      <c r="J203" s="30"/>
      <c r="K203" s="30"/>
      <c r="L203" s="30"/>
      <c r="M203" s="30">
        <v>2</v>
      </c>
      <c r="N203" s="85">
        <v>122</v>
      </c>
      <c r="O203" s="25"/>
      <c r="P203" s="79"/>
      <c r="Q203" s="86"/>
      <c r="R203" s="5"/>
    </row>
    <row r="204" spans="1:18" ht="15.6" x14ac:dyDescent="0.3">
      <c r="A204" s="84"/>
      <c r="B204" s="76" t="s">
        <v>203</v>
      </c>
      <c r="C204" s="54"/>
      <c r="D204" s="25"/>
      <c r="E204" s="25"/>
      <c r="F204" s="30"/>
      <c r="G204" s="30"/>
      <c r="H204" s="30"/>
      <c r="I204" s="30"/>
      <c r="J204" s="30"/>
      <c r="K204" s="30"/>
      <c r="L204" s="30"/>
      <c r="M204" s="151">
        <f>+L241</f>
        <v>25</v>
      </c>
      <c r="N204" s="85">
        <f>+N241</f>
        <v>3273</v>
      </c>
      <c r="O204" s="25"/>
      <c r="P204" s="79"/>
      <c r="Q204" s="86"/>
      <c r="R204" s="5"/>
    </row>
    <row r="205" spans="1:18" ht="15.6" x14ac:dyDescent="0.3">
      <c r="A205" s="84"/>
      <c r="B205" s="76" t="s">
        <v>88</v>
      </c>
      <c r="C205" s="54"/>
      <c r="D205" s="25"/>
      <c r="E205" s="25"/>
      <c r="F205" s="30"/>
      <c r="G205" s="30"/>
      <c r="H205" s="30"/>
      <c r="I205" s="30"/>
      <c r="J205" s="30"/>
      <c r="K205" s="30"/>
      <c r="L205" s="30"/>
      <c r="M205" s="151">
        <v>2</v>
      </c>
      <c r="N205" s="85">
        <v>124</v>
      </c>
      <c r="O205" s="25"/>
      <c r="P205" s="79"/>
      <c r="Q205" s="86"/>
      <c r="R205" s="5"/>
    </row>
    <row r="206" spans="1:18" ht="15.6" x14ac:dyDescent="0.3">
      <c r="A206" s="84"/>
      <c r="B206" s="122" t="s">
        <v>89</v>
      </c>
      <c r="C206" s="54"/>
      <c r="D206" s="25"/>
      <c r="E206" s="25"/>
      <c r="F206" s="25"/>
      <c r="G206" s="25"/>
      <c r="H206" s="25"/>
      <c r="I206" s="25"/>
      <c r="J206" s="25"/>
      <c r="K206" s="25"/>
      <c r="L206" s="25"/>
      <c r="M206" s="25"/>
      <c r="N206" s="85">
        <v>0</v>
      </c>
      <c r="O206" s="25"/>
      <c r="P206" s="79"/>
      <c r="Q206" s="86"/>
      <c r="R206" s="5"/>
    </row>
    <row r="207" spans="1:18" ht="15.6" x14ac:dyDescent="0.3">
      <c r="A207" s="84"/>
      <c r="B207" s="122" t="s">
        <v>90</v>
      </c>
      <c r="C207" s="54"/>
      <c r="D207" s="25"/>
      <c r="E207" s="25"/>
      <c r="F207" s="25"/>
      <c r="G207" s="25"/>
      <c r="H207" s="25"/>
      <c r="I207" s="25"/>
      <c r="J207" s="25"/>
      <c r="K207" s="25"/>
      <c r="L207" s="25"/>
      <c r="M207" s="25"/>
      <c r="N207" s="62" t="s">
        <v>122</v>
      </c>
      <c r="O207" s="25"/>
      <c r="P207" s="79"/>
      <c r="Q207" s="86"/>
      <c r="R207" s="5"/>
    </row>
    <row r="208" spans="1:18" ht="15.6" x14ac:dyDescent="0.3">
      <c r="A208" s="87"/>
      <c r="B208" s="122" t="s">
        <v>91</v>
      </c>
      <c r="C208" s="76"/>
      <c r="D208" s="76"/>
      <c r="E208" s="25"/>
      <c r="F208" s="25"/>
      <c r="G208" s="25"/>
      <c r="H208" s="25"/>
      <c r="I208" s="25"/>
      <c r="J208" s="167"/>
      <c r="K208" s="25"/>
      <c r="L208" s="25"/>
      <c r="M208" s="25"/>
      <c r="N208" s="85"/>
      <c r="O208" s="25"/>
      <c r="P208" s="79"/>
      <c r="Q208" s="88"/>
      <c r="R208" s="5"/>
    </row>
    <row r="209" spans="1:18" ht="15.6" x14ac:dyDescent="0.3">
      <c r="A209" s="87"/>
      <c r="B209" s="135" t="s">
        <v>92</v>
      </c>
      <c r="C209" s="76"/>
      <c r="D209" s="76"/>
      <c r="E209" s="25"/>
      <c r="F209" s="25"/>
      <c r="G209" s="25"/>
      <c r="H209" s="25"/>
      <c r="I209" s="25"/>
      <c r="J209" s="25"/>
      <c r="K209" s="25"/>
      <c r="L209" s="25"/>
      <c r="M209" s="25"/>
      <c r="N209" s="85">
        <f>P154</f>
        <v>166</v>
      </c>
      <c r="O209" s="25"/>
      <c r="P209" s="79"/>
      <c r="Q209" s="88"/>
      <c r="R209" s="5"/>
    </row>
    <row r="210" spans="1:18" ht="15.6" x14ac:dyDescent="0.3">
      <c r="A210" s="84"/>
      <c r="B210" s="76" t="s">
        <v>93</v>
      </c>
      <c r="C210" s="54"/>
      <c r="D210" s="54"/>
      <c r="E210" s="25"/>
      <c r="F210" s="25"/>
      <c r="G210" s="25"/>
      <c r="H210" s="25"/>
      <c r="I210" s="25"/>
      <c r="J210" s="25"/>
      <c r="K210" s="25"/>
      <c r="L210" s="25"/>
      <c r="M210" s="25"/>
      <c r="N210" s="85">
        <f>'Oct 07'!N209+'Jan 08'!N209</f>
        <v>905</v>
      </c>
      <c r="O210" s="25"/>
      <c r="P210" s="79"/>
      <c r="Q210" s="88"/>
      <c r="R210" s="5"/>
    </row>
    <row r="211" spans="1:18" ht="15.6" x14ac:dyDescent="0.3">
      <c r="A211" s="87"/>
      <c r="B211" s="122" t="s">
        <v>278</v>
      </c>
      <c r="C211" s="76"/>
      <c r="D211" s="76"/>
      <c r="E211" s="25"/>
      <c r="F211" s="25"/>
      <c r="G211" s="25"/>
      <c r="H211" s="25"/>
      <c r="I211" s="25"/>
      <c r="J211" s="25"/>
      <c r="K211" s="25"/>
      <c r="L211" s="25"/>
      <c r="M211" s="25"/>
      <c r="N211" s="85"/>
      <c r="O211" s="25"/>
      <c r="P211" s="79"/>
      <c r="Q211" s="88"/>
      <c r="R211" s="5"/>
    </row>
    <row r="212" spans="1:18" ht="15.6" x14ac:dyDescent="0.3">
      <c r="A212" s="87"/>
      <c r="B212" s="76" t="s">
        <v>276</v>
      </c>
      <c r="C212" s="76"/>
      <c r="D212" s="76"/>
      <c r="E212" s="25"/>
      <c r="F212" s="25"/>
      <c r="G212" s="25"/>
      <c r="H212" s="25"/>
      <c r="I212" s="25"/>
      <c r="J212" s="25"/>
      <c r="K212" s="25"/>
      <c r="L212" s="25"/>
      <c r="M212" s="30">
        <v>1</v>
      </c>
      <c r="N212" s="85">
        <v>24</v>
      </c>
      <c r="O212" s="25"/>
      <c r="P212" s="79"/>
      <c r="Q212" s="88"/>
      <c r="R212" s="5"/>
    </row>
    <row r="213" spans="1:18" ht="15.6" x14ac:dyDescent="0.3">
      <c r="A213" s="84"/>
      <c r="B213" s="76" t="s">
        <v>95</v>
      </c>
      <c r="C213" s="89"/>
      <c r="D213" s="90"/>
      <c r="E213" s="25"/>
      <c r="F213" s="25"/>
      <c r="G213" s="25"/>
      <c r="H213" s="25"/>
      <c r="I213" s="25"/>
      <c r="J213" s="25"/>
      <c r="K213" s="25"/>
      <c r="L213" s="25"/>
      <c r="M213" s="25"/>
      <c r="N213" s="62">
        <v>11.55</v>
      </c>
      <c r="O213" s="25"/>
      <c r="P213" s="79"/>
      <c r="Q213" s="88"/>
      <c r="R213" s="5"/>
    </row>
    <row r="214" spans="1:18" ht="15.6" x14ac:dyDescent="0.3">
      <c r="A214" s="84"/>
      <c r="B214" s="76" t="s">
        <v>96</v>
      </c>
      <c r="C214" s="89"/>
      <c r="D214" s="90"/>
      <c r="E214" s="25"/>
      <c r="F214" s="25"/>
      <c r="G214" s="25"/>
      <c r="H214" s="25"/>
      <c r="I214" s="25"/>
      <c r="J214" s="25"/>
      <c r="K214" s="25"/>
      <c r="L214" s="25"/>
      <c r="M214" s="25"/>
      <c r="N214" s="62">
        <v>4.9000000000000004</v>
      </c>
      <c r="O214" s="25"/>
      <c r="P214" s="79"/>
      <c r="Q214" s="88"/>
      <c r="R214" s="5"/>
    </row>
    <row r="215" spans="1:18" ht="15.6" x14ac:dyDescent="0.3">
      <c r="A215" s="84"/>
      <c r="B215" s="122" t="s">
        <v>251</v>
      </c>
      <c r="C215" s="89"/>
      <c r="D215" s="90"/>
      <c r="E215" s="25"/>
      <c r="F215" s="25"/>
      <c r="G215" s="25"/>
      <c r="H215" s="25"/>
      <c r="I215" s="25"/>
      <c r="J215" s="25"/>
      <c r="K215" s="25"/>
      <c r="L215" s="25"/>
      <c r="M215" s="25"/>
      <c r="N215" s="91"/>
      <c r="O215" s="25"/>
      <c r="P215" s="79"/>
      <c r="Q215" s="88"/>
      <c r="R215" s="5"/>
    </row>
    <row r="216" spans="1:18" ht="15.6" x14ac:dyDescent="0.3">
      <c r="A216" s="84"/>
      <c r="B216" s="76" t="s">
        <v>276</v>
      </c>
      <c r="C216" s="89"/>
      <c r="D216" s="90"/>
      <c r="E216" s="25"/>
      <c r="F216" s="25"/>
      <c r="G216" s="25"/>
      <c r="H216" s="25"/>
      <c r="I216" s="25"/>
      <c r="J216" s="25"/>
      <c r="K216" s="25"/>
      <c r="L216" s="25"/>
      <c r="M216" s="30">
        <v>5</v>
      </c>
      <c r="N216" s="85">
        <v>638</v>
      </c>
      <c r="O216" s="25"/>
      <c r="P216" s="79"/>
      <c r="Q216" s="88"/>
      <c r="R216" s="5"/>
    </row>
    <row r="217" spans="1:18" ht="15.6" x14ac:dyDescent="0.3">
      <c r="A217" s="84"/>
      <c r="B217" s="76" t="s">
        <v>252</v>
      </c>
      <c r="C217" s="89"/>
      <c r="D217" s="90"/>
      <c r="E217" s="25"/>
      <c r="F217" s="25"/>
      <c r="G217" s="25"/>
      <c r="H217" s="25"/>
      <c r="I217" s="25"/>
      <c r="J217" s="25"/>
      <c r="K217" s="25"/>
      <c r="L217" s="25"/>
      <c r="M217" s="25"/>
      <c r="N217" s="62">
        <v>11.54</v>
      </c>
      <c r="O217" s="25"/>
      <c r="P217" s="79"/>
      <c r="Q217" s="88"/>
      <c r="R217" s="5"/>
    </row>
    <row r="218" spans="1:18" ht="15.6" x14ac:dyDescent="0.3">
      <c r="A218" s="84"/>
      <c r="B218" s="76"/>
      <c r="C218" s="89"/>
      <c r="D218" s="90"/>
      <c r="E218" s="25"/>
      <c r="F218" s="25"/>
      <c r="G218" s="25"/>
      <c r="H218" s="25"/>
      <c r="I218" s="25"/>
      <c r="J218" s="25"/>
      <c r="K218" s="25"/>
      <c r="L218" s="25"/>
      <c r="M218" s="25"/>
      <c r="N218" s="91"/>
      <c r="O218" s="25"/>
      <c r="P218" s="79"/>
      <c r="Q218" s="88"/>
      <c r="R218" s="5"/>
    </row>
    <row r="219" spans="1:18" ht="17.399999999999999" x14ac:dyDescent="0.3">
      <c r="A219" s="84"/>
      <c r="B219" s="160" t="s">
        <v>244</v>
      </c>
      <c r="C219" s="161"/>
      <c r="D219" s="162"/>
      <c r="E219" s="163"/>
      <c r="F219" s="163"/>
      <c r="G219" s="163"/>
      <c r="H219" s="163"/>
      <c r="I219" s="166"/>
      <c r="J219" s="169" t="s">
        <v>243</v>
      </c>
      <c r="K219" s="163"/>
      <c r="L219" s="163"/>
      <c r="M219" s="25"/>
      <c r="N219" s="91"/>
      <c r="O219" s="25"/>
      <c r="P219" s="79"/>
      <c r="Q219" s="88"/>
      <c r="R219" s="5"/>
    </row>
    <row r="220" spans="1:18" ht="15.6" x14ac:dyDescent="0.3">
      <c r="A220" s="84"/>
      <c r="B220" s="156"/>
      <c r="C220" s="157"/>
      <c r="D220" s="158"/>
      <c r="E220" s="146"/>
      <c r="F220" s="146"/>
      <c r="G220" s="146"/>
      <c r="H220" s="146"/>
      <c r="I220" s="146"/>
      <c r="J220" s="146"/>
      <c r="K220" s="146"/>
      <c r="L220" s="146"/>
      <c r="M220" s="25"/>
      <c r="N220" s="91"/>
      <c r="O220" s="25"/>
      <c r="P220" s="79"/>
      <c r="Q220" s="88"/>
      <c r="R220" s="5"/>
    </row>
    <row r="221" spans="1:18" ht="15.6" x14ac:dyDescent="0.3">
      <c r="A221" s="6"/>
      <c r="B221" s="14" t="s">
        <v>236</v>
      </c>
      <c r="C221" s="81"/>
      <c r="D221" s="82"/>
      <c r="E221" s="81"/>
      <c r="F221" s="17"/>
      <c r="G221" s="17"/>
      <c r="H221" s="17"/>
      <c r="I221" s="17"/>
      <c r="J221" s="17"/>
      <c r="K221" s="17"/>
      <c r="L221" s="83" t="s">
        <v>113</v>
      </c>
      <c r="M221" s="17" t="s">
        <v>114</v>
      </c>
      <c r="N221" s="83" t="s">
        <v>123</v>
      </c>
      <c r="O221" s="17" t="s">
        <v>114</v>
      </c>
      <c r="P221" s="8"/>
      <c r="Q221" s="92"/>
      <c r="R221" s="5"/>
    </row>
    <row r="222" spans="1:18" ht="15.6" x14ac:dyDescent="0.3">
      <c r="A222" s="24"/>
      <c r="B222" s="54" t="s">
        <v>98</v>
      </c>
      <c r="C222" s="93"/>
      <c r="D222" s="25"/>
      <c r="E222" s="93"/>
      <c r="F222" s="93"/>
      <c r="G222" s="93"/>
      <c r="H222" s="93"/>
      <c r="I222" s="93"/>
      <c r="J222" s="93"/>
      <c r="K222" s="93"/>
      <c r="L222" s="54">
        <v>4555</v>
      </c>
      <c r="M222" s="94">
        <f t="shared" ref="M222:M229" si="1">L222/$L$230</f>
        <v>0.98422644770959378</v>
      </c>
      <c r="N222" s="53">
        <v>469545</v>
      </c>
      <c r="O222" s="136">
        <f t="shared" ref="O222:O229" si="2">N222/$N$230</f>
        <v>0.98643078629591352</v>
      </c>
      <c r="P222" s="79"/>
      <c r="Q222" s="88"/>
      <c r="R222" s="5"/>
    </row>
    <row r="223" spans="1:18" ht="15.6" x14ac:dyDescent="0.3">
      <c r="A223" s="24"/>
      <c r="B223" s="54" t="s">
        <v>99</v>
      </c>
      <c r="C223" s="93"/>
      <c r="D223" s="25"/>
      <c r="E223" s="94"/>
      <c r="F223" s="93"/>
      <c r="G223" s="93"/>
      <c r="H223" s="93"/>
      <c r="I223" s="93"/>
      <c r="J223" s="93"/>
      <c r="K223" s="93"/>
      <c r="L223" s="54">
        <v>47</v>
      </c>
      <c r="M223" s="94">
        <f t="shared" si="1"/>
        <v>1.0155574762316336E-2</v>
      </c>
      <c r="N223" s="53">
        <v>4518</v>
      </c>
      <c r="O223" s="136">
        <f t="shared" si="2"/>
        <v>9.4915168780094292E-3</v>
      </c>
      <c r="P223" s="79"/>
      <c r="Q223" s="88"/>
      <c r="R223" s="5"/>
    </row>
    <row r="224" spans="1:18" ht="15.6" x14ac:dyDescent="0.3">
      <c r="A224" s="24"/>
      <c r="B224" s="54" t="s">
        <v>100</v>
      </c>
      <c r="C224" s="93"/>
      <c r="D224" s="25"/>
      <c r="E224" s="94"/>
      <c r="F224" s="93"/>
      <c r="G224" s="93"/>
      <c r="H224" s="93"/>
      <c r="I224" s="93"/>
      <c r="J224" s="93"/>
      <c r="K224" s="93"/>
      <c r="L224" s="54">
        <v>19</v>
      </c>
      <c r="M224" s="94">
        <f t="shared" si="1"/>
        <v>4.105445116681072E-3</v>
      </c>
      <c r="N224" s="53">
        <v>1723</v>
      </c>
      <c r="O224" s="136">
        <f t="shared" si="2"/>
        <v>3.6197174813657027E-3</v>
      </c>
      <c r="P224" s="79"/>
      <c r="Q224" s="88"/>
      <c r="R224" s="5"/>
    </row>
    <row r="225" spans="1:18" ht="15.6" x14ac:dyDescent="0.3">
      <c r="A225" s="24"/>
      <c r="B225" s="54" t="s">
        <v>227</v>
      </c>
      <c r="C225" s="93"/>
      <c r="D225" s="25"/>
      <c r="E225" s="94"/>
      <c r="F225" s="93"/>
      <c r="G225" s="93"/>
      <c r="H225" s="93"/>
      <c r="I225" s="93"/>
      <c r="J225" s="93"/>
      <c r="K225" s="93"/>
      <c r="L225" s="54">
        <v>3</v>
      </c>
      <c r="M225" s="94">
        <f t="shared" si="1"/>
        <v>6.4822817631806392E-4</v>
      </c>
      <c r="N225" s="53">
        <v>71</v>
      </c>
      <c r="O225" s="136">
        <f t="shared" si="2"/>
        <v>1.4915841043352577E-4</v>
      </c>
      <c r="P225" s="79"/>
      <c r="Q225" s="88"/>
      <c r="R225" s="5"/>
    </row>
    <row r="226" spans="1:18" ht="15.6" x14ac:dyDescent="0.3">
      <c r="A226" s="24"/>
      <c r="B226" s="54" t="s">
        <v>228</v>
      </c>
      <c r="C226" s="93"/>
      <c r="D226" s="25"/>
      <c r="E226" s="94"/>
      <c r="F226" s="93"/>
      <c r="G226" s="93"/>
      <c r="H226" s="93"/>
      <c r="I226" s="93"/>
      <c r="J226" s="93"/>
      <c r="K226" s="93"/>
      <c r="L226" s="54">
        <v>1</v>
      </c>
      <c r="M226" s="94">
        <f t="shared" si="1"/>
        <v>2.1607605877268799E-4</v>
      </c>
      <c r="N226" s="53">
        <v>17</v>
      </c>
      <c r="O226" s="136">
        <f t="shared" si="2"/>
        <v>3.5713985596759692E-5</v>
      </c>
      <c r="P226" s="79"/>
      <c r="Q226" s="88"/>
      <c r="R226" s="5"/>
    </row>
    <row r="227" spans="1:18" ht="15.6" x14ac:dyDescent="0.3">
      <c r="A227" s="24"/>
      <c r="B227" s="54" t="s">
        <v>229</v>
      </c>
      <c r="C227" s="93"/>
      <c r="D227" s="25"/>
      <c r="E227" s="94"/>
      <c r="F227" s="93"/>
      <c r="G227" s="93"/>
      <c r="H227" s="93"/>
      <c r="I227" s="93"/>
      <c r="J227" s="93"/>
      <c r="K227" s="93"/>
      <c r="L227" s="54">
        <v>1</v>
      </c>
      <c r="M227" s="94">
        <f t="shared" si="1"/>
        <v>2.1607605877268799E-4</v>
      </c>
      <c r="N227" s="53">
        <v>19</v>
      </c>
      <c r="O227" s="136">
        <f t="shared" si="2"/>
        <v>3.9915630961084358E-5</v>
      </c>
      <c r="P227" s="79"/>
      <c r="Q227" s="88"/>
      <c r="R227" s="5"/>
    </row>
    <row r="228" spans="1:18" ht="15.6" x14ac:dyDescent="0.3">
      <c r="A228" s="24"/>
      <c r="B228" s="54" t="s">
        <v>230</v>
      </c>
      <c r="C228" s="93"/>
      <c r="D228" s="25"/>
      <c r="E228" s="94"/>
      <c r="F228" s="93"/>
      <c r="G228" s="93"/>
      <c r="H228" s="93"/>
      <c r="I228" s="93"/>
      <c r="J228" s="93"/>
      <c r="K228" s="93"/>
      <c r="L228" s="54">
        <v>1</v>
      </c>
      <c r="M228" s="94">
        <f t="shared" si="1"/>
        <v>2.1607605877268799E-4</v>
      </c>
      <c r="N228" s="53">
        <v>24</v>
      </c>
      <c r="O228" s="136">
        <f t="shared" si="2"/>
        <v>5.0419744371896038E-5</v>
      </c>
      <c r="P228" s="79"/>
      <c r="Q228" s="88"/>
      <c r="R228" s="5"/>
    </row>
    <row r="229" spans="1:18" ht="15.6" x14ac:dyDescent="0.3">
      <c r="A229" s="24"/>
      <c r="B229" s="54" t="s">
        <v>231</v>
      </c>
      <c r="C229" s="93"/>
      <c r="D229" s="25"/>
      <c r="E229" s="94"/>
      <c r="F229" s="93"/>
      <c r="G229" s="93"/>
      <c r="H229" s="93"/>
      <c r="I229" s="93"/>
      <c r="J229" s="93"/>
      <c r="K229" s="93"/>
      <c r="L229" s="54">
        <v>1</v>
      </c>
      <c r="M229" s="94">
        <f t="shared" si="1"/>
        <v>2.1607605877268799E-4</v>
      </c>
      <c r="N229" s="53">
        <v>87</v>
      </c>
      <c r="O229" s="136">
        <f t="shared" si="2"/>
        <v>1.8277157334812313E-4</v>
      </c>
      <c r="P229" s="79"/>
      <c r="Q229" s="88"/>
      <c r="R229" s="5"/>
    </row>
    <row r="230" spans="1:18" ht="15.6" x14ac:dyDescent="0.3">
      <c r="A230" s="24"/>
      <c r="B230" s="25" t="s">
        <v>129</v>
      </c>
      <c r="C230" s="25"/>
      <c r="D230" s="25"/>
      <c r="E230" s="25"/>
      <c r="F230" s="95"/>
      <c r="G230" s="95"/>
      <c r="H230" s="95"/>
      <c r="I230" s="95"/>
      <c r="J230" s="95"/>
      <c r="K230" s="95"/>
      <c r="L230" s="34">
        <f>SUM(L222:L229)</f>
        <v>4628</v>
      </c>
      <c r="M230" s="136">
        <f>SUM(M222:M229)</f>
        <v>1</v>
      </c>
      <c r="N230" s="53">
        <f>SUM(N222:N229)</f>
        <v>476004</v>
      </c>
      <c r="O230" s="136">
        <f>SUM(O222:O229)</f>
        <v>1</v>
      </c>
      <c r="P230" s="25"/>
      <c r="Q230" s="25"/>
      <c r="R230" s="5"/>
    </row>
    <row r="231" spans="1:18" ht="15.6" x14ac:dyDescent="0.3">
      <c r="A231" s="24"/>
      <c r="B231" s="25"/>
      <c r="C231" s="25"/>
      <c r="D231" s="25"/>
      <c r="E231" s="25"/>
      <c r="F231" s="95"/>
      <c r="G231" s="95"/>
      <c r="H231" s="95"/>
      <c r="I231" s="95"/>
      <c r="J231" s="95"/>
      <c r="K231" s="95"/>
      <c r="L231" s="34"/>
      <c r="M231" s="136"/>
      <c r="N231" s="53"/>
      <c r="O231" s="136"/>
      <c r="P231" s="25"/>
      <c r="Q231" s="25"/>
      <c r="R231" s="5"/>
    </row>
    <row r="232" spans="1:18" ht="15.6" x14ac:dyDescent="0.3">
      <c r="A232" s="148"/>
      <c r="B232" s="14" t="s">
        <v>238</v>
      </c>
      <c r="C232" s="81"/>
      <c r="D232" s="82"/>
      <c r="E232" s="81"/>
      <c r="F232" s="17"/>
      <c r="G232" s="17"/>
      <c r="H232" s="17"/>
      <c r="I232" s="17"/>
      <c r="J232" s="17"/>
      <c r="K232" s="17"/>
      <c r="L232" s="83" t="s">
        <v>113</v>
      </c>
      <c r="M232" s="17" t="s">
        <v>114</v>
      </c>
      <c r="N232" s="83" t="s">
        <v>123</v>
      </c>
      <c r="O232" s="17" t="s">
        <v>114</v>
      </c>
      <c r="P232" s="8"/>
      <c r="Q232" s="149"/>
      <c r="R232" s="5"/>
    </row>
    <row r="233" spans="1:18" ht="15.6" x14ac:dyDescent="0.3">
      <c r="A233" s="24"/>
      <c r="B233" s="54" t="s">
        <v>98</v>
      </c>
      <c r="C233" s="93"/>
      <c r="D233" s="25"/>
      <c r="E233" s="93"/>
      <c r="F233" s="93"/>
      <c r="G233" s="93"/>
      <c r="H233" s="93"/>
      <c r="I233" s="93"/>
      <c r="J233" s="93"/>
      <c r="K233" s="93"/>
      <c r="L233" s="54">
        <v>0</v>
      </c>
      <c r="M233" s="94">
        <f t="shared" ref="M233:M240" si="3">L233/$L$241</f>
        <v>0</v>
      </c>
      <c r="N233" s="53">
        <v>0</v>
      </c>
      <c r="O233" s="136">
        <f t="shared" ref="O233:O240" si="4">N233/$N$241</f>
        <v>0</v>
      </c>
      <c r="P233" s="79"/>
      <c r="Q233" s="25"/>
      <c r="R233" s="5"/>
    </row>
    <row r="234" spans="1:18" ht="15.6" x14ac:dyDescent="0.3">
      <c r="A234" s="24"/>
      <c r="B234" s="54" t="s">
        <v>99</v>
      </c>
      <c r="C234" s="93"/>
      <c r="D234" s="25"/>
      <c r="E234" s="94"/>
      <c r="F234" s="93"/>
      <c r="G234" s="93"/>
      <c r="H234" s="93"/>
      <c r="I234" s="93"/>
      <c r="J234" s="93"/>
      <c r="K234" s="93"/>
      <c r="L234" s="54">
        <v>0</v>
      </c>
      <c r="M234" s="94">
        <f t="shared" si="3"/>
        <v>0</v>
      </c>
      <c r="N234" s="53">
        <v>0</v>
      </c>
      <c r="O234" s="136">
        <f t="shared" si="4"/>
        <v>0</v>
      </c>
      <c r="P234" s="79"/>
      <c r="Q234" s="25"/>
      <c r="R234" s="5"/>
    </row>
    <row r="235" spans="1:18" ht="15.6" x14ac:dyDescent="0.3">
      <c r="A235" s="24"/>
      <c r="B235" s="54" t="s">
        <v>100</v>
      </c>
      <c r="C235" s="93"/>
      <c r="D235" s="25"/>
      <c r="E235" s="94"/>
      <c r="F235" s="93"/>
      <c r="G235" s="93"/>
      <c r="H235" s="93"/>
      <c r="I235" s="93"/>
      <c r="J235" s="93"/>
      <c r="K235" s="93"/>
      <c r="L235" s="54">
        <v>3</v>
      </c>
      <c r="M235" s="94">
        <f t="shared" si="3"/>
        <v>0.12</v>
      </c>
      <c r="N235" s="53">
        <v>309</v>
      </c>
      <c r="O235" s="136">
        <f t="shared" si="4"/>
        <v>9.4408799266727766E-2</v>
      </c>
      <c r="P235" s="79"/>
      <c r="Q235" s="25"/>
      <c r="R235" s="5"/>
    </row>
    <row r="236" spans="1:18" ht="15.6" x14ac:dyDescent="0.3">
      <c r="A236" s="24"/>
      <c r="B236" s="54" t="s">
        <v>227</v>
      </c>
      <c r="C236" s="93"/>
      <c r="D236" s="25"/>
      <c r="E236" s="94"/>
      <c r="F236" s="93"/>
      <c r="G236" s="93"/>
      <c r="H236" s="93"/>
      <c r="I236" s="93"/>
      <c r="J236" s="93"/>
      <c r="K236" s="93"/>
      <c r="L236" s="54">
        <v>3</v>
      </c>
      <c r="M236" s="94">
        <f t="shared" si="3"/>
        <v>0.12</v>
      </c>
      <c r="N236" s="53">
        <v>741</v>
      </c>
      <c r="O236" s="136">
        <f t="shared" si="4"/>
        <v>0.22639780018331807</v>
      </c>
      <c r="P236" s="79"/>
      <c r="Q236" s="25"/>
      <c r="R236" s="5"/>
    </row>
    <row r="237" spans="1:18" ht="15.6" x14ac:dyDescent="0.3">
      <c r="A237" s="24"/>
      <c r="B237" s="54" t="s">
        <v>228</v>
      </c>
      <c r="C237" s="93"/>
      <c r="D237" s="25"/>
      <c r="E237" s="94"/>
      <c r="F237" s="93"/>
      <c r="G237" s="93"/>
      <c r="H237" s="93"/>
      <c r="I237" s="93"/>
      <c r="J237" s="93"/>
      <c r="K237" s="93"/>
      <c r="L237" s="54">
        <v>4</v>
      </c>
      <c r="M237" s="94">
        <f t="shared" si="3"/>
        <v>0.16</v>
      </c>
      <c r="N237" s="53">
        <v>603</v>
      </c>
      <c r="O237" s="136">
        <f t="shared" si="4"/>
        <v>0.1842346471127406</v>
      </c>
      <c r="P237" s="79"/>
      <c r="Q237" s="25"/>
      <c r="R237" s="5"/>
    </row>
    <row r="238" spans="1:18" ht="15.6" x14ac:dyDescent="0.3">
      <c r="A238" s="24"/>
      <c r="B238" s="54" t="s">
        <v>229</v>
      </c>
      <c r="C238" s="93"/>
      <c r="D238" s="25"/>
      <c r="E238" s="94"/>
      <c r="F238" s="93"/>
      <c r="G238" s="93"/>
      <c r="H238" s="93"/>
      <c r="I238" s="93"/>
      <c r="J238" s="93"/>
      <c r="K238" s="93"/>
      <c r="L238" s="54">
        <v>0</v>
      </c>
      <c r="M238" s="94">
        <f t="shared" si="3"/>
        <v>0</v>
      </c>
      <c r="N238" s="53">
        <v>0</v>
      </c>
      <c r="O238" s="136">
        <f t="shared" si="4"/>
        <v>0</v>
      </c>
      <c r="P238" s="79"/>
      <c r="Q238" s="25"/>
      <c r="R238" s="5"/>
    </row>
    <row r="239" spans="1:18" ht="15.6" x14ac:dyDescent="0.3">
      <c r="A239" s="24"/>
      <c r="B239" s="54" t="s">
        <v>230</v>
      </c>
      <c r="C239" s="93"/>
      <c r="D239" s="25"/>
      <c r="E239" s="94"/>
      <c r="F239" s="93"/>
      <c r="G239" s="93"/>
      <c r="H239" s="93"/>
      <c r="I239" s="93"/>
      <c r="J239" s="93"/>
      <c r="K239" s="93"/>
      <c r="L239" s="54">
        <v>2</v>
      </c>
      <c r="M239" s="94">
        <f t="shared" si="3"/>
        <v>0.08</v>
      </c>
      <c r="N239" s="53">
        <v>388</v>
      </c>
      <c r="O239" s="136">
        <f t="shared" si="4"/>
        <v>0.11854567674915979</v>
      </c>
      <c r="P239" s="79"/>
      <c r="Q239" s="25"/>
      <c r="R239" s="5"/>
    </row>
    <row r="240" spans="1:18" ht="15.6" x14ac:dyDescent="0.3">
      <c r="A240" s="24"/>
      <c r="B240" s="54" t="s">
        <v>231</v>
      </c>
      <c r="C240" s="93"/>
      <c r="D240" s="25"/>
      <c r="E240" s="94"/>
      <c r="F240" s="93"/>
      <c r="G240" s="93"/>
      <c r="H240" s="93"/>
      <c r="I240" s="93"/>
      <c r="J240" s="93"/>
      <c r="K240" s="93"/>
      <c r="L240" s="54">
        <v>13</v>
      </c>
      <c r="M240" s="94">
        <f t="shared" si="3"/>
        <v>0.52</v>
      </c>
      <c r="N240" s="53">
        <v>1232</v>
      </c>
      <c r="O240" s="136">
        <f t="shared" si="4"/>
        <v>0.37641307668805379</v>
      </c>
      <c r="P240" s="79"/>
      <c r="Q240" s="25"/>
      <c r="R240" s="5"/>
    </row>
    <row r="241" spans="1:18" ht="15.6" x14ac:dyDescent="0.3">
      <c r="A241" s="24"/>
      <c r="B241" s="25" t="s">
        <v>129</v>
      </c>
      <c r="C241" s="25"/>
      <c r="D241" s="25"/>
      <c r="E241" s="25"/>
      <c r="F241" s="95"/>
      <c r="G241" s="95"/>
      <c r="H241" s="95"/>
      <c r="I241" s="95"/>
      <c r="J241" s="95"/>
      <c r="K241" s="95"/>
      <c r="L241" s="34">
        <f>SUM(L233:L240)</f>
        <v>25</v>
      </c>
      <c r="M241" s="136">
        <f>SUM(M233:M240)</f>
        <v>1</v>
      </c>
      <c r="N241" s="53">
        <f>SUM(N233:N240)</f>
        <v>3273</v>
      </c>
      <c r="O241" s="136">
        <f>SUM(O233:O240)</f>
        <v>1</v>
      </c>
      <c r="P241" s="25"/>
      <c r="Q241" s="25"/>
      <c r="R241" s="5"/>
    </row>
    <row r="242" spans="1:18" ht="15.6" x14ac:dyDescent="0.3">
      <c r="A242" s="24"/>
      <c r="B242" s="25"/>
      <c r="C242" s="25"/>
      <c r="D242" s="25"/>
      <c r="E242" s="25"/>
      <c r="F242" s="95"/>
      <c r="G242" s="95"/>
      <c r="H242" s="95"/>
      <c r="I242" s="95"/>
      <c r="J242" s="95"/>
      <c r="K242" s="95"/>
      <c r="L242" s="34"/>
      <c r="M242" s="136"/>
      <c r="N242" s="53"/>
      <c r="O242" s="136"/>
      <c r="P242" s="25"/>
      <c r="Q242" s="25"/>
      <c r="R242" s="5"/>
    </row>
    <row r="243" spans="1:18" ht="15.6" x14ac:dyDescent="0.3">
      <c r="A243" s="148"/>
      <c r="B243" s="14" t="s">
        <v>239</v>
      </c>
      <c r="C243" s="81"/>
      <c r="D243" s="82"/>
      <c r="E243" s="81"/>
      <c r="F243" s="17"/>
      <c r="G243" s="17"/>
      <c r="H243" s="17"/>
      <c r="I243" s="17"/>
      <c r="J243" s="17"/>
      <c r="K243" s="17"/>
      <c r="L243" s="83" t="s">
        <v>113</v>
      </c>
      <c r="M243" s="17" t="s">
        <v>114</v>
      </c>
      <c r="N243" s="83" t="s">
        <v>123</v>
      </c>
      <c r="O243" s="17" t="s">
        <v>114</v>
      </c>
      <c r="P243" s="150"/>
      <c r="Q243" s="149"/>
      <c r="R243" s="5"/>
    </row>
    <row r="244" spans="1:18" ht="15.6" x14ac:dyDescent="0.3">
      <c r="A244" s="24"/>
      <c r="B244" s="54" t="s">
        <v>98</v>
      </c>
      <c r="C244" s="93"/>
      <c r="D244" s="25"/>
      <c r="E244" s="93"/>
      <c r="F244" s="93"/>
      <c r="G244" s="93"/>
      <c r="H244" s="93"/>
      <c r="I244" s="93"/>
      <c r="J244" s="93"/>
      <c r="K244" s="93"/>
      <c r="L244" s="54">
        <v>0</v>
      </c>
      <c r="M244" s="136">
        <f t="shared" ref="M244:M252" si="5">L244/$L$252</f>
        <v>0</v>
      </c>
      <c r="N244" s="53">
        <v>0</v>
      </c>
      <c r="O244" s="136">
        <f t="shared" ref="O244:O252" si="6">N244/$N$252</f>
        <v>0</v>
      </c>
      <c r="P244" s="25"/>
      <c r="Q244" s="25"/>
      <c r="R244" s="5"/>
    </row>
    <row r="245" spans="1:18" ht="15.6" x14ac:dyDescent="0.3">
      <c r="A245" s="24"/>
      <c r="B245" s="54" t="s">
        <v>99</v>
      </c>
      <c r="C245" s="93"/>
      <c r="D245" s="25"/>
      <c r="E245" s="94"/>
      <c r="F245" s="93"/>
      <c r="G245" s="93"/>
      <c r="H245" s="93"/>
      <c r="I245" s="93"/>
      <c r="J245" s="93"/>
      <c r="K245" s="93"/>
      <c r="L245" s="54">
        <v>0</v>
      </c>
      <c r="M245" s="136">
        <f t="shared" si="5"/>
        <v>0</v>
      </c>
      <c r="N245" s="53">
        <v>0</v>
      </c>
      <c r="O245" s="136">
        <f t="shared" si="6"/>
        <v>0</v>
      </c>
      <c r="P245" s="25"/>
      <c r="Q245" s="25"/>
      <c r="R245" s="5"/>
    </row>
    <row r="246" spans="1:18" ht="15.6" x14ac:dyDescent="0.3">
      <c r="A246" s="24"/>
      <c r="B246" s="54" t="s">
        <v>100</v>
      </c>
      <c r="C246" s="93"/>
      <c r="D246" s="25"/>
      <c r="E246" s="94"/>
      <c r="F246" s="93"/>
      <c r="G246" s="93"/>
      <c r="H246" s="93"/>
      <c r="I246" s="93"/>
      <c r="J246" s="93"/>
      <c r="K246" s="93"/>
      <c r="L246" s="54">
        <v>0</v>
      </c>
      <c r="M246" s="136">
        <f t="shared" si="5"/>
        <v>0</v>
      </c>
      <c r="N246" s="53">
        <v>0</v>
      </c>
      <c r="O246" s="136">
        <f t="shared" si="6"/>
        <v>0</v>
      </c>
      <c r="P246" s="25"/>
      <c r="Q246" s="25"/>
      <c r="R246" s="5"/>
    </row>
    <row r="247" spans="1:18" ht="15.6" x14ac:dyDescent="0.3">
      <c r="A247" s="24"/>
      <c r="B247" s="54" t="s">
        <v>227</v>
      </c>
      <c r="C247" s="93"/>
      <c r="D247" s="25"/>
      <c r="E247" s="94"/>
      <c r="F247" s="93"/>
      <c r="G247" s="93"/>
      <c r="H247" s="93"/>
      <c r="I247" s="93"/>
      <c r="J247" s="93"/>
      <c r="K247" s="93"/>
      <c r="L247" s="54">
        <v>0</v>
      </c>
      <c r="M247" s="136">
        <f t="shared" si="5"/>
        <v>0</v>
      </c>
      <c r="N247" s="53">
        <v>0</v>
      </c>
      <c r="O247" s="136">
        <f t="shared" si="6"/>
        <v>0</v>
      </c>
      <c r="P247" s="25"/>
      <c r="Q247" s="25"/>
      <c r="R247" s="5"/>
    </row>
    <row r="248" spans="1:18" ht="15.6" x14ac:dyDescent="0.3">
      <c r="A248" s="24"/>
      <c r="B248" s="54" t="s">
        <v>228</v>
      </c>
      <c r="C248" s="93"/>
      <c r="D248" s="25"/>
      <c r="E248" s="94"/>
      <c r="F248" s="93"/>
      <c r="G248" s="93"/>
      <c r="H248" s="93"/>
      <c r="I248" s="93"/>
      <c r="J248" s="93"/>
      <c r="K248" s="93"/>
      <c r="L248" s="54">
        <v>0</v>
      </c>
      <c r="M248" s="136">
        <f t="shared" si="5"/>
        <v>0</v>
      </c>
      <c r="N248" s="53">
        <v>0</v>
      </c>
      <c r="O248" s="136">
        <f t="shared" si="6"/>
        <v>0</v>
      </c>
      <c r="P248" s="25"/>
      <c r="Q248" s="25"/>
      <c r="R248" s="5"/>
    </row>
    <row r="249" spans="1:18" ht="15.6" x14ac:dyDescent="0.3">
      <c r="A249" s="24"/>
      <c r="B249" s="54" t="s">
        <v>229</v>
      </c>
      <c r="C249" s="93"/>
      <c r="D249" s="25"/>
      <c r="E249" s="94"/>
      <c r="F249" s="93"/>
      <c r="G249" s="93"/>
      <c r="H249" s="93"/>
      <c r="I249" s="93"/>
      <c r="J249" s="93"/>
      <c r="K249" s="93"/>
      <c r="L249" s="54">
        <v>0</v>
      </c>
      <c r="M249" s="136">
        <f t="shared" si="5"/>
        <v>0</v>
      </c>
      <c r="N249" s="53">
        <v>0</v>
      </c>
      <c r="O249" s="136">
        <f t="shared" si="6"/>
        <v>0</v>
      </c>
      <c r="P249" s="25"/>
      <c r="Q249" s="25"/>
      <c r="R249" s="5"/>
    </row>
    <row r="250" spans="1:18" ht="15.6" x14ac:dyDescent="0.3">
      <c r="A250" s="24"/>
      <c r="B250" s="54" t="s">
        <v>230</v>
      </c>
      <c r="C250" s="93"/>
      <c r="D250" s="25"/>
      <c r="E250" s="94"/>
      <c r="F250" s="93"/>
      <c r="G250" s="93"/>
      <c r="H250" s="93"/>
      <c r="I250" s="93"/>
      <c r="J250" s="93"/>
      <c r="K250" s="93"/>
      <c r="L250" s="54">
        <v>0</v>
      </c>
      <c r="M250" s="136">
        <f t="shared" si="5"/>
        <v>0</v>
      </c>
      <c r="N250" s="53">
        <v>0</v>
      </c>
      <c r="O250" s="136">
        <f t="shared" si="6"/>
        <v>0</v>
      </c>
      <c r="P250" s="25"/>
      <c r="Q250" s="25"/>
      <c r="R250" s="5"/>
    </row>
    <row r="251" spans="1:18" ht="15.6" x14ac:dyDescent="0.3">
      <c r="A251" s="24"/>
      <c r="B251" s="54" t="s">
        <v>231</v>
      </c>
      <c r="C251" s="93"/>
      <c r="D251" s="25"/>
      <c r="E251" s="94"/>
      <c r="F251" s="93"/>
      <c r="G251" s="93"/>
      <c r="H251" s="93"/>
      <c r="I251" s="93"/>
      <c r="J251" s="93"/>
      <c r="K251" s="93"/>
      <c r="L251" s="54">
        <v>2</v>
      </c>
      <c r="M251" s="136">
        <f t="shared" si="5"/>
        <v>1</v>
      </c>
      <c r="N251" s="53">
        <v>124</v>
      </c>
      <c r="O251" s="136">
        <f t="shared" si="6"/>
        <v>1</v>
      </c>
      <c r="P251" s="25"/>
      <c r="Q251" s="25"/>
      <c r="R251" s="5"/>
    </row>
    <row r="252" spans="1:18" ht="15.6" x14ac:dyDescent="0.3">
      <c r="A252" s="24"/>
      <c r="B252" s="25" t="s">
        <v>129</v>
      </c>
      <c r="C252" s="25"/>
      <c r="D252" s="25"/>
      <c r="E252" s="25"/>
      <c r="F252" s="95"/>
      <c r="G252" s="95"/>
      <c r="H252" s="95"/>
      <c r="I252" s="95"/>
      <c r="J252" s="95"/>
      <c r="K252" s="95"/>
      <c r="L252" s="34">
        <f>SUM(L244:L251)</f>
        <v>2</v>
      </c>
      <c r="M252" s="136">
        <f t="shared" si="5"/>
        <v>1</v>
      </c>
      <c r="N252" s="53">
        <f>SUM(N244:N251)</f>
        <v>124</v>
      </c>
      <c r="O252" s="136">
        <f t="shared" si="6"/>
        <v>1</v>
      </c>
      <c r="P252" s="25"/>
      <c r="Q252" s="25"/>
      <c r="R252" s="5"/>
    </row>
    <row r="253" spans="1:18" ht="15.6" x14ac:dyDescent="0.3">
      <c r="A253" s="24"/>
      <c r="B253" s="25"/>
      <c r="C253" s="25"/>
      <c r="D253" s="25"/>
      <c r="E253" s="25"/>
      <c r="F253" s="95"/>
      <c r="G253" s="95"/>
      <c r="H253" s="95"/>
      <c r="I253" s="95"/>
      <c r="J253" s="95"/>
      <c r="K253" s="95"/>
      <c r="L253" s="34"/>
      <c r="M253" s="136"/>
      <c r="N253" s="53"/>
      <c r="O253" s="136"/>
      <c r="P253" s="25"/>
      <c r="Q253" s="25"/>
      <c r="R253" s="5"/>
    </row>
    <row r="254" spans="1:18" ht="15.6" x14ac:dyDescent="0.3">
      <c r="A254" s="24"/>
      <c r="B254" s="152" t="s">
        <v>240</v>
      </c>
      <c r="C254" s="25"/>
      <c r="D254" s="25"/>
      <c r="E254" s="25"/>
      <c r="F254" s="95"/>
      <c r="G254" s="95"/>
      <c r="H254" s="95"/>
      <c r="I254" s="95"/>
      <c r="J254" s="95"/>
      <c r="K254" s="95"/>
      <c r="L254" s="173">
        <f>+L230+L241+L252</f>
        <v>4655</v>
      </c>
      <c r="M254" s="136"/>
      <c r="N254" s="153">
        <f>+N252+N241+N230</f>
        <v>479401</v>
      </c>
      <c r="O254" s="136"/>
      <c r="P254" s="25"/>
      <c r="Q254" s="25"/>
      <c r="R254" s="5"/>
    </row>
    <row r="255" spans="1:18" ht="15.6" x14ac:dyDescent="0.3">
      <c r="A255" s="24"/>
      <c r="B255" s="25"/>
      <c r="C255" s="25"/>
      <c r="D255" s="25"/>
      <c r="E255" s="25"/>
      <c r="F255" s="95"/>
      <c r="G255" s="95"/>
      <c r="H255" s="95"/>
      <c r="I255" s="95"/>
      <c r="J255" s="95"/>
      <c r="K255" s="95"/>
      <c r="L255" s="95"/>
      <c r="M255" s="95"/>
      <c r="N255" s="53"/>
      <c r="O255" s="95"/>
      <c r="P255" s="25"/>
      <c r="Q255" s="25"/>
      <c r="R255" s="5"/>
    </row>
    <row r="256" spans="1:18" ht="15.6" x14ac:dyDescent="0.3">
      <c r="A256" s="6"/>
      <c r="B256" s="8"/>
      <c r="C256" s="8"/>
      <c r="D256" s="8"/>
      <c r="E256" s="8"/>
      <c r="F256" s="96"/>
      <c r="G256" s="96"/>
      <c r="H256" s="96"/>
      <c r="I256" s="96"/>
      <c r="J256" s="96"/>
      <c r="K256" s="96"/>
      <c r="L256" s="96"/>
      <c r="M256" s="96"/>
      <c r="N256" s="97"/>
      <c r="O256" s="96"/>
      <c r="P256" s="8"/>
      <c r="Q256" s="8"/>
      <c r="R256" s="5"/>
    </row>
    <row r="257" spans="1:18" ht="15.6" x14ac:dyDescent="0.3">
      <c r="A257" s="145"/>
      <c r="B257" s="14" t="s">
        <v>102</v>
      </c>
      <c r="C257" s="15"/>
      <c r="D257" s="15"/>
      <c r="E257" s="15"/>
      <c r="F257" s="17" t="s">
        <v>108</v>
      </c>
      <c r="G257" s="15"/>
      <c r="H257" s="14" t="s">
        <v>110</v>
      </c>
      <c r="I257" s="140"/>
      <c r="J257" s="140"/>
      <c r="K257" s="140"/>
      <c r="L257" s="140"/>
      <c r="M257" s="140"/>
      <c r="N257" s="140"/>
      <c r="O257" s="140"/>
      <c r="P257" s="140"/>
      <c r="Q257" s="140"/>
      <c r="R257" s="5"/>
    </row>
    <row r="258" spans="1:18" ht="15.6" x14ac:dyDescent="0.3">
      <c r="A258" s="145"/>
      <c r="B258" s="140"/>
      <c r="C258" s="8"/>
      <c r="D258" s="8"/>
      <c r="E258" s="8"/>
      <c r="F258" s="8"/>
      <c r="G258" s="8"/>
      <c r="H258" s="8"/>
      <c r="I258" s="140"/>
      <c r="J258" s="140"/>
      <c r="K258" s="140"/>
      <c r="L258" s="140"/>
      <c r="M258" s="140"/>
      <c r="N258" s="140"/>
      <c r="O258" s="140"/>
      <c r="P258" s="140"/>
      <c r="Q258" s="140"/>
      <c r="R258" s="5"/>
    </row>
    <row r="259" spans="1:18" ht="15.6" x14ac:dyDescent="0.3">
      <c r="A259" s="145"/>
      <c r="B259" s="13" t="s">
        <v>103</v>
      </c>
      <c r="C259" s="13"/>
      <c r="D259" s="13"/>
      <c r="E259" s="13"/>
      <c r="F259" s="134" t="s">
        <v>212</v>
      </c>
      <c r="G259" s="13"/>
      <c r="H259" s="13" t="s">
        <v>222</v>
      </c>
      <c r="I259" s="140"/>
      <c r="J259" s="140"/>
      <c r="K259" s="140"/>
      <c r="L259" s="140"/>
      <c r="M259" s="140"/>
      <c r="N259" s="140"/>
      <c r="O259" s="140"/>
      <c r="P259" s="140"/>
      <c r="Q259" s="140"/>
      <c r="R259" s="5"/>
    </row>
    <row r="260" spans="1:18" ht="15.6" x14ac:dyDescent="0.3">
      <c r="A260" s="145"/>
      <c r="B260" s="13" t="s">
        <v>263</v>
      </c>
      <c r="C260" s="13"/>
      <c r="D260" s="13"/>
      <c r="E260" s="13"/>
      <c r="F260" s="134" t="s">
        <v>264</v>
      </c>
      <c r="G260" s="13"/>
      <c r="H260" s="13" t="s">
        <v>265</v>
      </c>
      <c r="I260" s="140"/>
      <c r="J260" s="140"/>
      <c r="K260" s="140"/>
      <c r="L260" s="140"/>
      <c r="M260" s="140"/>
      <c r="N260" s="140"/>
      <c r="O260" s="140"/>
      <c r="P260" s="140"/>
      <c r="Q260" s="140"/>
      <c r="R260" s="5"/>
    </row>
    <row r="261" spans="1:18" ht="15.6" x14ac:dyDescent="0.3">
      <c r="A261" s="145"/>
      <c r="B261" s="13" t="s">
        <v>104</v>
      </c>
      <c r="C261" s="13"/>
      <c r="D261" s="13"/>
      <c r="E261" s="13"/>
      <c r="F261" s="134" t="s">
        <v>211</v>
      </c>
      <c r="G261" s="13"/>
      <c r="H261" s="13" t="s">
        <v>223</v>
      </c>
      <c r="I261" s="140"/>
      <c r="J261" s="140"/>
      <c r="K261" s="140"/>
      <c r="L261" s="140"/>
      <c r="M261" s="140"/>
      <c r="N261" s="140"/>
      <c r="O261" s="140"/>
      <c r="P261" s="140"/>
      <c r="Q261" s="140"/>
      <c r="R261" s="5"/>
    </row>
    <row r="262" spans="1:18" ht="15.6" x14ac:dyDescent="0.3">
      <c r="A262" s="145"/>
      <c r="B262" s="13"/>
      <c r="C262" s="13"/>
      <c r="D262" s="13"/>
      <c r="E262" s="99"/>
      <c r="F262" s="140"/>
      <c r="G262" s="140"/>
      <c r="H262" s="140"/>
      <c r="I262" s="140"/>
      <c r="J262" s="140"/>
      <c r="K262" s="140"/>
      <c r="L262" s="140"/>
      <c r="M262" s="140"/>
      <c r="N262" s="140"/>
      <c r="O262" s="140"/>
      <c r="P262" s="140"/>
      <c r="Q262" s="140"/>
      <c r="R262" s="5"/>
    </row>
    <row r="263" spans="1:18" ht="15.6" x14ac:dyDescent="0.3">
      <c r="A263" s="145"/>
      <c r="B263" s="13"/>
      <c r="C263" s="13"/>
      <c r="D263" s="13"/>
      <c r="E263" s="99"/>
      <c r="F263" s="140"/>
      <c r="G263" s="140"/>
      <c r="H263" s="140"/>
      <c r="I263" s="140"/>
      <c r="J263" s="140"/>
      <c r="K263" s="140"/>
      <c r="L263" s="140"/>
      <c r="M263" s="140"/>
      <c r="N263" s="140"/>
      <c r="O263" s="140"/>
      <c r="P263" s="140"/>
      <c r="Q263" s="140"/>
      <c r="R263" s="5"/>
    </row>
    <row r="264" spans="1:18" ht="18" thickBot="1" x14ac:dyDescent="0.35">
      <c r="A264" s="145"/>
      <c r="B264" s="49" t="str">
        <f>B182</f>
        <v>PM7 INVESTOR REPORT QUARTER ENDING JANUARY 2008</v>
      </c>
      <c r="C264" s="13"/>
      <c r="D264" s="13"/>
      <c r="E264" s="99"/>
      <c r="F264" s="140"/>
      <c r="G264" s="140"/>
      <c r="H264" s="140"/>
      <c r="I264" s="140"/>
      <c r="J264" s="140"/>
      <c r="K264" s="140"/>
      <c r="L264" s="140"/>
      <c r="M264" s="140"/>
      <c r="N264" s="140"/>
      <c r="O264" s="140"/>
      <c r="P264" s="140"/>
      <c r="Q264" s="140"/>
      <c r="R264" s="5"/>
    </row>
    <row r="265" spans="1:18" x14ac:dyDescent="0.25">
      <c r="A265" s="100"/>
      <c r="B265" s="100"/>
      <c r="C265" s="100"/>
      <c r="D265" s="100"/>
      <c r="E265" s="100"/>
      <c r="F265" s="100"/>
      <c r="G265" s="100"/>
      <c r="H265" s="100"/>
      <c r="I265" s="100"/>
      <c r="J265" s="100"/>
      <c r="K265" s="100"/>
      <c r="L265" s="100"/>
      <c r="M265" s="100"/>
      <c r="N265" s="100"/>
      <c r="O265" s="100"/>
      <c r="P265" s="100"/>
      <c r="Q265" s="100"/>
    </row>
  </sheetData>
  <phoneticPr fontId="0" type="noConversion"/>
  <hyperlinks>
    <hyperlink ref="H9" r:id="rId1"/>
    <hyperlink ref="J21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2" max="14" man="1"/>
    <brk id="182" max="14"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S265"/>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0.95250000000000001</v>
      </c>
      <c r="N17" s="17" t="s">
        <v>173</v>
      </c>
      <c r="O17" s="138">
        <v>4.7500000000000001E-2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39590</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216083.47500000001</v>
      </c>
      <c r="E34" s="31"/>
      <c r="F34" s="131">
        <f>+F33*F40</f>
        <v>105617.24800000001</v>
      </c>
      <c r="G34" s="31"/>
      <c r="H34" s="124">
        <f>+H33*H40</f>
        <v>240104.7</v>
      </c>
      <c r="I34" s="31"/>
      <c r="J34" s="130">
        <v>82500</v>
      </c>
      <c r="K34" s="31"/>
      <c r="L34" s="124">
        <v>65000</v>
      </c>
      <c r="M34" s="31"/>
      <c r="N34" s="31"/>
      <c r="O34" s="142"/>
      <c r="P34" s="31"/>
      <c r="Q34" s="34"/>
      <c r="R34" s="5"/>
    </row>
    <row r="35" spans="1:18" ht="15.6" x14ac:dyDescent="0.3">
      <c r="A35" s="28"/>
      <c r="B35" s="29" t="s">
        <v>158</v>
      </c>
      <c r="C35" s="36"/>
      <c r="D35" s="129">
        <f>+D33*D39</f>
        <v>204239.20500000002</v>
      </c>
      <c r="E35" s="35"/>
      <c r="F35" s="132">
        <f>+F33*F39</f>
        <v>99825.528000000006</v>
      </c>
      <c r="G35" s="35"/>
      <c r="H35" s="125">
        <f>+H33*H39</f>
        <v>226944.95</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121463.44856661046</v>
      </c>
      <c r="E37" s="31"/>
      <c r="F37" s="31">
        <f>+F34</f>
        <v>105617.24800000001</v>
      </c>
      <c r="G37" s="31"/>
      <c r="H37" s="31">
        <f>+H34/1.481481</f>
        <v>162070.72517298569</v>
      </c>
      <c r="I37" s="31"/>
      <c r="J37" s="31">
        <v>46374</v>
      </c>
      <c r="K37" s="31"/>
      <c r="L37" s="31">
        <v>43875</v>
      </c>
      <c r="M37" s="31"/>
      <c r="N37" s="31"/>
      <c r="O37" s="142"/>
      <c r="P37" s="31">
        <f>SUM(C37:L37)+1</f>
        <v>479401.42173959618</v>
      </c>
      <c r="Q37" s="34"/>
      <c r="R37" s="5"/>
    </row>
    <row r="38" spans="1:18" ht="15.6" x14ac:dyDescent="0.3">
      <c r="A38" s="28"/>
      <c r="B38" s="29" t="s">
        <v>281</v>
      </c>
      <c r="C38" s="36"/>
      <c r="D38" s="35">
        <f>D35/1.779</f>
        <v>114805.62394603711</v>
      </c>
      <c r="E38" s="35"/>
      <c r="F38" s="35">
        <f>+F35</f>
        <v>99825.528000000006</v>
      </c>
      <c r="G38" s="35"/>
      <c r="H38" s="35">
        <f>H35/1.481481</f>
        <v>153187.8910360646</v>
      </c>
      <c r="I38" s="35"/>
      <c r="J38" s="35">
        <v>46374</v>
      </c>
      <c r="K38" s="35"/>
      <c r="L38" s="35">
        <v>43875</v>
      </c>
      <c r="M38" s="35"/>
      <c r="N38" s="35"/>
      <c r="O38" s="37"/>
      <c r="P38" s="35">
        <f>SUM(D38:L38)</f>
        <v>458068.04298210173</v>
      </c>
      <c r="Q38" s="34"/>
      <c r="R38" s="5"/>
    </row>
    <row r="39" spans="1:18" ht="15.6" x14ac:dyDescent="0.3">
      <c r="A39" s="28"/>
      <c r="B39" s="122" t="s">
        <v>154</v>
      </c>
      <c r="C39" s="126"/>
      <c r="D39" s="174">
        <v>0.45386490000000002</v>
      </c>
      <c r="E39" s="174"/>
      <c r="F39" s="174">
        <v>0.4537524</v>
      </c>
      <c r="G39" s="174"/>
      <c r="H39" s="174">
        <v>0.45388990000000001</v>
      </c>
      <c r="I39" s="174"/>
      <c r="J39" s="174">
        <v>1</v>
      </c>
      <c r="K39" s="174"/>
      <c r="L39" s="174">
        <v>1</v>
      </c>
      <c r="M39" s="31"/>
      <c r="N39" s="31"/>
      <c r="O39" s="142"/>
      <c r="P39" s="31"/>
      <c r="Q39" s="34"/>
      <c r="R39" s="5"/>
    </row>
    <row r="40" spans="1:18" ht="15.6" x14ac:dyDescent="0.3">
      <c r="A40" s="28"/>
      <c r="B40" s="122" t="s">
        <v>155</v>
      </c>
      <c r="C40" s="126"/>
      <c r="D40" s="174">
        <v>0.48018549999999999</v>
      </c>
      <c r="E40" s="174"/>
      <c r="F40" s="174">
        <v>0.48007840000000002</v>
      </c>
      <c r="G40" s="174"/>
      <c r="H40" s="174">
        <v>0.48020940000000001</v>
      </c>
      <c r="I40" s="174"/>
      <c r="J40" s="174">
        <v>1</v>
      </c>
      <c r="K40" s="174"/>
      <c r="L40" s="174">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3.2750000000000001E-2</v>
      </c>
      <c r="E42" s="39"/>
      <c r="F42" s="38">
        <v>5.8612499999999998E-2</v>
      </c>
      <c r="G42" s="39"/>
      <c r="H42" s="38">
        <v>4.5499999999999999E-2</v>
      </c>
      <c r="I42" s="39"/>
      <c r="J42" s="38">
        <v>3.8150000000000003E-2</v>
      </c>
      <c r="K42" s="39"/>
      <c r="L42" s="38">
        <v>5.0900000000000001E-2</v>
      </c>
      <c r="M42" s="39"/>
      <c r="N42" s="38"/>
      <c r="O42" s="141"/>
      <c r="P42" s="39"/>
      <c r="Q42" s="25"/>
      <c r="R42" s="5"/>
    </row>
    <row r="43" spans="1:18" ht="15.6" x14ac:dyDescent="0.3">
      <c r="A43" s="24"/>
      <c r="B43" s="25" t="s">
        <v>14</v>
      </c>
      <c r="C43" s="25"/>
      <c r="D43" s="38">
        <v>5.0787499999999999E-2</v>
      </c>
      <c r="E43" s="39"/>
      <c r="F43" s="38">
        <v>6.5525E-2</v>
      </c>
      <c r="G43" s="39"/>
      <c r="H43" s="38">
        <v>4.7849999999999997E-2</v>
      </c>
      <c r="I43" s="39"/>
      <c r="J43" s="38">
        <v>5.6187500000000001E-2</v>
      </c>
      <c r="K43" s="39"/>
      <c r="L43" s="38">
        <v>5.3249999999999999E-2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5.9557499999999999E-2</v>
      </c>
      <c r="E45" s="39"/>
      <c r="F45" s="38">
        <f>+F42</f>
        <v>5.8612499999999998E-2</v>
      </c>
      <c r="G45" s="39"/>
      <c r="H45" s="38">
        <v>5.9437499999999997E-2</v>
      </c>
      <c r="I45" s="39"/>
      <c r="J45" s="38">
        <v>6.5687499999999996E-2</v>
      </c>
      <c r="K45" s="39"/>
      <c r="L45" s="38">
        <v>6.5687499999999996E-2</v>
      </c>
      <c r="M45" s="39"/>
      <c r="N45" s="38"/>
      <c r="O45" s="141"/>
      <c r="P45" s="39">
        <f>SUMPRODUCT(D45:L45,D37:L37)/P37</f>
        <v>6.0462607925096917E-2</v>
      </c>
      <c r="Q45" s="25"/>
      <c r="R45" s="5"/>
    </row>
    <row r="46" spans="1:18" ht="15.6" x14ac:dyDescent="0.3">
      <c r="A46" s="24"/>
      <c r="B46" s="25" t="s">
        <v>283</v>
      </c>
      <c r="C46" s="25"/>
      <c r="D46" s="38">
        <v>6.6470000000000001E-2</v>
      </c>
      <c r="E46" s="39"/>
      <c r="F46" s="38">
        <f>+F43</f>
        <v>6.5525E-2</v>
      </c>
      <c r="G46" s="39"/>
      <c r="H46" s="38">
        <v>6.6350000000000006E-2</v>
      </c>
      <c r="I46" s="39"/>
      <c r="J46" s="38">
        <v>7.2599999999999998E-2</v>
      </c>
      <c r="K46" s="39"/>
      <c r="L46" s="38">
        <v>7.2599999999999998E-2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0.24536250018026273</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39583</v>
      </c>
      <c r="Q57" s="25"/>
      <c r="R57" s="5"/>
    </row>
    <row r="58" spans="1:18" ht="15.6" x14ac:dyDescent="0.3">
      <c r="A58" s="24"/>
      <c r="B58" s="25" t="s">
        <v>142</v>
      </c>
      <c r="C58" s="25"/>
      <c r="D58" s="25"/>
      <c r="E58" s="25"/>
      <c r="F58" s="58"/>
      <c r="G58" s="58"/>
      <c r="H58" s="58"/>
      <c r="I58" s="58"/>
      <c r="J58" s="58"/>
      <c r="K58" s="58"/>
      <c r="L58" s="25">
        <f>+P58-N58+1</f>
        <v>92</v>
      </c>
      <c r="M58" s="58"/>
      <c r="N58" s="45">
        <v>39401</v>
      </c>
      <c r="O58" s="46"/>
      <c r="P58" s="45">
        <v>39492</v>
      </c>
      <c r="Q58" s="25"/>
      <c r="R58" s="5"/>
    </row>
    <row r="59" spans="1:18" ht="15.6" x14ac:dyDescent="0.3">
      <c r="A59" s="24"/>
      <c r="B59" s="25" t="s">
        <v>143</v>
      </c>
      <c r="C59" s="25"/>
      <c r="D59" s="25"/>
      <c r="E59" s="25"/>
      <c r="F59" s="25"/>
      <c r="G59" s="25"/>
      <c r="H59" s="25"/>
      <c r="I59" s="25"/>
      <c r="J59" s="25"/>
      <c r="K59" s="25"/>
      <c r="L59" s="25">
        <f>+P59-N59+1</f>
        <v>90</v>
      </c>
      <c r="M59" s="25"/>
      <c r="N59" s="45">
        <v>39493</v>
      </c>
      <c r="O59" s="46"/>
      <c r="P59" s="45">
        <v>39582</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39569</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269</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479401</v>
      </c>
      <c r="I70" s="34"/>
      <c r="J70" s="34">
        <f>21333+2853+59</f>
        <v>24245</v>
      </c>
      <c r="K70" s="34"/>
      <c r="L70" s="34">
        <f>2853+59</f>
        <v>2912</v>
      </c>
      <c r="M70" s="34"/>
      <c r="N70" s="34">
        <v>0</v>
      </c>
      <c r="O70" s="34"/>
      <c r="P70" s="53">
        <f>+H70-J70+L70-N70</f>
        <v>458068</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479401</v>
      </c>
      <c r="I73" s="34"/>
      <c r="J73" s="34">
        <f>SUM(J70:J72)</f>
        <v>24245</v>
      </c>
      <c r="K73" s="34"/>
      <c r="L73" s="34">
        <f>SUM(L70:L72)</f>
        <v>2912</v>
      </c>
      <c r="M73" s="34"/>
      <c r="N73" s="34">
        <f>SUM(N70:N72)</f>
        <v>0</v>
      </c>
      <c r="O73" s="34"/>
      <c r="P73" s="54">
        <f>SUM(P70:P72)</f>
        <v>458068</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479401</v>
      </c>
      <c r="I86" s="34"/>
      <c r="J86" s="34"/>
      <c r="K86" s="34"/>
      <c r="L86" s="34"/>
      <c r="M86" s="34"/>
      <c r="N86" s="54"/>
      <c r="O86" s="34"/>
      <c r="P86" s="54">
        <f>SUM(P73:P85)</f>
        <v>458068</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39568</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f>24245-196</f>
        <v>24049</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8368+507-1082-152</f>
        <v>7641</v>
      </c>
      <c r="Q92" s="25"/>
      <c r="R92" s="5"/>
    </row>
    <row r="93" spans="1:18" ht="15.6" x14ac:dyDescent="0.3">
      <c r="A93" s="24"/>
      <c r="B93" s="25" t="s">
        <v>249</v>
      </c>
      <c r="C93" s="25"/>
      <c r="D93" s="25"/>
      <c r="E93" s="25"/>
      <c r="F93" s="40"/>
      <c r="G93" s="57"/>
      <c r="H93" s="127"/>
      <c r="I93" s="25"/>
      <c r="J93" s="25"/>
      <c r="K93" s="25"/>
      <c r="L93" s="25"/>
      <c r="M93" s="25"/>
      <c r="N93" s="34"/>
      <c r="O93" s="25"/>
      <c r="P93" s="53">
        <f>232+10</f>
        <v>242</v>
      </c>
      <c r="Q93" s="25"/>
      <c r="R93" s="5"/>
    </row>
    <row r="94" spans="1:18" ht="15.6" x14ac:dyDescent="0.3">
      <c r="A94" s="24"/>
      <c r="B94" s="25" t="s">
        <v>250</v>
      </c>
      <c r="C94" s="25"/>
      <c r="D94" s="25"/>
      <c r="E94" s="25"/>
      <c r="F94" s="40"/>
      <c r="G94" s="57"/>
      <c r="H94" s="127"/>
      <c r="I94" s="25"/>
      <c r="J94" s="25"/>
      <c r="K94" s="25"/>
      <c r="L94" s="25"/>
      <c r="M94" s="25"/>
      <c r="N94" s="34"/>
      <c r="O94" s="25"/>
      <c r="P94" s="53">
        <v>692</v>
      </c>
      <c r="Q94" s="25"/>
      <c r="R94" s="5"/>
    </row>
    <row r="95" spans="1:18" ht="15.6" x14ac:dyDescent="0.3">
      <c r="A95" s="24"/>
      <c r="B95" s="25" t="s">
        <v>259</v>
      </c>
      <c r="C95" s="25"/>
      <c r="D95" s="25"/>
      <c r="E95" s="25"/>
      <c r="F95" s="40"/>
      <c r="G95" s="57"/>
      <c r="H95" s="127"/>
      <c r="I95" s="25"/>
      <c r="J95" s="25"/>
      <c r="K95" s="25"/>
      <c r="L95" s="25"/>
      <c r="M95" s="25"/>
      <c r="N95" s="34"/>
      <c r="O95" s="25"/>
      <c r="P95" s="53">
        <v>198</v>
      </c>
      <c r="Q95" s="25"/>
      <c r="R95" s="5"/>
    </row>
    <row r="96" spans="1:18" ht="15.6" x14ac:dyDescent="0.3">
      <c r="A96" s="24"/>
      <c r="B96" s="25" t="s">
        <v>160</v>
      </c>
      <c r="C96" s="25"/>
      <c r="D96" s="25"/>
      <c r="E96" s="25"/>
      <c r="F96" s="25"/>
      <c r="G96" s="25"/>
      <c r="H96" s="25"/>
      <c r="I96" s="25"/>
      <c r="J96" s="25"/>
      <c r="K96" s="25"/>
      <c r="L96" s="25"/>
      <c r="M96" s="25"/>
      <c r="N96" s="34"/>
      <c r="O96" s="25"/>
      <c r="P96" s="53">
        <v>0</v>
      </c>
      <c r="Q96" s="25"/>
      <c r="R96" s="5"/>
    </row>
    <row r="97" spans="1:19" ht="15.6" x14ac:dyDescent="0.3">
      <c r="A97" s="24"/>
      <c r="B97" s="25" t="s">
        <v>192</v>
      </c>
      <c r="C97" s="25"/>
      <c r="D97" s="25"/>
      <c r="E97" s="25"/>
      <c r="F97" s="25"/>
      <c r="G97" s="25"/>
      <c r="H97" s="25"/>
      <c r="I97" s="25"/>
      <c r="J97" s="25"/>
      <c r="K97" s="25"/>
      <c r="L97" s="25"/>
      <c r="M97" s="25"/>
      <c r="N97" s="34"/>
      <c r="O97" s="25"/>
      <c r="P97" s="53">
        <v>0</v>
      </c>
      <c r="Q97" s="25"/>
      <c r="R97" s="5"/>
    </row>
    <row r="98" spans="1:19" ht="15.6" x14ac:dyDescent="0.3">
      <c r="A98" s="24"/>
      <c r="B98" s="25" t="s">
        <v>35</v>
      </c>
      <c r="C98" s="25"/>
      <c r="D98" s="25"/>
      <c r="E98" s="25"/>
      <c r="F98" s="25"/>
      <c r="G98" s="25"/>
      <c r="H98" s="25"/>
      <c r="I98" s="25"/>
      <c r="J98" s="25"/>
      <c r="K98" s="25"/>
      <c r="L98" s="25"/>
      <c r="M98" s="25"/>
      <c r="N98" s="34">
        <f>SUM(N90:N97)</f>
        <v>24049</v>
      </c>
      <c r="O98" s="25"/>
      <c r="P98" s="54">
        <f>SUM(P90:P97)</f>
        <v>8773</v>
      </c>
      <c r="Q98" s="25"/>
      <c r="R98" s="5"/>
    </row>
    <row r="99" spans="1:19" ht="15.6" x14ac:dyDescent="0.3">
      <c r="A99" s="24"/>
      <c r="B99" s="25" t="s">
        <v>237</v>
      </c>
      <c r="C99" s="25"/>
      <c r="D99" s="25"/>
      <c r="E99" s="25"/>
      <c r="F99" s="25"/>
      <c r="G99" s="25"/>
      <c r="H99" s="25"/>
      <c r="I99" s="25"/>
      <c r="J99" s="25"/>
      <c r="K99" s="25"/>
      <c r="L99" s="25"/>
      <c r="M99" s="25"/>
      <c r="N99" s="34">
        <v>-10</v>
      </c>
      <c r="O99" s="25"/>
      <c r="P99" s="54">
        <f>-N99</f>
        <v>10</v>
      </c>
      <c r="Q99" s="25"/>
      <c r="R99" s="5"/>
    </row>
    <row r="100" spans="1:19" ht="15.6" x14ac:dyDescent="0.3">
      <c r="A100" s="24"/>
      <c r="B100" s="25" t="s">
        <v>36</v>
      </c>
      <c r="C100" s="25"/>
      <c r="D100" s="25"/>
      <c r="E100" s="25"/>
      <c r="F100" s="25"/>
      <c r="G100" s="25"/>
      <c r="H100" s="25"/>
      <c r="I100" s="25"/>
      <c r="J100" s="25"/>
      <c r="K100" s="25"/>
      <c r="L100" s="25"/>
      <c r="M100" s="25"/>
      <c r="N100" s="34">
        <f>-P100</f>
        <v>0</v>
      </c>
      <c r="O100" s="25"/>
      <c r="P100" s="53">
        <v>0</v>
      </c>
      <c r="Q100" s="25"/>
      <c r="R100" s="5"/>
    </row>
    <row r="101" spans="1:19" ht="15.6" x14ac:dyDescent="0.3">
      <c r="A101" s="24"/>
      <c r="B101" s="25" t="s">
        <v>268</v>
      </c>
      <c r="C101" s="25"/>
      <c r="D101" s="25"/>
      <c r="E101" s="25"/>
      <c r="F101" s="25"/>
      <c r="G101" s="25"/>
      <c r="H101" s="25"/>
      <c r="I101" s="25"/>
      <c r="J101" s="25"/>
      <c r="K101" s="25"/>
      <c r="L101" s="25"/>
      <c r="M101" s="25"/>
      <c r="N101" s="34"/>
      <c r="O101" s="25"/>
      <c r="P101" s="53">
        <v>-71</v>
      </c>
      <c r="Q101" s="25"/>
      <c r="R101" s="5"/>
    </row>
    <row r="102" spans="1:19" ht="15.6" x14ac:dyDescent="0.3">
      <c r="A102" s="24"/>
      <c r="B102" s="25" t="s">
        <v>37</v>
      </c>
      <c r="C102" s="25"/>
      <c r="D102" s="25"/>
      <c r="E102" s="25"/>
      <c r="F102" s="25"/>
      <c r="G102" s="25"/>
      <c r="H102" s="25"/>
      <c r="I102" s="25"/>
      <c r="J102" s="25"/>
      <c r="K102" s="25"/>
      <c r="L102" s="25"/>
      <c r="M102" s="25"/>
      <c r="N102" s="34">
        <f>N98+N100+N99</f>
        <v>24039</v>
      </c>
      <c r="O102" s="25"/>
      <c r="P102" s="54">
        <f>P98+P100+P99+P101</f>
        <v>8712</v>
      </c>
      <c r="Q102" s="25"/>
      <c r="R102" s="5"/>
      <c r="S102" s="154"/>
    </row>
    <row r="103" spans="1:19" ht="15.6" x14ac:dyDescent="0.3">
      <c r="A103" s="24"/>
      <c r="B103" s="118" t="s">
        <v>38</v>
      </c>
      <c r="C103" s="25"/>
      <c r="D103" s="25"/>
      <c r="E103" s="25"/>
      <c r="F103" s="25"/>
      <c r="G103" s="25"/>
      <c r="H103" s="25"/>
      <c r="I103" s="25"/>
      <c r="J103" s="25"/>
      <c r="K103" s="25"/>
      <c r="L103" s="25"/>
      <c r="M103" s="25"/>
      <c r="N103" s="34"/>
      <c r="O103" s="25"/>
      <c r="P103" s="53"/>
      <c r="Q103" s="25"/>
      <c r="R103" s="5"/>
    </row>
    <row r="104" spans="1:19" ht="15.6" x14ac:dyDescent="0.3">
      <c r="A104" s="24">
        <v>1</v>
      </c>
      <c r="B104" s="25" t="s">
        <v>39</v>
      </c>
      <c r="C104" s="25"/>
      <c r="D104" s="25"/>
      <c r="E104" s="25"/>
      <c r="F104" s="25"/>
      <c r="G104" s="25"/>
      <c r="H104" s="25"/>
      <c r="I104" s="25"/>
      <c r="J104" s="25"/>
      <c r="K104" s="25"/>
      <c r="L104" s="25"/>
      <c r="M104" s="25"/>
      <c r="N104" s="25"/>
      <c r="O104" s="25"/>
      <c r="P104" s="53">
        <v>0</v>
      </c>
      <c r="Q104" s="25"/>
      <c r="R104" s="5"/>
    </row>
    <row r="105" spans="1:19" ht="15.6" x14ac:dyDescent="0.3">
      <c r="A105" s="24">
        <f>+A104+1</f>
        <v>2</v>
      </c>
      <c r="B105" s="25" t="s">
        <v>40</v>
      </c>
      <c r="C105" s="25"/>
      <c r="D105" s="25"/>
      <c r="E105" s="25"/>
      <c r="F105" s="25"/>
      <c r="G105" s="25"/>
      <c r="H105" s="25"/>
      <c r="I105" s="25"/>
      <c r="J105" s="25"/>
      <c r="K105" s="25"/>
      <c r="L105" s="25"/>
      <c r="M105" s="25"/>
      <c r="N105" s="25"/>
      <c r="O105" s="25"/>
      <c r="P105" s="53">
        <v>-2</v>
      </c>
      <c r="Q105" s="25"/>
      <c r="R105" s="5"/>
    </row>
    <row r="106" spans="1:19" ht="15.6" x14ac:dyDescent="0.3">
      <c r="A106" s="24">
        <f>+A105+1</f>
        <v>3</v>
      </c>
      <c r="B106" s="25" t="s">
        <v>226</v>
      </c>
      <c r="C106" s="25"/>
      <c r="D106" s="25"/>
      <c r="E106" s="25"/>
      <c r="F106" s="25"/>
      <c r="G106" s="25"/>
      <c r="H106" s="25"/>
      <c r="I106" s="25"/>
      <c r="J106" s="25"/>
      <c r="K106" s="25"/>
      <c r="L106" s="25"/>
      <c r="M106" s="25"/>
      <c r="N106" s="25"/>
      <c r="O106" s="25"/>
      <c r="P106" s="53">
        <f>-117-36-6</f>
        <v>-159</v>
      </c>
      <c r="Q106" s="25"/>
      <c r="R106" s="5"/>
    </row>
    <row r="107" spans="1:19" ht="15.6" x14ac:dyDescent="0.3">
      <c r="A107" s="24" t="s">
        <v>151</v>
      </c>
      <c r="B107" s="25" t="s">
        <v>131</v>
      </c>
      <c r="C107" s="25"/>
      <c r="D107" s="25"/>
      <c r="E107" s="25"/>
      <c r="F107" s="25"/>
      <c r="G107" s="25"/>
      <c r="H107" s="25"/>
      <c r="I107" s="25"/>
      <c r="J107" s="25"/>
      <c r="K107" s="25"/>
      <c r="L107" s="25"/>
      <c r="M107" s="25"/>
      <c r="N107" s="25"/>
      <c r="O107" s="25"/>
      <c r="P107" s="53">
        <v>0</v>
      </c>
      <c r="Q107" s="25"/>
      <c r="R107" s="5"/>
    </row>
    <row r="108" spans="1:19" ht="15.6" x14ac:dyDescent="0.3">
      <c r="A108" s="24" t="s">
        <v>152</v>
      </c>
      <c r="B108" s="25" t="s">
        <v>195</v>
      </c>
      <c r="C108" s="25"/>
      <c r="D108" s="25"/>
      <c r="E108" s="25"/>
      <c r="F108" s="25"/>
      <c r="G108" s="25"/>
      <c r="H108" s="25"/>
      <c r="I108" s="25"/>
      <c r="J108" s="25"/>
      <c r="K108" s="25"/>
      <c r="L108" s="25"/>
      <c r="M108" s="25"/>
      <c r="N108" s="25"/>
      <c r="O108" s="25"/>
      <c r="P108" s="53">
        <v>-1779</v>
      </c>
      <c r="Q108" s="25"/>
      <c r="R108" s="5"/>
      <c r="S108" s="109"/>
    </row>
    <row r="109" spans="1:19" ht="15.6" x14ac:dyDescent="0.3">
      <c r="A109" s="24" t="s">
        <v>217</v>
      </c>
      <c r="B109" s="25" t="s">
        <v>196</v>
      </c>
      <c r="C109" s="25"/>
      <c r="D109" s="25"/>
      <c r="E109" s="25"/>
      <c r="F109" s="25"/>
      <c r="G109" s="25"/>
      <c r="H109" s="25"/>
      <c r="I109" s="25"/>
      <c r="J109" s="25"/>
      <c r="K109" s="25"/>
      <c r="L109" s="25"/>
      <c r="M109" s="25"/>
      <c r="N109" s="25"/>
      <c r="O109" s="25"/>
      <c r="P109" s="53">
        <v>-1522</v>
      </c>
      <c r="Q109" s="25"/>
      <c r="R109" s="5"/>
      <c r="S109" s="109"/>
    </row>
    <row r="110" spans="1:19" ht="15.6" x14ac:dyDescent="0.3">
      <c r="A110" s="24" t="s">
        <v>218</v>
      </c>
      <c r="B110" s="25" t="s">
        <v>197</v>
      </c>
      <c r="C110" s="25"/>
      <c r="D110" s="25"/>
      <c r="E110" s="25"/>
      <c r="F110" s="25"/>
      <c r="G110" s="25"/>
      <c r="H110" s="25"/>
      <c r="I110" s="25"/>
      <c r="J110" s="25"/>
      <c r="K110" s="25"/>
      <c r="L110" s="25"/>
      <c r="M110" s="25"/>
      <c r="N110" s="25"/>
      <c r="O110" s="25"/>
      <c r="P110" s="53">
        <v>-2369</v>
      </c>
      <c r="Q110" s="25"/>
      <c r="R110" s="5"/>
      <c r="S110" s="109"/>
    </row>
    <row r="111" spans="1:19" ht="15.6" x14ac:dyDescent="0.3">
      <c r="A111" s="24" t="s">
        <v>147</v>
      </c>
      <c r="B111" s="25" t="s">
        <v>146</v>
      </c>
      <c r="C111" s="25"/>
      <c r="D111" s="25"/>
      <c r="E111" s="25"/>
      <c r="F111" s="25"/>
      <c r="G111" s="25"/>
      <c r="H111" s="25"/>
      <c r="I111" s="25"/>
      <c r="J111" s="25"/>
      <c r="K111" s="25"/>
      <c r="L111" s="25"/>
      <c r="M111" s="25"/>
      <c r="N111" s="25"/>
      <c r="O111" s="25"/>
      <c r="P111" s="53">
        <v>-749</v>
      </c>
      <c r="Q111" s="25"/>
      <c r="R111" s="5"/>
      <c r="S111" s="109"/>
    </row>
    <row r="112" spans="1:19" ht="15.6" x14ac:dyDescent="0.3">
      <c r="A112" s="24" t="s">
        <v>148</v>
      </c>
      <c r="B112" s="25" t="s">
        <v>198</v>
      </c>
      <c r="C112" s="25"/>
      <c r="D112" s="25"/>
      <c r="E112" s="25"/>
      <c r="F112" s="25"/>
      <c r="G112" s="25"/>
      <c r="H112" s="25"/>
      <c r="I112" s="25"/>
      <c r="J112" s="25"/>
      <c r="K112" s="25"/>
      <c r="L112" s="25"/>
      <c r="M112" s="25"/>
      <c r="N112" s="25"/>
      <c r="O112" s="25"/>
      <c r="P112" s="53">
        <v>-709</v>
      </c>
      <c r="Q112" s="25"/>
      <c r="R112" s="5"/>
      <c r="S112" s="109"/>
    </row>
    <row r="113" spans="1:18" ht="15.6" x14ac:dyDescent="0.3">
      <c r="A113" s="24">
        <v>6</v>
      </c>
      <c r="B113" s="25" t="s">
        <v>41</v>
      </c>
      <c r="C113" s="25"/>
      <c r="D113" s="25"/>
      <c r="E113" s="25"/>
      <c r="F113" s="25"/>
      <c r="G113" s="25"/>
      <c r="H113" s="25"/>
      <c r="I113" s="25"/>
      <c r="J113" s="25"/>
      <c r="K113" s="25"/>
      <c r="L113" s="25"/>
      <c r="M113" s="25"/>
      <c r="N113" s="25"/>
      <c r="O113" s="25"/>
      <c r="P113" s="53">
        <v>-10</v>
      </c>
      <c r="Q113" s="25"/>
      <c r="R113" s="5"/>
    </row>
    <row r="114" spans="1:18" ht="15.6" x14ac:dyDescent="0.3">
      <c r="A114" s="24">
        <f t="shared" ref="A114:A119" si="0">+A113+1</f>
        <v>7</v>
      </c>
      <c r="B114" s="25" t="s">
        <v>53</v>
      </c>
      <c r="C114" s="25"/>
      <c r="D114" s="25"/>
      <c r="E114" s="25"/>
      <c r="F114" s="25"/>
      <c r="G114" s="25"/>
      <c r="H114" s="25"/>
      <c r="I114" s="25"/>
      <c r="J114" s="25"/>
      <c r="K114" s="25"/>
      <c r="L114" s="25"/>
      <c r="M114" s="25"/>
      <c r="N114" s="34">
        <f>-P114</f>
        <v>196</v>
      </c>
      <c r="O114" s="25"/>
      <c r="P114" s="53">
        <v>-196</v>
      </c>
      <c r="Q114" s="25"/>
      <c r="R114" s="5"/>
    </row>
    <row r="115" spans="1:18" ht="15.6" x14ac:dyDescent="0.3">
      <c r="A115" s="24">
        <f t="shared" si="0"/>
        <v>8</v>
      </c>
      <c r="B115" s="25" t="s">
        <v>149</v>
      </c>
      <c r="C115" s="25"/>
      <c r="D115" s="25"/>
      <c r="E115" s="25"/>
      <c r="F115" s="25"/>
      <c r="G115" s="25"/>
      <c r="H115" s="25"/>
      <c r="I115" s="25"/>
      <c r="J115" s="25"/>
      <c r="K115" s="25"/>
      <c r="L115" s="25"/>
      <c r="M115" s="25"/>
      <c r="N115" s="25"/>
      <c r="O115" s="25"/>
      <c r="P115" s="53">
        <v>0</v>
      </c>
      <c r="Q115" s="25"/>
      <c r="R115" s="5"/>
    </row>
    <row r="116" spans="1:18" ht="15.6" x14ac:dyDescent="0.3">
      <c r="A116" s="24">
        <f t="shared" si="0"/>
        <v>9</v>
      </c>
      <c r="B116" s="25" t="s">
        <v>42</v>
      </c>
      <c r="C116" s="25"/>
      <c r="D116" s="25"/>
      <c r="E116" s="25"/>
      <c r="F116" s="25"/>
      <c r="G116" s="25"/>
      <c r="H116" s="25"/>
      <c r="I116" s="25"/>
      <c r="J116" s="25"/>
      <c r="K116" s="25"/>
      <c r="L116" s="25"/>
      <c r="M116" s="25"/>
      <c r="N116" s="25"/>
      <c r="O116" s="25"/>
      <c r="P116" s="53">
        <v>0</v>
      </c>
      <c r="Q116" s="25"/>
      <c r="R116" s="5"/>
    </row>
    <row r="117" spans="1:18" ht="15.6" x14ac:dyDescent="0.3">
      <c r="A117" s="24">
        <f t="shared" si="0"/>
        <v>10</v>
      </c>
      <c r="B117" s="25" t="s">
        <v>43</v>
      </c>
      <c r="C117" s="25"/>
      <c r="D117" s="25"/>
      <c r="E117" s="25"/>
      <c r="F117" s="25"/>
      <c r="G117" s="25"/>
      <c r="H117" s="25"/>
      <c r="I117" s="25"/>
      <c r="J117" s="25"/>
      <c r="K117" s="25"/>
      <c r="L117" s="25"/>
      <c r="M117" s="25"/>
      <c r="N117" s="25"/>
      <c r="O117" s="25"/>
      <c r="P117" s="53">
        <v>0</v>
      </c>
      <c r="Q117" s="25"/>
      <c r="R117" s="5"/>
    </row>
    <row r="118" spans="1:18" ht="15.6" x14ac:dyDescent="0.3">
      <c r="A118" s="24">
        <f t="shared" si="0"/>
        <v>11</v>
      </c>
      <c r="B118" s="25" t="s">
        <v>215</v>
      </c>
      <c r="C118" s="25"/>
      <c r="D118" s="25"/>
      <c r="E118" s="25"/>
      <c r="F118" s="25"/>
      <c r="G118" s="25"/>
      <c r="H118" s="25"/>
      <c r="I118" s="25"/>
      <c r="J118" s="25"/>
      <c r="K118" s="25"/>
      <c r="L118" s="25"/>
      <c r="M118" s="25"/>
      <c r="N118" s="25"/>
      <c r="O118" s="25"/>
      <c r="P118" s="53">
        <v>-238</v>
      </c>
      <c r="Q118" s="25"/>
      <c r="R118" s="5"/>
    </row>
    <row r="119" spans="1:18" ht="15.6" x14ac:dyDescent="0.3">
      <c r="A119" s="24">
        <f t="shared" si="0"/>
        <v>12</v>
      </c>
      <c r="B119" s="25" t="s">
        <v>150</v>
      </c>
      <c r="C119" s="25"/>
      <c r="D119" s="25"/>
      <c r="E119" s="25"/>
      <c r="F119" s="25"/>
      <c r="G119" s="25"/>
      <c r="H119" s="25"/>
      <c r="I119" s="25"/>
      <c r="J119" s="25"/>
      <c r="K119" s="25"/>
      <c r="L119" s="25"/>
      <c r="M119" s="25"/>
      <c r="N119" s="25"/>
      <c r="O119" s="25"/>
      <c r="P119" s="53">
        <f>-P102-SUM(P104:P118)</f>
        <v>-979</v>
      </c>
      <c r="Q119" s="25"/>
      <c r="R119" s="5"/>
    </row>
    <row r="120" spans="1:18" ht="15.6" x14ac:dyDescent="0.3">
      <c r="A120" s="24"/>
      <c r="B120" s="118" t="s">
        <v>44</v>
      </c>
      <c r="C120" s="25"/>
      <c r="D120" s="25"/>
      <c r="E120" s="25"/>
      <c r="F120" s="25"/>
      <c r="G120" s="25"/>
      <c r="H120" s="25"/>
      <c r="I120" s="25"/>
      <c r="J120" s="25"/>
      <c r="K120" s="25"/>
      <c r="L120" s="25"/>
      <c r="M120" s="25"/>
      <c r="N120" s="25"/>
      <c r="O120" s="25"/>
      <c r="P120" s="59"/>
      <c r="Q120" s="25"/>
      <c r="R120" s="5"/>
    </row>
    <row r="121" spans="1:18" ht="15.6" x14ac:dyDescent="0.3">
      <c r="A121" s="24"/>
      <c r="B121" s="25" t="s">
        <v>45</v>
      </c>
      <c r="C121" s="25"/>
      <c r="D121" s="25"/>
      <c r="E121" s="25"/>
      <c r="F121" s="25"/>
      <c r="G121" s="25"/>
      <c r="H121" s="25"/>
      <c r="I121" s="25"/>
      <c r="J121" s="25"/>
      <c r="K121" s="25"/>
      <c r="L121" s="25"/>
      <c r="M121" s="25"/>
      <c r="N121" s="34">
        <v>-155</v>
      </c>
      <c r="O121" s="34"/>
      <c r="P121" s="53"/>
      <c r="Q121" s="25"/>
      <c r="R121" s="5"/>
    </row>
    <row r="122" spans="1:18" ht="15.6" x14ac:dyDescent="0.3">
      <c r="A122" s="24"/>
      <c r="B122" s="25" t="s">
        <v>46</v>
      </c>
      <c r="C122" s="25"/>
      <c r="D122" s="25"/>
      <c r="E122" s="25"/>
      <c r="F122" s="25"/>
      <c r="G122" s="25"/>
      <c r="H122" s="25"/>
      <c r="I122" s="25"/>
      <c r="J122" s="25"/>
      <c r="K122" s="25"/>
      <c r="L122" s="25"/>
      <c r="M122" s="25"/>
      <c r="N122" s="34">
        <f>-M169</f>
        <v>-2747</v>
      </c>
      <c r="O122" s="34"/>
      <c r="P122" s="53"/>
      <c r="Q122" s="25"/>
      <c r="R122" s="5"/>
    </row>
    <row r="123" spans="1:18" ht="15.6" x14ac:dyDescent="0.3">
      <c r="A123" s="24"/>
      <c r="B123" s="25" t="s">
        <v>199</v>
      </c>
      <c r="C123" s="25"/>
      <c r="D123" s="25"/>
      <c r="E123" s="25"/>
      <c r="F123" s="25"/>
      <c r="G123" s="25"/>
      <c r="H123" s="25"/>
      <c r="I123" s="25"/>
      <c r="J123" s="25"/>
      <c r="K123" s="25"/>
      <c r="L123" s="25"/>
      <c r="M123" s="25"/>
      <c r="N123" s="34">
        <v>-6658</v>
      </c>
      <c r="O123" s="34"/>
      <c r="P123" s="53"/>
      <c r="Q123" s="25"/>
      <c r="R123" s="5"/>
    </row>
    <row r="124" spans="1:18" ht="15.6" x14ac:dyDescent="0.3">
      <c r="A124" s="24"/>
      <c r="B124" s="25" t="s">
        <v>200</v>
      </c>
      <c r="C124" s="25"/>
      <c r="D124" s="25"/>
      <c r="E124" s="25"/>
      <c r="F124" s="25"/>
      <c r="G124" s="25"/>
      <c r="H124" s="25"/>
      <c r="I124" s="25"/>
      <c r="J124" s="25"/>
      <c r="K124" s="25"/>
      <c r="L124" s="25"/>
      <c r="M124" s="25"/>
      <c r="N124" s="34">
        <v>-5792</v>
      </c>
      <c r="O124" s="34"/>
      <c r="P124" s="53"/>
      <c r="Q124" s="25"/>
      <c r="R124" s="5"/>
    </row>
    <row r="125" spans="1:18" ht="15.6" x14ac:dyDescent="0.3">
      <c r="A125" s="24"/>
      <c r="B125" s="25" t="s">
        <v>201</v>
      </c>
      <c r="C125" s="25"/>
      <c r="D125" s="25"/>
      <c r="E125" s="25"/>
      <c r="F125" s="25"/>
      <c r="G125" s="25"/>
      <c r="H125" s="25"/>
      <c r="I125" s="25"/>
      <c r="J125" s="25"/>
      <c r="K125" s="25"/>
      <c r="L125" s="25"/>
      <c r="M125" s="25"/>
      <c r="N125" s="34">
        <v>-8883</v>
      </c>
      <c r="O125" s="34"/>
      <c r="P125" s="53"/>
      <c r="Q125" s="25"/>
      <c r="R125" s="5"/>
    </row>
    <row r="126" spans="1:18" ht="15.6" x14ac:dyDescent="0.3">
      <c r="A126" s="24"/>
      <c r="B126" s="25" t="s">
        <v>159</v>
      </c>
      <c r="C126" s="25"/>
      <c r="D126" s="25"/>
      <c r="E126" s="25"/>
      <c r="F126" s="25"/>
      <c r="G126" s="25"/>
      <c r="H126" s="25"/>
      <c r="I126" s="25"/>
      <c r="J126" s="25"/>
      <c r="K126" s="25"/>
      <c r="L126" s="25"/>
      <c r="M126" s="25"/>
      <c r="N126" s="34">
        <v>0</v>
      </c>
      <c r="O126" s="34"/>
      <c r="P126" s="53"/>
      <c r="Q126" s="25"/>
      <c r="R126" s="5"/>
    </row>
    <row r="127" spans="1:18" ht="15.6" x14ac:dyDescent="0.3">
      <c r="A127" s="24"/>
      <c r="B127" s="25" t="s">
        <v>214</v>
      </c>
      <c r="C127" s="25"/>
      <c r="D127" s="25"/>
      <c r="E127" s="25"/>
      <c r="F127" s="25"/>
      <c r="G127" s="25"/>
      <c r="H127" s="25"/>
      <c r="I127" s="25"/>
      <c r="J127" s="25"/>
      <c r="K127" s="25"/>
      <c r="L127" s="25"/>
      <c r="M127" s="25"/>
      <c r="N127" s="34">
        <v>0</v>
      </c>
      <c r="O127" s="34"/>
      <c r="P127" s="53"/>
      <c r="Q127" s="25"/>
      <c r="R127" s="5"/>
    </row>
    <row r="128" spans="1:18" ht="15.6" x14ac:dyDescent="0.3">
      <c r="A128" s="24"/>
      <c r="B128" s="25" t="s">
        <v>47</v>
      </c>
      <c r="C128" s="25"/>
      <c r="D128" s="25"/>
      <c r="E128" s="25"/>
      <c r="F128" s="25"/>
      <c r="G128" s="25"/>
      <c r="H128" s="25"/>
      <c r="I128" s="25"/>
      <c r="J128" s="25"/>
      <c r="K128" s="25"/>
      <c r="L128" s="25"/>
      <c r="M128" s="25"/>
      <c r="N128" s="34">
        <f>SUM(N121:N127)</f>
        <v>-24235</v>
      </c>
      <c r="O128" s="34"/>
      <c r="P128" s="34">
        <f>SUM(P103:P127)</f>
        <v>-8712</v>
      </c>
      <c r="Q128" s="25"/>
      <c r="R128" s="5"/>
    </row>
    <row r="129" spans="1:19" ht="15.6" x14ac:dyDescent="0.3">
      <c r="A129" s="24"/>
      <c r="B129" s="25" t="s">
        <v>48</v>
      </c>
      <c r="C129" s="25"/>
      <c r="D129" s="25"/>
      <c r="E129" s="25"/>
      <c r="F129" s="25"/>
      <c r="G129" s="25"/>
      <c r="H129" s="25"/>
      <c r="I129" s="25"/>
      <c r="J129" s="25"/>
      <c r="K129" s="25"/>
      <c r="L129" s="25"/>
      <c r="M129" s="25"/>
      <c r="N129" s="34">
        <f>N102+N128+N114</f>
        <v>0</v>
      </c>
      <c r="O129" s="34"/>
      <c r="P129" s="34">
        <f>P102+P128</f>
        <v>0</v>
      </c>
      <c r="Q129" s="25"/>
      <c r="R129" s="5"/>
    </row>
    <row r="130" spans="1:19" ht="15.6" x14ac:dyDescent="0.3">
      <c r="A130" s="24"/>
      <c r="B130" s="25"/>
      <c r="C130" s="25"/>
      <c r="D130" s="25"/>
      <c r="E130" s="25"/>
      <c r="F130" s="25"/>
      <c r="G130" s="25"/>
      <c r="H130" s="25"/>
      <c r="I130" s="25"/>
      <c r="J130" s="25"/>
      <c r="K130" s="25"/>
      <c r="L130" s="25"/>
      <c r="M130" s="25"/>
      <c r="N130" s="34"/>
      <c r="O130" s="34"/>
      <c r="P130" s="34"/>
      <c r="Q130" s="25"/>
      <c r="R130" s="5"/>
    </row>
    <row r="131" spans="1:19" ht="15.6" x14ac:dyDescent="0.3">
      <c r="A131" s="6"/>
      <c r="B131" s="146"/>
      <c r="C131" s="146"/>
      <c r="D131" s="146"/>
      <c r="E131" s="146"/>
      <c r="F131" s="146"/>
      <c r="G131" s="146"/>
      <c r="H131" s="146"/>
      <c r="I131" s="146"/>
      <c r="J131" s="146"/>
      <c r="K131" s="146"/>
      <c r="L131" s="146"/>
      <c r="M131" s="146"/>
      <c r="N131" s="147"/>
      <c r="O131" s="147"/>
      <c r="P131" s="147"/>
      <c r="Q131" s="146"/>
      <c r="R131" s="5"/>
    </row>
    <row r="132" spans="1:19" ht="18" thickBot="1" x14ac:dyDescent="0.35">
      <c r="A132" s="101"/>
      <c r="B132" s="102" t="str">
        <f>B65</f>
        <v>PM7 INVESTOR REPORT QUARTER ENDING APRIL 2008</v>
      </c>
      <c r="C132" s="103"/>
      <c r="D132" s="103"/>
      <c r="E132" s="103"/>
      <c r="F132" s="103"/>
      <c r="G132" s="103"/>
      <c r="H132" s="103"/>
      <c r="I132" s="103"/>
      <c r="J132" s="103"/>
      <c r="K132" s="103"/>
      <c r="L132" s="103"/>
      <c r="M132" s="103"/>
      <c r="N132" s="103"/>
      <c r="O132" s="103"/>
      <c r="P132" s="106"/>
      <c r="Q132" s="105"/>
      <c r="R132" s="5"/>
    </row>
    <row r="133" spans="1:19" ht="15.6" x14ac:dyDescent="0.3">
      <c r="A133" s="2"/>
      <c r="B133" s="60" t="s">
        <v>49</v>
      </c>
      <c r="C133" s="4"/>
      <c r="D133" s="4"/>
      <c r="E133" s="4"/>
      <c r="F133" s="4"/>
      <c r="G133" s="4"/>
      <c r="H133" s="4"/>
      <c r="I133" s="4"/>
      <c r="J133" s="4"/>
      <c r="K133" s="4"/>
      <c r="L133" s="4"/>
      <c r="M133" s="4"/>
      <c r="N133" s="4"/>
      <c r="O133" s="4"/>
      <c r="P133" s="50"/>
      <c r="Q133" s="4"/>
      <c r="R133" s="5"/>
    </row>
    <row r="134" spans="1:19" ht="15.6" x14ac:dyDescent="0.3">
      <c r="A134" s="6"/>
      <c r="B134" s="21"/>
      <c r="C134" s="8"/>
      <c r="D134" s="8"/>
      <c r="E134" s="8"/>
      <c r="F134" s="8"/>
      <c r="G134" s="8"/>
      <c r="H134" s="8"/>
      <c r="I134" s="8"/>
      <c r="J134" s="8"/>
      <c r="K134" s="8"/>
      <c r="L134" s="8"/>
      <c r="M134" s="8"/>
      <c r="N134" s="8"/>
      <c r="O134" s="8"/>
      <c r="P134" s="52"/>
      <c r="Q134" s="8"/>
      <c r="R134" s="5"/>
    </row>
    <row r="135" spans="1:19" ht="15.6" x14ac:dyDescent="0.3">
      <c r="A135" s="6"/>
      <c r="B135" s="119" t="s">
        <v>50</v>
      </c>
      <c r="C135" s="8"/>
      <c r="D135" s="8"/>
      <c r="E135" s="8"/>
      <c r="F135" s="8"/>
      <c r="G135" s="8"/>
      <c r="H135" s="8"/>
      <c r="I135" s="8"/>
      <c r="J135" s="8"/>
      <c r="K135" s="8"/>
      <c r="L135" s="8"/>
      <c r="M135" s="8"/>
      <c r="N135" s="8"/>
      <c r="O135" s="8"/>
      <c r="P135" s="52"/>
      <c r="Q135" s="8"/>
      <c r="R135" s="5"/>
    </row>
    <row r="136" spans="1:19" ht="15.6" x14ac:dyDescent="0.3">
      <c r="A136" s="24"/>
      <c r="B136" s="25" t="s">
        <v>51</v>
      </c>
      <c r="C136" s="25"/>
      <c r="D136" s="25"/>
      <c r="E136" s="25"/>
      <c r="F136" s="25"/>
      <c r="G136" s="25"/>
      <c r="H136" s="25"/>
      <c r="I136" s="25"/>
      <c r="J136" s="25"/>
      <c r="K136" s="25"/>
      <c r="L136" s="25"/>
      <c r="M136" s="25"/>
      <c r="N136" s="25"/>
      <c r="O136" s="25"/>
      <c r="P136" s="53">
        <f>+P36*0.022</f>
        <v>19815.399999999998</v>
      </c>
      <c r="Q136" s="25"/>
      <c r="R136" s="5"/>
    </row>
    <row r="137" spans="1:19" ht="15.6" x14ac:dyDescent="0.3">
      <c r="A137" s="24"/>
      <c r="B137" s="25" t="s">
        <v>52</v>
      </c>
      <c r="C137" s="25"/>
      <c r="D137" s="25"/>
      <c r="E137" s="25"/>
      <c r="F137" s="25"/>
      <c r="G137" s="25"/>
      <c r="H137" s="25"/>
      <c r="I137" s="25"/>
      <c r="J137" s="25"/>
      <c r="K137" s="25"/>
      <c r="L137" s="25"/>
      <c r="M137" s="25"/>
      <c r="N137" s="25"/>
      <c r="O137" s="25"/>
      <c r="P137" s="53">
        <v>19815</v>
      </c>
      <c r="Q137" s="25"/>
      <c r="R137" s="5"/>
    </row>
    <row r="138" spans="1:19" ht="15.6" x14ac:dyDescent="0.3">
      <c r="A138" s="24"/>
      <c r="B138" s="25" t="s">
        <v>161</v>
      </c>
      <c r="C138" s="25"/>
      <c r="D138" s="25"/>
      <c r="E138" s="25"/>
      <c r="F138" s="25"/>
      <c r="G138" s="25"/>
      <c r="H138" s="25"/>
      <c r="I138" s="25"/>
      <c r="J138" s="25"/>
      <c r="K138" s="25"/>
      <c r="L138" s="25"/>
      <c r="M138" s="25"/>
      <c r="N138" s="25"/>
      <c r="O138" s="25"/>
      <c r="P138" s="53">
        <v>0</v>
      </c>
      <c r="Q138" s="25"/>
      <c r="R138" s="5"/>
    </row>
    <row r="139" spans="1:19" ht="15.6" x14ac:dyDescent="0.3">
      <c r="A139" s="24"/>
      <c r="B139" s="25" t="s">
        <v>144</v>
      </c>
      <c r="C139" s="25"/>
      <c r="D139" s="25"/>
      <c r="E139" s="25"/>
      <c r="F139" s="25"/>
      <c r="G139" s="25"/>
      <c r="H139" s="25"/>
      <c r="I139" s="25"/>
      <c r="J139" s="25"/>
      <c r="K139" s="25"/>
      <c r="L139" s="25"/>
      <c r="M139" s="25"/>
      <c r="N139" s="25"/>
      <c r="O139" s="25"/>
      <c r="P139" s="53">
        <v>0</v>
      </c>
      <c r="Q139" s="25"/>
      <c r="R139" s="5"/>
    </row>
    <row r="140" spans="1:19" ht="15.6" x14ac:dyDescent="0.3">
      <c r="A140" s="24"/>
      <c r="B140" s="25" t="s">
        <v>145</v>
      </c>
      <c r="C140" s="25"/>
      <c r="D140" s="25"/>
      <c r="E140" s="25"/>
      <c r="F140" s="25"/>
      <c r="G140" s="25"/>
      <c r="H140" s="25"/>
      <c r="I140" s="25"/>
      <c r="J140" s="25"/>
      <c r="K140" s="25"/>
      <c r="L140" s="25"/>
      <c r="M140" s="25"/>
      <c r="N140" s="25"/>
      <c r="O140" s="25"/>
      <c r="P140" s="53">
        <v>0</v>
      </c>
      <c r="Q140" s="25"/>
      <c r="R140" s="5"/>
    </row>
    <row r="141" spans="1:19" ht="15.6" x14ac:dyDescent="0.3">
      <c r="A141" s="24"/>
      <c r="B141" s="25" t="s">
        <v>53</v>
      </c>
      <c r="C141" s="25"/>
      <c r="D141" s="25"/>
      <c r="E141" s="25"/>
      <c r="F141" s="25"/>
      <c r="G141" s="25"/>
      <c r="H141" s="25"/>
      <c r="I141" s="25"/>
      <c r="J141" s="25"/>
      <c r="K141" s="25"/>
      <c r="L141" s="25"/>
      <c r="M141" s="25"/>
      <c r="N141" s="25"/>
      <c r="O141" s="25"/>
      <c r="P141" s="53">
        <v>0</v>
      </c>
      <c r="Q141" s="25"/>
      <c r="R141" s="5"/>
    </row>
    <row r="142" spans="1:19" ht="15.6" x14ac:dyDescent="0.3">
      <c r="A142" s="24"/>
      <c r="B142" s="25" t="s">
        <v>153</v>
      </c>
      <c r="C142" s="25"/>
      <c r="D142" s="25"/>
      <c r="E142" s="25"/>
      <c r="F142" s="25"/>
      <c r="G142" s="25"/>
      <c r="H142" s="25"/>
      <c r="I142" s="25"/>
      <c r="J142" s="25"/>
      <c r="K142" s="25"/>
      <c r="L142" s="25"/>
      <c r="M142" s="25"/>
      <c r="N142" s="25"/>
      <c r="O142" s="25"/>
      <c r="P142" s="53">
        <v>0</v>
      </c>
      <c r="Q142" s="25"/>
      <c r="R142" s="5"/>
    </row>
    <row r="143" spans="1:19" ht="15.6" x14ac:dyDescent="0.3">
      <c r="A143" s="24"/>
      <c r="B143" s="25" t="s">
        <v>202</v>
      </c>
      <c r="C143" s="25"/>
      <c r="D143" s="25"/>
      <c r="E143" s="25"/>
      <c r="F143" s="25"/>
      <c r="G143" s="25"/>
      <c r="H143" s="25"/>
      <c r="I143" s="25"/>
      <c r="J143" s="25"/>
      <c r="K143" s="25"/>
      <c r="L143" s="25"/>
      <c r="M143" s="25"/>
      <c r="N143" s="25"/>
      <c r="O143" s="25"/>
      <c r="P143" s="53">
        <v>0</v>
      </c>
      <c r="Q143" s="25"/>
      <c r="R143" s="5"/>
      <c r="S143" s="109"/>
    </row>
    <row r="144" spans="1:19" ht="15.6" x14ac:dyDescent="0.3">
      <c r="A144" s="24"/>
      <c r="B144" s="25" t="s">
        <v>54</v>
      </c>
      <c r="C144" s="25"/>
      <c r="D144" s="25"/>
      <c r="E144" s="25"/>
      <c r="F144" s="25"/>
      <c r="G144" s="25"/>
      <c r="H144" s="25"/>
      <c r="I144" s="25"/>
      <c r="J144" s="25"/>
      <c r="K144" s="25"/>
      <c r="L144" s="25"/>
      <c r="M144" s="25"/>
      <c r="N144" s="25"/>
      <c r="O144" s="25"/>
      <c r="P144" s="53">
        <f>SUM(P137:P143)</f>
        <v>19815</v>
      </c>
      <c r="Q144" s="25"/>
      <c r="R144" s="5"/>
    </row>
    <row r="145" spans="1:18" ht="15.6" x14ac:dyDescent="0.3">
      <c r="A145" s="24"/>
      <c r="B145" s="25"/>
      <c r="C145" s="25"/>
      <c r="D145" s="25"/>
      <c r="E145" s="25"/>
      <c r="F145" s="25"/>
      <c r="G145" s="25"/>
      <c r="H145" s="25"/>
      <c r="I145" s="25"/>
      <c r="J145" s="25"/>
      <c r="K145" s="25"/>
      <c r="L145" s="25"/>
      <c r="M145" s="25"/>
      <c r="N145" s="25"/>
      <c r="O145" s="25"/>
      <c r="P145" s="61"/>
      <c r="Q145" s="25"/>
      <c r="R145" s="5"/>
    </row>
    <row r="146" spans="1:18" ht="15.6" x14ac:dyDescent="0.3">
      <c r="A146" s="6"/>
      <c r="B146" s="119" t="s">
        <v>28</v>
      </c>
      <c r="C146" s="8"/>
      <c r="D146" s="8"/>
      <c r="E146" s="8"/>
      <c r="F146" s="8"/>
      <c r="G146" s="8"/>
      <c r="H146" s="8"/>
      <c r="I146" s="8"/>
      <c r="J146" s="8"/>
      <c r="K146" s="8"/>
      <c r="L146" s="8"/>
      <c r="M146" s="8"/>
      <c r="N146" s="8"/>
      <c r="O146" s="8"/>
      <c r="P146" s="52"/>
      <c r="Q146" s="8"/>
      <c r="R146" s="5"/>
    </row>
    <row r="147" spans="1:18" ht="15.6" x14ac:dyDescent="0.3">
      <c r="A147" s="24"/>
      <c r="B147" s="25" t="s">
        <v>55</v>
      </c>
      <c r="C147" s="25"/>
      <c r="D147" s="25"/>
      <c r="E147" s="25"/>
      <c r="F147" s="25"/>
      <c r="G147" s="25"/>
      <c r="H147" s="25"/>
      <c r="I147" s="25"/>
      <c r="J147" s="25"/>
      <c r="K147" s="25"/>
      <c r="L147" s="25"/>
      <c r="M147" s="25"/>
      <c r="N147" s="25"/>
      <c r="O147" s="25"/>
      <c r="P147" s="59" t="s">
        <v>137</v>
      </c>
      <c r="Q147" s="25"/>
      <c r="R147" s="5"/>
    </row>
    <row r="148" spans="1:18" ht="15.6" x14ac:dyDescent="0.3">
      <c r="A148" s="24"/>
      <c r="B148" s="25" t="s">
        <v>56</v>
      </c>
      <c r="C148" s="141"/>
      <c r="D148" s="141"/>
      <c r="E148" s="141"/>
      <c r="F148" s="141"/>
      <c r="G148" s="141"/>
      <c r="H148" s="141"/>
      <c r="I148" s="141"/>
      <c r="J148" s="141"/>
      <c r="K148" s="141"/>
      <c r="L148" s="141"/>
      <c r="M148" s="141"/>
      <c r="N148" s="141"/>
      <c r="O148" s="141"/>
      <c r="P148" s="59" t="s">
        <v>137</v>
      </c>
      <c r="Q148" s="25"/>
      <c r="R148" s="5"/>
    </row>
    <row r="149" spans="1:18" ht="15.6" x14ac:dyDescent="0.3">
      <c r="A149" s="24"/>
      <c r="B149" s="25" t="s">
        <v>57</v>
      </c>
      <c r="C149" s="25"/>
      <c r="D149" s="25"/>
      <c r="E149" s="25"/>
      <c r="F149" s="25"/>
      <c r="G149" s="25"/>
      <c r="H149" s="25"/>
      <c r="I149" s="25"/>
      <c r="J149" s="25"/>
      <c r="K149" s="25"/>
      <c r="L149" s="25"/>
      <c r="M149" s="25"/>
      <c r="N149" s="25"/>
      <c r="O149" s="25"/>
      <c r="P149" s="59" t="s">
        <v>137</v>
      </c>
      <c r="Q149" s="25"/>
      <c r="R149" s="5"/>
    </row>
    <row r="150" spans="1:18" ht="15.6" x14ac:dyDescent="0.3">
      <c r="A150" s="24"/>
      <c r="B150" s="25" t="s">
        <v>58</v>
      </c>
      <c r="C150" s="25"/>
      <c r="D150" s="25"/>
      <c r="E150" s="25"/>
      <c r="F150" s="25"/>
      <c r="G150" s="25"/>
      <c r="H150" s="25"/>
      <c r="I150" s="25"/>
      <c r="J150" s="25"/>
      <c r="K150" s="25"/>
      <c r="L150" s="25"/>
      <c r="M150" s="25"/>
      <c r="N150" s="25"/>
      <c r="O150" s="25"/>
      <c r="P150" s="59" t="s">
        <v>137</v>
      </c>
      <c r="Q150" s="25"/>
      <c r="R150" s="5"/>
    </row>
    <row r="151" spans="1:18" ht="15.6" x14ac:dyDescent="0.3">
      <c r="A151" s="24"/>
      <c r="B151" s="25"/>
      <c r="C151" s="25"/>
      <c r="D151" s="25"/>
      <c r="E151" s="25"/>
      <c r="F151" s="25"/>
      <c r="G151" s="25"/>
      <c r="H151" s="25"/>
      <c r="I151" s="25"/>
      <c r="J151" s="25"/>
      <c r="K151" s="25"/>
      <c r="L151" s="25"/>
      <c r="M151" s="25"/>
      <c r="N151" s="25"/>
      <c r="O151" s="25"/>
      <c r="P151" s="61"/>
      <c r="Q151" s="25"/>
      <c r="R151" s="5"/>
    </row>
    <row r="152" spans="1:18" ht="15.6" x14ac:dyDescent="0.3">
      <c r="A152" s="6"/>
      <c r="B152" s="119" t="s">
        <v>59</v>
      </c>
      <c r="C152" s="8"/>
      <c r="D152" s="8"/>
      <c r="E152" s="8"/>
      <c r="F152" s="8"/>
      <c r="G152" s="8"/>
      <c r="H152" s="8"/>
      <c r="I152" s="8"/>
      <c r="J152" s="8"/>
      <c r="K152" s="8"/>
      <c r="L152" s="8"/>
      <c r="M152" s="8"/>
      <c r="N152" s="8"/>
      <c r="O152" s="8"/>
      <c r="P152" s="63"/>
      <c r="Q152" s="8"/>
      <c r="R152" s="5"/>
    </row>
    <row r="153" spans="1:18" ht="15.6" x14ac:dyDescent="0.3">
      <c r="A153" s="24"/>
      <c r="B153" s="25" t="s">
        <v>60</v>
      </c>
      <c r="C153" s="25"/>
      <c r="D153" s="25"/>
      <c r="E153" s="25"/>
      <c r="F153" s="25"/>
      <c r="G153" s="25"/>
      <c r="H153" s="25"/>
      <c r="I153" s="25"/>
      <c r="J153" s="25"/>
      <c r="K153" s="25"/>
      <c r="L153" s="25"/>
      <c r="M153" s="25"/>
      <c r="N153" s="25"/>
      <c r="O153" s="25"/>
      <c r="P153" s="53">
        <v>0</v>
      </c>
      <c r="Q153" s="25"/>
      <c r="R153" s="5"/>
    </row>
    <row r="154" spans="1:18" ht="15.6" x14ac:dyDescent="0.3">
      <c r="A154" s="24"/>
      <c r="B154" s="25" t="s">
        <v>61</v>
      </c>
      <c r="C154" s="25"/>
      <c r="D154" s="25"/>
      <c r="E154" s="25"/>
      <c r="F154" s="25"/>
      <c r="G154" s="25"/>
      <c r="H154" s="25"/>
      <c r="I154" s="25"/>
      <c r="J154" s="25"/>
      <c r="K154" s="25"/>
      <c r="L154" s="25"/>
      <c r="M154" s="25"/>
      <c r="N154" s="25"/>
      <c r="O154" s="25"/>
      <c r="P154" s="53">
        <f>-P114</f>
        <v>196</v>
      </c>
      <c r="Q154" s="25"/>
      <c r="R154" s="5"/>
    </row>
    <row r="155" spans="1:18" ht="15.6" x14ac:dyDescent="0.3">
      <c r="A155" s="24"/>
      <c r="B155" s="25" t="s">
        <v>62</v>
      </c>
      <c r="C155" s="25"/>
      <c r="D155" s="25"/>
      <c r="E155" s="25"/>
      <c r="F155" s="25"/>
      <c r="G155" s="25"/>
      <c r="H155" s="25"/>
      <c r="I155" s="25"/>
      <c r="J155" s="25"/>
      <c r="K155" s="25"/>
      <c r="L155" s="25"/>
      <c r="M155" s="25"/>
      <c r="N155" s="25"/>
      <c r="O155" s="25"/>
      <c r="P155" s="53">
        <f>P154+P153</f>
        <v>196</v>
      </c>
      <c r="Q155" s="25"/>
      <c r="R155" s="5"/>
    </row>
    <row r="156" spans="1:18" ht="15.6" x14ac:dyDescent="0.3">
      <c r="A156" s="24"/>
      <c r="B156" s="403" t="s">
        <v>297</v>
      </c>
      <c r="C156" s="25"/>
      <c r="D156" s="25"/>
      <c r="E156" s="25"/>
      <c r="F156" s="25"/>
      <c r="G156" s="25"/>
      <c r="H156" s="25"/>
      <c r="I156" s="25"/>
      <c r="J156" s="25"/>
      <c r="K156" s="25"/>
      <c r="L156" s="25"/>
      <c r="M156" s="25"/>
      <c r="N156" s="25"/>
      <c r="O156" s="25"/>
      <c r="P156" s="53">
        <f>P114</f>
        <v>-196</v>
      </c>
      <c r="Q156" s="25"/>
      <c r="R156" s="5"/>
    </row>
    <row r="157" spans="1:18" ht="15.6" x14ac:dyDescent="0.3">
      <c r="A157" s="24"/>
      <c r="B157" s="25" t="s">
        <v>63</v>
      </c>
      <c r="C157" s="25"/>
      <c r="D157" s="25"/>
      <c r="E157" s="25"/>
      <c r="F157" s="25"/>
      <c r="G157" s="25"/>
      <c r="H157" s="25"/>
      <c r="I157" s="25"/>
      <c r="J157" s="25"/>
      <c r="K157" s="25"/>
      <c r="L157" s="25"/>
      <c r="M157" s="25"/>
      <c r="N157" s="25"/>
      <c r="O157" s="25"/>
      <c r="P157" s="53">
        <f>P155+P156</f>
        <v>0</v>
      </c>
      <c r="Q157" s="25"/>
      <c r="R157" s="5"/>
    </row>
    <row r="158" spans="1:18" ht="16.2" thickBot="1" x14ac:dyDescent="0.35">
      <c r="A158" s="24"/>
      <c r="B158" s="25"/>
      <c r="C158" s="25"/>
      <c r="D158" s="25"/>
      <c r="E158" s="25"/>
      <c r="F158" s="25"/>
      <c r="G158" s="25"/>
      <c r="H158" s="25"/>
      <c r="I158" s="25"/>
      <c r="J158" s="25"/>
      <c r="K158" s="25"/>
      <c r="L158" s="25"/>
      <c r="M158" s="25"/>
      <c r="N158" s="25"/>
      <c r="O158" s="25"/>
      <c r="P158" s="61"/>
      <c r="Q158" s="25"/>
      <c r="R158" s="5"/>
    </row>
    <row r="159" spans="1:18" ht="15.6" x14ac:dyDescent="0.3">
      <c r="A159" s="2"/>
      <c r="B159" s="4"/>
      <c r="C159" s="4"/>
      <c r="D159" s="4"/>
      <c r="E159" s="4"/>
      <c r="F159" s="4"/>
      <c r="G159" s="4"/>
      <c r="H159" s="4"/>
      <c r="I159" s="4"/>
      <c r="J159" s="4"/>
      <c r="K159" s="4"/>
      <c r="L159" s="4"/>
      <c r="M159" s="4"/>
      <c r="N159" s="4"/>
      <c r="O159" s="4"/>
      <c r="P159" s="50"/>
      <c r="Q159" s="4"/>
      <c r="R159" s="5"/>
    </row>
    <row r="160" spans="1:18" ht="15.6" x14ac:dyDescent="0.3">
      <c r="A160" s="6"/>
      <c r="B160" s="119" t="s">
        <v>64</v>
      </c>
      <c r="C160" s="8"/>
      <c r="D160" s="8"/>
      <c r="E160" s="8"/>
      <c r="F160" s="8"/>
      <c r="G160" s="8"/>
      <c r="H160" s="8"/>
      <c r="I160" s="8"/>
      <c r="J160" s="8"/>
      <c r="K160" s="8"/>
      <c r="L160" s="8"/>
      <c r="M160" s="8"/>
      <c r="N160" s="8"/>
      <c r="O160" s="8"/>
      <c r="P160" s="52"/>
      <c r="Q160" s="8"/>
      <c r="R160" s="5"/>
    </row>
    <row r="161" spans="1:18" ht="15.6" x14ac:dyDescent="0.3">
      <c r="A161" s="6"/>
      <c r="B161" s="21"/>
      <c r="C161" s="8"/>
      <c r="D161" s="8"/>
      <c r="E161" s="8"/>
      <c r="F161" s="8"/>
      <c r="G161" s="8"/>
      <c r="H161" s="8"/>
      <c r="I161" s="8"/>
      <c r="J161" s="8"/>
      <c r="K161" s="8"/>
      <c r="L161" s="8"/>
      <c r="M161" s="8"/>
      <c r="N161" s="8"/>
      <c r="O161" s="8"/>
      <c r="P161" s="52"/>
      <c r="Q161" s="8"/>
      <c r="R161" s="5"/>
    </row>
    <row r="162" spans="1:18" ht="15.6" x14ac:dyDescent="0.3">
      <c r="A162" s="24"/>
      <c r="B162" s="25" t="s">
        <v>221</v>
      </c>
      <c r="C162" s="25"/>
      <c r="D162" s="25"/>
      <c r="E162" s="25"/>
      <c r="F162" s="25"/>
      <c r="G162" s="25"/>
      <c r="H162" s="25"/>
      <c r="I162" s="25"/>
      <c r="J162" s="25"/>
      <c r="K162" s="25"/>
      <c r="L162" s="25"/>
      <c r="M162" s="25"/>
      <c r="N162" s="25"/>
      <c r="O162" s="25"/>
      <c r="P162" s="53">
        <f>P73</f>
        <v>458068</v>
      </c>
      <c r="Q162" s="25"/>
      <c r="R162" s="5"/>
    </row>
    <row r="163" spans="1:18" ht="15.6" x14ac:dyDescent="0.3">
      <c r="A163" s="24"/>
      <c r="B163" s="25" t="s">
        <v>65</v>
      </c>
      <c r="C163" s="25"/>
      <c r="D163" s="25"/>
      <c r="E163" s="25"/>
      <c r="F163" s="25"/>
      <c r="G163" s="25"/>
      <c r="H163" s="25"/>
      <c r="I163" s="25"/>
      <c r="J163" s="25"/>
      <c r="K163" s="25"/>
      <c r="L163" s="25"/>
      <c r="M163" s="25"/>
      <c r="N163" s="25"/>
      <c r="O163" s="25"/>
      <c r="P163" s="53">
        <f>P86</f>
        <v>458068</v>
      </c>
      <c r="Q163" s="25"/>
      <c r="R163" s="5"/>
    </row>
    <row r="164" spans="1:18" ht="16.2" thickBot="1" x14ac:dyDescent="0.35">
      <c r="A164" s="24"/>
      <c r="B164" s="25"/>
      <c r="C164" s="25"/>
      <c r="D164" s="25"/>
      <c r="E164" s="25"/>
      <c r="F164" s="25"/>
      <c r="G164" s="25"/>
      <c r="H164" s="25"/>
      <c r="I164" s="25"/>
      <c r="J164" s="25"/>
      <c r="K164" s="25"/>
      <c r="L164" s="25"/>
      <c r="M164" s="25"/>
      <c r="N164" s="25"/>
      <c r="O164" s="25"/>
      <c r="P164" s="61"/>
      <c r="Q164" s="25"/>
      <c r="R164" s="5"/>
    </row>
    <row r="165" spans="1:18" ht="15.6" x14ac:dyDescent="0.3">
      <c r="A165" s="2"/>
      <c r="B165" s="4"/>
      <c r="C165" s="4"/>
      <c r="D165" s="4"/>
      <c r="E165" s="4"/>
      <c r="F165" s="4"/>
      <c r="G165" s="4"/>
      <c r="H165" s="4"/>
      <c r="I165" s="4"/>
      <c r="J165" s="4"/>
      <c r="K165" s="4"/>
      <c r="L165" s="4"/>
      <c r="M165" s="4"/>
      <c r="N165" s="4"/>
      <c r="O165" s="4"/>
      <c r="P165" s="50"/>
      <c r="Q165" s="4"/>
      <c r="R165" s="5"/>
    </row>
    <row r="166" spans="1:18" ht="15.6" x14ac:dyDescent="0.3">
      <c r="A166" s="6"/>
      <c r="B166" s="119" t="s">
        <v>66</v>
      </c>
      <c r="C166" s="117"/>
      <c r="D166" s="117"/>
      <c r="E166" s="117"/>
      <c r="F166" s="120"/>
      <c r="G166" s="120"/>
      <c r="H166" s="120"/>
      <c r="I166" s="120"/>
      <c r="J166" s="120"/>
      <c r="K166" s="120"/>
      <c r="L166" s="120"/>
      <c r="M166" s="120" t="s">
        <v>112</v>
      </c>
      <c r="N166" s="120" t="s">
        <v>120</v>
      </c>
      <c r="O166" s="111"/>
      <c r="P166" s="121" t="s">
        <v>129</v>
      </c>
      <c r="Q166" s="10"/>
      <c r="R166" s="5"/>
    </row>
    <row r="167" spans="1:18" ht="15.6" x14ac:dyDescent="0.3">
      <c r="A167" s="24"/>
      <c r="B167" s="25" t="s">
        <v>67</v>
      </c>
      <c r="C167" s="25"/>
      <c r="D167" s="25"/>
      <c r="E167" s="25"/>
      <c r="F167" s="25"/>
      <c r="G167" s="25"/>
      <c r="H167" s="25"/>
      <c r="I167" s="25"/>
      <c r="J167" s="25"/>
      <c r="K167" s="25"/>
      <c r="L167" s="25"/>
      <c r="M167" s="53">
        <v>144000</v>
      </c>
      <c r="N167" s="40">
        <v>0</v>
      </c>
      <c r="O167" s="25"/>
      <c r="P167" s="53"/>
      <c r="Q167" s="25"/>
      <c r="R167" s="5"/>
    </row>
    <row r="168" spans="1:18" ht="15.6" x14ac:dyDescent="0.3">
      <c r="A168" s="24"/>
      <c r="B168" s="25" t="s">
        <v>68</v>
      </c>
      <c r="C168" s="25"/>
      <c r="D168" s="25"/>
      <c r="E168" s="25"/>
      <c r="F168" s="25"/>
      <c r="G168" s="25"/>
      <c r="H168" s="25"/>
      <c r="I168" s="25"/>
      <c r="J168" s="25"/>
      <c r="K168" s="25"/>
      <c r="L168" s="25"/>
      <c r="M168" s="53">
        <f>+'Jan 08'!M170</f>
        <v>75642</v>
      </c>
      <c r="N168" s="53">
        <f>+'Jan 08'!N170</f>
        <v>9782</v>
      </c>
      <c r="O168" s="25"/>
      <c r="P168" s="53">
        <f>M168+N168</f>
        <v>85424</v>
      </c>
      <c r="Q168" s="25"/>
      <c r="R168" s="5"/>
    </row>
    <row r="169" spans="1:18" ht="15.6" x14ac:dyDescent="0.3">
      <c r="A169" s="24"/>
      <c r="B169" s="25" t="s">
        <v>69</v>
      </c>
      <c r="C169" s="25"/>
      <c r="D169" s="25"/>
      <c r="E169" s="25"/>
      <c r="F169" s="25"/>
      <c r="G169" s="25"/>
      <c r="H169" s="25"/>
      <c r="I169" s="25"/>
      <c r="J169" s="25"/>
      <c r="K169" s="25"/>
      <c r="L169" s="25"/>
      <c r="M169" s="34">
        <v>2747</v>
      </c>
      <c r="N169" s="34">
        <f>-N99-N121</f>
        <v>165</v>
      </c>
      <c r="O169" s="25"/>
      <c r="P169" s="53">
        <f>M169+N169</f>
        <v>2912</v>
      </c>
      <c r="Q169" s="25"/>
      <c r="R169" s="5"/>
    </row>
    <row r="170" spans="1:18" ht="15.6" x14ac:dyDescent="0.3">
      <c r="A170" s="24"/>
      <c r="B170" s="25" t="s">
        <v>70</v>
      </c>
      <c r="C170" s="25"/>
      <c r="D170" s="25"/>
      <c r="E170" s="25"/>
      <c r="F170" s="25"/>
      <c r="G170" s="25"/>
      <c r="H170" s="25"/>
      <c r="I170" s="25"/>
      <c r="J170" s="25"/>
      <c r="K170" s="25"/>
      <c r="L170" s="25"/>
      <c r="M170" s="53">
        <f>M168+M169</f>
        <v>78389</v>
      </c>
      <c r="N170" s="53">
        <f>N169+N168</f>
        <v>9947</v>
      </c>
      <c r="O170" s="25"/>
      <c r="P170" s="53">
        <f>M170+N170</f>
        <v>88336</v>
      </c>
      <c r="Q170" s="25"/>
      <c r="R170" s="5"/>
    </row>
    <row r="171" spans="1:18" ht="15.6" x14ac:dyDescent="0.3">
      <c r="A171" s="24"/>
      <c r="B171" s="25" t="s">
        <v>71</v>
      </c>
      <c r="C171" s="25"/>
      <c r="D171" s="25"/>
      <c r="E171" s="25"/>
      <c r="F171" s="25"/>
      <c r="G171" s="25"/>
      <c r="H171" s="25"/>
      <c r="I171" s="25"/>
      <c r="J171" s="25"/>
      <c r="K171" s="25"/>
      <c r="L171" s="25"/>
      <c r="M171" s="53">
        <f>M167-M170-N170</f>
        <v>55664</v>
      </c>
      <c r="N171" s="40"/>
      <c r="O171" s="25"/>
      <c r="P171" s="53"/>
      <c r="Q171" s="25"/>
      <c r="R171" s="5"/>
    </row>
    <row r="172" spans="1:18" ht="16.2" thickBot="1" x14ac:dyDescent="0.35">
      <c r="A172" s="24"/>
      <c r="B172" s="25"/>
      <c r="C172" s="25"/>
      <c r="D172" s="25"/>
      <c r="E172" s="25"/>
      <c r="F172" s="25"/>
      <c r="G172" s="25"/>
      <c r="H172" s="25"/>
      <c r="I172" s="25"/>
      <c r="J172" s="25"/>
      <c r="K172" s="25"/>
      <c r="L172" s="25"/>
      <c r="M172" s="25"/>
      <c r="N172" s="25"/>
      <c r="O172" s="25"/>
      <c r="P172" s="61"/>
      <c r="Q172" s="25"/>
      <c r="R172" s="5"/>
    </row>
    <row r="173" spans="1:18" ht="15.6" x14ac:dyDescent="0.3">
      <c r="A173" s="2"/>
      <c r="B173" s="4"/>
      <c r="C173" s="4"/>
      <c r="D173" s="4"/>
      <c r="E173" s="4"/>
      <c r="F173" s="4"/>
      <c r="G173" s="4"/>
      <c r="H173" s="4"/>
      <c r="I173" s="4"/>
      <c r="J173" s="4"/>
      <c r="K173" s="4"/>
      <c r="L173" s="4"/>
      <c r="M173" s="4"/>
      <c r="N173" s="4"/>
      <c r="O173" s="4"/>
      <c r="P173" s="50"/>
      <c r="Q173" s="4"/>
      <c r="R173" s="5"/>
    </row>
    <row r="174" spans="1:18" ht="15.6" x14ac:dyDescent="0.3">
      <c r="A174" s="6"/>
      <c r="B174" s="119" t="s">
        <v>72</v>
      </c>
      <c r="C174" s="8"/>
      <c r="D174" s="8"/>
      <c r="E174" s="8"/>
      <c r="F174" s="8"/>
      <c r="G174" s="8"/>
      <c r="H174" s="8"/>
      <c r="I174" s="8"/>
      <c r="J174" s="8"/>
      <c r="K174" s="8"/>
      <c r="L174" s="8"/>
      <c r="M174" s="8"/>
      <c r="N174" s="8"/>
      <c r="O174" s="8"/>
      <c r="P174" s="65"/>
      <c r="Q174" s="8"/>
      <c r="R174" s="5"/>
    </row>
    <row r="175" spans="1:18" ht="15.6" x14ac:dyDescent="0.3">
      <c r="A175" s="24"/>
      <c r="B175" s="25" t="s">
        <v>73</v>
      </c>
      <c r="C175" s="25"/>
      <c r="D175" s="25"/>
      <c r="E175" s="25"/>
      <c r="F175" s="25"/>
      <c r="G175" s="25"/>
      <c r="H175" s="25"/>
      <c r="I175" s="25"/>
      <c r="J175" s="25"/>
      <c r="K175" s="25"/>
      <c r="L175" s="25"/>
      <c r="M175" s="25"/>
      <c r="N175" s="25"/>
      <c r="O175" s="25"/>
      <c r="P175" s="66">
        <f>(P102+P104+P105+P106+P107)/-(P108+P109+P110)</f>
        <v>1.5081128747795414</v>
      </c>
      <c r="Q175" s="25" t="s">
        <v>130</v>
      </c>
      <c r="R175" s="5"/>
    </row>
    <row r="176" spans="1:18" ht="15.6" x14ac:dyDescent="0.3">
      <c r="A176" s="24"/>
      <c r="B176" s="25" t="s">
        <v>74</v>
      </c>
      <c r="C176" s="25"/>
      <c r="D176" s="25"/>
      <c r="E176" s="25"/>
      <c r="F176" s="25"/>
      <c r="G176" s="25"/>
      <c r="H176" s="25"/>
      <c r="I176" s="25"/>
      <c r="J176" s="25"/>
      <c r="K176" s="25"/>
      <c r="L176" s="25"/>
      <c r="M176" s="25"/>
      <c r="N176" s="25"/>
      <c r="O176" s="25"/>
      <c r="P176" s="66">
        <v>1.4</v>
      </c>
      <c r="Q176" s="25" t="s">
        <v>130</v>
      </c>
      <c r="R176" s="5"/>
    </row>
    <row r="177" spans="1:18" ht="15.6" x14ac:dyDescent="0.3">
      <c r="A177" s="24"/>
      <c r="B177" s="25" t="s">
        <v>75</v>
      </c>
      <c r="C177" s="25"/>
      <c r="D177" s="25"/>
      <c r="E177" s="25"/>
      <c r="F177" s="25"/>
      <c r="G177" s="25"/>
      <c r="H177" s="25"/>
      <c r="I177" s="25"/>
      <c r="J177" s="25"/>
      <c r="K177" s="25"/>
      <c r="L177" s="25"/>
      <c r="M177" s="25"/>
      <c r="N177" s="25"/>
      <c r="O177" s="25"/>
      <c r="P177" s="59">
        <f>(P102+P104+P105+P106+P107+P108+P109+P110)/-(P111+P112)</f>
        <v>1.9759945130315502</v>
      </c>
      <c r="Q177" s="25" t="s">
        <v>130</v>
      </c>
      <c r="R177" s="5"/>
    </row>
    <row r="178" spans="1:18" ht="15.6" x14ac:dyDescent="0.3">
      <c r="A178" s="24"/>
      <c r="B178" s="25" t="s">
        <v>76</v>
      </c>
      <c r="C178" s="25"/>
      <c r="D178" s="25"/>
      <c r="E178" s="25"/>
      <c r="F178" s="25"/>
      <c r="G178" s="25"/>
      <c r="H178" s="25"/>
      <c r="I178" s="25"/>
      <c r="J178" s="25"/>
      <c r="K178" s="25"/>
      <c r="L178" s="25"/>
      <c r="M178" s="25"/>
      <c r="N178" s="25"/>
      <c r="O178" s="25"/>
      <c r="P178" s="66">
        <v>2.42</v>
      </c>
      <c r="Q178" s="25" t="s">
        <v>130</v>
      </c>
      <c r="R178" s="5"/>
    </row>
    <row r="179" spans="1:18" ht="15.6" x14ac:dyDescent="0.3">
      <c r="A179" s="24"/>
      <c r="B179" s="25"/>
      <c r="C179" s="25"/>
      <c r="D179" s="25"/>
      <c r="E179" s="25"/>
      <c r="F179" s="25"/>
      <c r="G179" s="25"/>
      <c r="H179" s="25"/>
      <c r="I179" s="25"/>
      <c r="J179" s="25"/>
      <c r="K179" s="25"/>
      <c r="L179" s="25"/>
      <c r="M179" s="25"/>
      <c r="N179" s="25"/>
      <c r="O179" s="25"/>
      <c r="P179" s="25"/>
      <c r="Q179" s="25"/>
      <c r="R179" s="5"/>
    </row>
    <row r="180" spans="1:18" ht="15.6" x14ac:dyDescent="0.3">
      <c r="A180" s="24"/>
      <c r="B180" s="25"/>
      <c r="C180" s="25"/>
      <c r="D180" s="25"/>
      <c r="E180" s="25"/>
      <c r="F180" s="25"/>
      <c r="G180" s="25"/>
      <c r="H180" s="25"/>
      <c r="I180" s="25"/>
      <c r="J180" s="25"/>
      <c r="K180" s="25"/>
      <c r="L180" s="25"/>
      <c r="M180" s="25"/>
      <c r="N180" s="25"/>
      <c r="O180" s="25"/>
      <c r="P180" s="25"/>
      <c r="Q180" s="25"/>
      <c r="R180" s="5"/>
    </row>
    <row r="181" spans="1:18" ht="15.6" x14ac:dyDescent="0.3">
      <c r="A181" s="6"/>
      <c r="B181" s="8"/>
      <c r="C181" s="8"/>
      <c r="D181" s="8"/>
      <c r="E181" s="8"/>
      <c r="F181" s="8"/>
      <c r="G181" s="8"/>
      <c r="H181" s="8"/>
      <c r="I181" s="8"/>
      <c r="J181" s="8"/>
      <c r="K181" s="8"/>
      <c r="L181" s="8"/>
      <c r="M181" s="8"/>
      <c r="N181" s="8"/>
      <c r="O181" s="8"/>
      <c r="P181" s="8"/>
      <c r="Q181" s="8"/>
      <c r="R181" s="5"/>
    </row>
    <row r="182" spans="1:18" ht="18" thickBot="1" x14ac:dyDescent="0.35">
      <c r="A182" s="101"/>
      <c r="B182" s="102" t="str">
        <f>B132</f>
        <v>PM7 INVESTOR REPORT QUARTER ENDING APRIL 2008</v>
      </c>
      <c r="C182" s="143"/>
      <c r="D182" s="143"/>
      <c r="E182" s="143"/>
      <c r="F182" s="143"/>
      <c r="G182" s="143"/>
      <c r="H182" s="143"/>
      <c r="I182" s="143"/>
      <c r="J182" s="143"/>
      <c r="K182" s="143"/>
      <c r="L182" s="143"/>
      <c r="M182" s="143"/>
      <c r="N182" s="143"/>
      <c r="O182" s="143"/>
      <c r="P182" s="143"/>
      <c r="Q182" s="144"/>
      <c r="R182" s="5"/>
    </row>
    <row r="183" spans="1:18" ht="15.6" x14ac:dyDescent="0.3">
      <c r="A183" s="67"/>
      <c r="B183" s="60" t="s">
        <v>77</v>
      </c>
      <c r="C183" s="68"/>
      <c r="D183" s="68"/>
      <c r="E183" s="69"/>
      <c r="F183" s="69"/>
      <c r="G183" s="69"/>
      <c r="H183" s="69"/>
      <c r="I183" s="69"/>
      <c r="J183" s="69"/>
      <c r="K183" s="69"/>
      <c r="L183" s="69"/>
      <c r="M183" s="69"/>
      <c r="N183" s="70">
        <f>H89</f>
        <v>39568</v>
      </c>
      <c r="O183" s="4"/>
      <c r="P183" s="4"/>
      <c r="Q183" s="4"/>
      <c r="R183" s="5"/>
    </row>
    <row r="184" spans="1:18" ht="15.6" x14ac:dyDescent="0.3">
      <c r="A184" s="71"/>
      <c r="B184" s="72"/>
      <c r="C184" s="73"/>
      <c r="D184" s="73"/>
      <c r="E184" s="74"/>
      <c r="F184" s="74"/>
      <c r="G184" s="74"/>
      <c r="H184" s="74"/>
      <c r="I184" s="74"/>
      <c r="J184" s="74"/>
      <c r="K184" s="74"/>
      <c r="L184" s="74"/>
      <c r="M184" s="74"/>
      <c r="N184" s="74"/>
      <c r="O184" s="8"/>
      <c r="P184" s="8"/>
      <c r="Q184" s="8"/>
      <c r="R184" s="5"/>
    </row>
    <row r="185" spans="1:18" ht="15.6" x14ac:dyDescent="0.3">
      <c r="A185" s="75"/>
      <c r="B185" s="76" t="s">
        <v>78</v>
      </c>
      <c r="C185" s="77"/>
      <c r="D185" s="77"/>
      <c r="E185" s="64"/>
      <c r="F185" s="64"/>
      <c r="G185" s="64"/>
      <c r="H185" s="64"/>
      <c r="I185" s="64"/>
      <c r="J185" s="64"/>
      <c r="K185" s="64"/>
      <c r="L185" s="64"/>
      <c r="M185" s="64"/>
      <c r="N185" s="78">
        <v>5.8069999999999997E-2</v>
      </c>
      <c r="O185" s="25"/>
      <c r="P185" s="25"/>
      <c r="Q185" s="25"/>
      <c r="R185" s="5"/>
    </row>
    <row r="186" spans="1:18" ht="15.6" x14ac:dyDescent="0.3">
      <c r="A186" s="75"/>
      <c r="B186" s="76" t="s">
        <v>219</v>
      </c>
      <c r="C186" s="77"/>
      <c r="D186" s="77"/>
      <c r="E186" s="64"/>
      <c r="F186" s="64"/>
      <c r="G186" s="64"/>
      <c r="H186" s="64"/>
      <c r="I186" s="64"/>
      <c r="J186" s="64"/>
      <c r="K186" s="64"/>
      <c r="L186" s="64"/>
      <c r="M186" s="64"/>
      <c r="N186" s="39">
        <v>5.1499999999999997E-2</v>
      </c>
      <c r="O186" s="25"/>
      <c r="P186" s="25"/>
      <c r="Q186" s="25"/>
      <c r="R186" s="5"/>
    </row>
    <row r="187" spans="1:18" ht="15.6" x14ac:dyDescent="0.3">
      <c r="A187" s="75"/>
      <c r="B187" s="76" t="s">
        <v>79</v>
      </c>
      <c r="C187" s="77"/>
      <c r="D187" s="77"/>
      <c r="E187" s="64"/>
      <c r="F187" s="64"/>
      <c r="G187" s="64"/>
      <c r="H187" s="64"/>
      <c r="I187" s="64"/>
      <c r="J187" s="64"/>
      <c r="K187" s="64"/>
      <c r="L187" s="64"/>
      <c r="M187" s="64"/>
      <c r="N187" s="78">
        <f>N185-N186</f>
        <v>6.5699999999999995E-3</v>
      </c>
      <c r="O187" s="25"/>
      <c r="P187" s="25"/>
      <c r="Q187" s="25"/>
      <c r="R187" s="5"/>
    </row>
    <row r="188" spans="1:18" ht="15.6" x14ac:dyDescent="0.3">
      <c r="A188" s="75"/>
      <c r="B188" s="76" t="s">
        <v>80</v>
      </c>
      <c r="C188" s="77"/>
      <c r="D188" s="77"/>
      <c r="E188" s="64"/>
      <c r="F188" s="64"/>
      <c r="G188" s="64"/>
      <c r="H188" s="64"/>
      <c r="I188" s="64"/>
      <c r="J188" s="64"/>
      <c r="K188" s="64"/>
      <c r="L188" s="64"/>
      <c r="M188" s="64"/>
      <c r="N188" s="78">
        <v>6.5079999999999999E-2</v>
      </c>
      <c r="O188" s="25"/>
      <c r="P188" s="25"/>
      <c r="Q188" s="25"/>
      <c r="R188" s="5"/>
    </row>
    <row r="189" spans="1:18" ht="15.6" x14ac:dyDescent="0.3">
      <c r="A189" s="75"/>
      <c r="B189" s="76" t="s">
        <v>241</v>
      </c>
      <c r="C189" s="77"/>
      <c r="D189" s="77"/>
      <c r="E189" s="64"/>
      <c r="F189" s="64"/>
      <c r="G189" s="64"/>
      <c r="H189" s="64"/>
      <c r="I189" s="64"/>
      <c r="J189" s="64"/>
      <c r="K189" s="64"/>
      <c r="L189" s="64"/>
      <c r="M189" s="64"/>
      <c r="N189" s="78">
        <f>+P45</f>
        <v>6.0462607925096917E-2</v>
      </c>
      <c r="O189" s="25"/>
      <c r="P189" s="25"/>
      <c r="Q189" s="25"/>
      <c r="R189" s="5"/>
    </row>
    <row r="190" spans="1:18" ht="15.6" x14ac:dyDescent="0.3">
      <c r="A190" s="75"/>
      <c r="B190" s="76" t="s">
        <v>81</v>
      </c>
      <c r="C190" s="77"/>
      <c r="D190" s="77"/>
      <c r="E190" s="64"/>
      <c r="F190" s="64"/>
      <c r="G190" s="64"/>
      <c r="H190" s="64"/>
      <c r="I190" s="64"/>
      <c r="J190" s="64"/>
      <c r="K190" s="64"/>
      <c r="L190" s="64"/>
      <c r="M190" s="64"/>
      <c r="N190" s="78">
        <f>N188-N189</f>
        <v>4.6173920749030817E-3</v>
      </c>
      <c r="O190" s="25"/>
      <c r="P190" s="25"/>
      <c r="Q190" s="25"/>
      <c r="R190" s="5"/>
    </row>
    <row r="191" spans="1:18" ht="15.6" x14ac:dyDescent="0.3">
      <c r="A191" s="75"/>
      <c r="B191" s="76" t="s">
        <v>257</v>
      </c>
      <c r="C191" s="77"/>
      <c r="D191" s="77"/>
      <c r="E191" s="64"/>
      <c r="F191" s="64"/>
      <c r="G191" s="64"/>
      <c r="H191" s="64"/>
      <c r="I191" s="64"/>
      <c r="J191" s="64"/>
      <c r="K191" s="64"/>
      <c r="L191" s="64"/>
      <c r="M191" s="64"/>
      <c r="N191" s="78">
        <f>+P102/H73</f>
        <v>1.8172677987738865E-2</v>
      </c>
      <c r="O191" s="25"/>
      <c r="P191" s="25"/>
      <c r="Q191" s="25"/>
      <c r="R191" s="5"/>
    </row>
    <row r="192" spans="1:18" ht="15.6" x14ac:dyDescent="0.3">
      <c r="A192" s="75"/>
      <c r="B192" s="76" t="s">
        <v>170</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171</v>
      </c>
      <c r="C193" s="77"/>
      <c r="D193" s="77"/>
      <c r="E193" s="64"/>
      <c r="F193" s="64"/>
      <c r="G193" s="64"/>
      <c r="H193" s="64"/>
      <c r="I193" s="64"/>
      <c r="J193" s="64"/>
      <c r="K193" s="64"/>
      <c r="L193" s="64"/>
      <c r="M193" s="64"/>
      <c r="N193" s="133">
        <v>49065</v>
      </c>
      <c r="O193" s="25"/>
      <c r="P193" s="25"/>
      <c r="Q193" s="25"/>
      <c r="R193" s="5"/>
    </row>
    <row r="194" spans="1:18" ht="15.6" x14ac:dyDescent="0.3">
      <c r="A194" s="75"/>
      <c r="B194" s="76" t="s">
        <v>172</v>
      </c>
      <c r="C194" s="77"/>
      <c r="D194" s="77"/>
      <c r="E194" s="64"/>
      <c r="F194" s="64"/>
      <c r="G194" s="64"/>
      <c r="H194" s="64"/>
      <c r="I194" s="64"/>
      <c r="J194" s="64"/>
      <c r="K194" s="64"/>
      <c r="L194" s="64"/>
      <c r="M194" s="64"/>
      <c r="N194" s="133">
        <v>49065</v>
      </c>
      <c r="O194" s="25"/>
      <c r="P194" s="25"/>
      <c r="Q194" s="25"/>
      <c r="R194" s="5"/>
    </row>
    <row r="195" spans="1:18" ht="15.6" x14ac:dyDescent="0.3">
      <c r="A195" s="75"/>
      <c r="B195" s="76" t="s">
        <v>138</v>
      </c>
      <c r="C195" s="77"/>
      <c r="D195" s="77"/>
      <c r="E195" s="64"/>
      <c r="F195" s="64"/>
      <c r="G195" s="64"/>
      <c r="H195" s="64"/>
      <c r="I195" s="64"/>
      <c r="J195" s="64"/>
      <c r="K195" s="64"/>
      <c r="L195" s="64"/>
      <c r="M195" s="64"/>
      <c r="N195" s="133">
        <v>52352</v>
      </c>
      <c r="O195" s="25"/>
      <c r="P195" s="25"/>
      <c r="Q195" s="25"/>
      <c r="R195" s="5"/>
    </row>
    <row r="196" spans="1:18" ht="15.6" x14ac:dyDescent="0.3">
      <c r="A196" s="75"/>
      <c r="B196" s="76" t="s">
        <v>139</v>
      </c>
      <c r="C196" s="77"/>
      <c r="D196" s="77"/>
      <c r="E196" s="64"/>
      <c r="F196" s="64"/>
      <c r="G196" s="64"/>
      <c r="H196" s="64"/>
      <c r="I196" s="64"/>
      <c r="J196" s="64"/>
      <c r="K196" s="64"/>
      <c r="L196" s="64"/>
      <c r="M196" s="64"/>
      <c r="N196" s="133">
        <v>52352</v>
      </c>
      <c r="O196" s="25"/>
      <c r="P196" s="25"/>
      <c r="Q196" s="25"/>
      <c r="R196" s="5"/>
    </row>
    <row r="197" spans="1:18" ht="15.6" x14ac:dyDescent="0.3">
      <c r="A197" s="75"/>
      <c r="B197" s="76" t="s">
        <v>82</v>
      </c>
      <c r="C197" s="77"/>
      <c r="D197" s="77"/>
      <c r="E197" s="64"/>
      <c r="F197" s="64"/>
      <c r="G197" s="64"/>
      <c r="H197" s="64"/>
      <c r="I197" s="64"/>
      <c r="J197" s="64"/>
      <c r="K197" s="64"/>
      <c r="L197" s="64"/>
      <c r="M197" s="64"/>
      <c r="N197" s="137">
        <v>20.45</v>
      </c>
      <c r="O197" s="25" t="s">
        <v>125</v>
      </c>
      <c r="P197" s="25"/>
      <c r="Q197" s="25"/>
      <c r="R197" s="5"/>
    </row>
    <row r="198" spans="1:18" ht="15.6" x14ac:dyDescent="0.3">
      <c r="A198" s="75"/>
      <c r="B198" s="76" t="s">
        <v>83</v>
      </c>
      <c r="C198" s="77"/>
      <c r="D198" s="77"/>
      <c r="E198" s="64"/>
      <c r="F198" s="64"/>
      <c r="G198" s="64"/>
      <c r="H198" s="64"/>
      <c r="I198" s="64"/>
      <c r="J198" s="64"/>
      <c r="K198" s="64"/>
      <c r="L198" s="64"/>
      <c r="M198" s="64"/>
      <c r="N198" s="137">
        <v>17.77</v>
      </c>
      <c r="O198" s="25" t="s">
        <v>125</v>
      </c>
      <c r="P198" s="25"/>
      <c r="Q198" s="25"/>
      <c r="R198" s="5"/>
    </row>
    <row r="199" spans="1:18" ht="15.6" x14ac:dyDescent="0.3">
      <c r="A199" s="75"/>
      <c r="B199" s="76" t="s">
        <v>84</v>
      </c>
      <c r="C199" s="77"/>
      <c r="D199" s="77"/>
      <c r="E199" s="64"/>
      <c r="F199" s="64"/>
      <c r="G199" s="64"/>
      <c r="H199" s="64"/>
      <c r="I199" s="64"/>
      <c r="J199" s="64"/>
      <c r="K199" s="64"/>
      <c r="L199" s="64"/>
      <c r="M199" s="64"/>
      <c r="N199" s="78">
        <f>+J70/H70</f>
        <v>5.0573528215418828E-2</v>
      </c>
      <c r="O199" s="25"/>
      <c r="P199" s="25"/>
      <c r="Q199" s="25"/>
      <c r="R199" s="5"/>
    </row>
    <row r="200" spans="1:18" ht="15.6" x14ac:dyDescent="0.3">
      <c r="A200" s="75"/>
      <c r="B200" s="76" t="s">
        <v>85</v>
      </c>
      <c r="C200" s="77"/>
      <c r="D200" s="77"/>
      <c r="E200" s="64"/>
      <c r="F200" s="64"/>
      <c r="G200" s="64"/>
      <c r="H200" s="64"/>
      <c r="I200" s="64"/>
      <c r="J200" s="64"/>
      <c r="K200" s="64"/>
      <c r="L200" s="64"/>
      <c r="M200" s="64"/>
      <c r="N200" s="78">
        <v>0.188</v>
      </c>
      <c r="O200" s="25"/>
      <c r="P200" s="25"/>
      <c r="Q200" s="25"/>
      <c r="R200" s="5"/>
    </row>
    <row r="201" spans="1:18" ht="15.6" x14ac:dyDescent="0.3">
      <c r="A201" s="75"/>
      <c r="B201" s="76"/>
      <c r="C201" s="76"/>
      <c r="D201" s="76"/>
      <c r="E201" s="25"/>
      <c r="F201" s="25"/>
      <c r="G201" s="25"/>
      <c r="H201" s="25"/>
      <c r="I201" s="25"/>
      <c r="J201" s="25"/>
      <c r="K201" s="25"/>
      <c r="L201" s="25"/>
      <c r="M201" s="25"/>
      <c r="N201" s="61"/>
      <c r="O201" s="25"/>
      <c r="P201" s="79"/>
      <c r="Q201" s="25"/>
      <c r="R201" s="5"/>
    </row>
    <row r="202" spans="1:18" ht="15.6" x14ac:dyDescent="0.3">
      <c r="A202" s="80"/>
      <c r="B202" s="14" t="s">
        <v>86</v>
      </c>
      <c r="C202" s="81"/>
      <c r="D202" s="82"/>
      <c r="E202" s="81"/>
      <c r="F202" s="17"/>
      <c r="G202" s="17"/>
      <c r="H202" s="17"/>
      <c r="I202" s="17"/>
      <c r="J202" s="17"/>
      <c r="K202" s="17"/>
      <c r="L202" s="17"/>
      <c r="M202" s="17" t="s">
        <v>113</v>
      </c>
      <c r="N202" s="83" t="s">
        <v>121</v>
      </c>
      <c r="O202" s="8"/>
      <c r="P202" s="8"/>
      <c r="Q202" s="8"/>
      <c r="R202" s="5"/>
    </row>
    <row r="203" spans="1:18" ht="15.6" x14ac:dyDescent="0.3">
      <c r="A203" s="84"/>
      <c r="B203" s="76" t="s">
        <v>87</v>
      </c>
      <c r="C203" s="54"/>
      <c r="D203" s="25"/>
      <c r="E203" s="25"/>
      <c r="F203" s="30"/>
      <c r="G203" s="30"/>
      <c r="H203" s="30"/>
      <c r="I203" s="30"/>
      <c r="J203" s="30"/>
      <c r="K203" s="30"/>
      <c r="L203" s="30"/>
      <c r="M203" s="30">
        <v>3</v>
      </c>
      <c r="N203" s="85">
        <v>214</v>
      </c>
      <c r="O203" s="25"/>
      <c r="P203" s="79"/>
      <c r="Q203" s="86"/>
      <c r="R203" s="5"/>
    </row>
    <row r="204" spans="1:18" ht="15.6" x14ac:dyDescent="0.3">
      <c r="A204" s="84"/>
      <c r="B204" s="76" t="s">
        <v>203</v>
      </c>
      <c r="C204" s="54"/>
      <c r="D204" s="25"/>
      <c r="E204" s="25"/>
      <c r="F204" s="30"/>
      <c r="G204" s="30"/>
      <c r="H204" s="30"/>
      <c r="I204" s="30"/>
      <c r="J204" s="30"/>
      <c r="K204" s="30"/>
      <c r="L204" s="30"/>
      <c r="M204" s="151">
        <f>+L241</f>
        <v>23</v>
      </c>
      <c r="N204" s="85">
        <f>+N241</f>
        <v>3010</v>
      </c>
      <c r="O204" s="25"/>
      <c r="P204" s="79"/>
      <c r="Q204" s="86"/>
      <c r="R204" s="5"/>
    </row>
    <row r="205" spans="1:18" ht="15.6" x14ac:dyDescent="0.3">
      <c r="A205" s="84"/>
      <c r="B205" s="76" t="s">
        <v>88</v>
      </c>
      <c r="C205" s="54"/>
      <c r="D205" s="25"/>
      <c r="E205" s="25"/>
      <c r="F205" s="30"/>
      <c r="G205" s="30"/>
      <c r="H205" s="30"/>
      <c r="I205" s="30"/>
      <c r="J205" s="30"/>
      <c r="K205" s="30"/>
      <c r="L205" s="30"/>
      <c r="M205" s="151">
        <v>3</v>
      </c>
      <c r="N205" s="85">
        <v>247</v>
      </c>
      <c r="O205" s="25"/>
      <c r="P205" s="79"/>
      <c r="Q205" s="86"/>
      <c r="R205" s="5"/>
    </row>
    <row r="206" spans="1:18" ht="15.6" x14ac:dyDescent="0.3">
      <c r="A206" s="84"/>
      <c r="B206" s="122" t="s">
        <v>89</v>
      </c>
      <c r="C206" s="54"/>
      <c r="D206" s="25"/>
      <c r="E206" s="25"/>
      <c r="F206" s="25"/>
      <c r="G206" s="25"/>
      <c r="H206" s="25"/>
      <c r="I206" s="25"/>
      <c r="J206" s="25"/>
      <c r="K206" s="25"/>
      <c r="L206" s="25"/>
      <c r="M206" s="25"/>
      <c r="N206" s="85">
        <v>0</v>
      </c>
      <c r="O206" s="25"/>
      <c r="P206" s="79"/>
      <c r="Q206" s="86"/>
      <c r="R206" s="5"/>
    </row>
    <row r="207" spans="1:18" ht="15.6" x14ac:dyDescent="0.3">
      <c r="A207" s="84"/>
      <c r="B207" s="122" t="s">
        <v>90</v>
      </c>
      <c r="C207" s="54"/>
      <c r="D207" s="25"/>
      <c r="E207" s="25"/>
      <c r="F207" s="25"/>
      <c r="G207" s="25"/>
      <c r="H207" s="25"/>
      <c r="I207" s="25"/>
      <c r="J207" s="25"/>
      <c r="K207" s="25"/>
      <c r="L207" s="25"/>
      <c r="M207" s="25"/>
      <c r="N207" s="62" t="s">
        <v>122</v>
      </c>
      <c r="O207" s="25"/>
      <c r="P207" s="79"/>
      <c r="Q207" s="86"/>
      <c r="R207" s="5"/>
    </row>
    <row r="208" spans="1:18" ht="15.6" x14ac:dyDescent="0.3">
      <c r="A208" s="87"/>
      <c r="B208" s="122" t="s">
        <v>91</v>
      </c>
      <c r="C208" s="76"/>
      <c r="D208" s="76"/>
      <c r="E208" s="25"/>
      <c r="F208" s="25"/>
      <c r="G208" s="25"/>
      <c r="H208" s="25"/>
      <c r="I208" s="25"/>
      <c r="J208" s="167"/>
      <c r="K208" s="25"/>
      <c r="L208" s="25"/>
      <c r="M208" s="25"/>
      <c r="N208" s="85"/>
      <c r="O208" s="25"/>
      <c r="P208" s="79"/>
      <c r="Q208" s="88"/>
      <c r="R208" s="5"/>
    </row>
    <row r="209" spans="1:18" ht="15.6" x14ac:dyDescent="0.3">
      <c r="A209" s="87"/>
      <c r="B209" s="135" t="s">
        <v>92</v>
      </c>
      <c r="C209" s="76"/>
      <c r="D209" s="76"/>
      <c r="E209" s="25"/>
      <c r="F209" s="25"/>
      <c r="G209" s="25"/>
      <c r="H209" s="25"/>
      <c r="I209" s="25"/>
      <c r="J209" s="25"/>
      <c r="K209" s="25"/>
      <c r="L209" s="25"/>
      <c r="M209" s="25"/>
      <c r="N209" s="85">
        <f>P154</f>
        <v>196</v>
      </c>
      <c r="O209" s="25"/>
      <c r="P209" s="79"/>
      <c r="Q209" s="88"/>
      <c r="R209" s="5"/>
    </row>
    <row r="210" spans="1:18" ht="15.6" x14ac:dyDescent="0.3">
      <c r="A210" s="84"/>
      <c r="B210" s="76" t="s">
        <v>93</v>
      </c>
      <c r="C210" s="54"/>
      <c r="D210" s="54"/>
      <c r="E210" s="25"/>
      <c r="F210" s="25"/>
      <c r="G210" s="25"/>
      <c r="H210" s="25"/>
      <c r="I210" s="25"/>
      <c r="J210" s="25"/>
      <c r="K210" s="25"/>
      <c r="L210" s="25"/>
      <c r="M210" s="25"/>
      <c r="N210" s="85">
        <f>'Jan 08'!N210+'April 08'!N209</f>
        <v>1101</v>
      </c>
      <c r="O210" s="25"/>
      <c r="P210" s="79"/>
      <c r="Q210" s="88"/>
      <c r="R210" s="5"/>
    </row>
    <row r="211" spans="1:18" ht="15.6" x14ac:dyDescent="0.3">
      <c r="A211" s="87"/>
      <c r="B211" s="122" t="s">
        <v>278</v>
      </c>
      <c r="C211" s="76"/>
      <c r="D211" s="76"/>
      <c r="E211" s="25"/>
      <c r="F211" s="25"/>
      <c r="G211" s="25"/>
      <c r="H211" s="25"/>
      <c r="I211" s="25"/>
      <c r="J211" s="25"/>
      <c r="K211" s="25"/>
      <c r="L211" s="25"/>
      <c r="M211" s="25"/>
      <c r="N211" s="85"/>
      <c r="O211" s="25"/>
      <c r="P211" s="79"/>
      <c r="Q211" s="88"/>
      <c r="R211" s="5"/>
    </row>
    <row r="212" spans="1:18" ht="15.6" x14ac:dyDescent="0.3">
      <c r="A212" s="87"/>
      <c r="B212" s="76" t="s">
        <v>276</v>
      </c>
      <c r="C212" s="76"/>
      <c r="D212" s="76"/>
      <c r="E212" s="25"/>
      <c r="F212" s="25"/>
      <c r="G212" s="25"/>
      <c r="H212" s="25"/>
      <c r="I212" s="25"/>
      <c r="J212" s="25"/>
      <c r="K212" s="25"/>
      <c r="L212" s="25"/>
      <c r="M212" s="30">
        <v>0</v>
      </c>
      <c r="N212" s="85">
        <v>0</v>
      </c>
      <c r="O212" s="25"/>
      <c r="P212" s="79"/>
      <c r="Q212" s="88"/>
      <c r="R212" s="5"/>
    </row>
    <row r="213" spans="1:18" ht="15.6" x14ac:dyDescent="0.3">
      <c r="A213" s="84"/>
      <c r="B213" s="76" t="s">
        <v>95</v>
      </c>
      <c r="C213" s="89"/>
      <c r="D213" s="90"/>
      <c r="E213" s="25"/>
      <c r="F213" s="25"/>
      <c r="G213" s="25"/>
      <c r="H213" s="25"/>
      <c r="I213" s="25"/>
      <c r="J213" s="25"/>
      <c r="K213" s="25"/>
      <c r="L213" s="25"/>
      <c r="M213" s="25"/>
      <c r="N213" s="62">
        <v>0</v>
      </c>
      <c r="O213" s="25"/>
      <c r="P213" s="79"/>
      <c r="Q213" s="88"/>
      <c r="R213" s="5"/>
    </row>
    <row r="214" spans="1:18" ht="15.6" x14ac:dyDescent="0.3">
      <c r="A214" s="84"/>
      <c r="B214" s="76" t="s">
        <v>96</v>
      </c>
      <c r="C214" s="89"/>
      <c r="D214" s="90"/>
      <c r="E214" s="25"/>
      <c r="F214" s="25"/>
      <c r="G214" s="25"/>
      <c r="H214" s="25"/>
      <c r="I214" s="25"/>
      <c r="J214" s="25"/>
      <c r="K214" s="25"/>
      <c r="L214" s="25"/>
      <c r="M214" s="25"/>
      <c r="N214" s="62">
        <v>0</v>
      </c>
      <c r="O214" s="25"/>
      <c r="P214" s="79"/>
      <c r="Q214" s="88"/>
      <c r="R214" s="5"/>
    </row>
    <row r="215" spans="1:18" ht="15.6" x14ac:dyDescent="0.3">
      <c r="A215" s="84"/>
      <c r="B215" s="122" t="s">
        <v>251</v>
      </c>
      <c r="C215" s="89"/>
      <c r="D215" s="90"/>
      <c r="E215" s="25"/>
      <c r="F215" s="25"/>
      <c r="G215" s="25"/>
      <c r="H215" s="25"/>
      <c r="I215" s="25"/>
      <c r="J215" s="25"/>
      <c r="K215" s="25"/>
      <c r="L215" s="25"/>
      <c r="M215" s="25"/>
      <c r="N215" s="91"/>
      <c r="O215" s="25"/>
      <c r="P215" s="79"/>
      <c r="Q215" s="88"/>
      <c r="R215" s="5"/>
    </row>
    <row r="216" spans="1:18" ht="15.6" x14ac:dyDescent="0.3">
      <c r="A216" s="84"/>
      <c r="B216" s="76" t="s">
        <v>276</v>
      </c>
      <c r="C216" s="89"/>
      <c r="D216" s="90"/>
      <c r="E216" s="25"/>
      <c r="F216" s="25"/>
      <c r="G216" s="25"/>
      <c r="H216" s="25"/>
      <c r="I216" s="25"/>
      <c r="J216" s="25"/>
      <c r="K216" s="25"/>
      <c r="L216" s="25"/>
      <c r="M216" s="30">
        <v>5</v>
      </c>
      <c r="N216" s="85">
        <v>643</v>
      </c>
      <c r="O216" s="25"/>
      <c r="P216" s="79"/>
      <c r="Q216" s="88"/>
      <c r="R216" s="5"/>
    </row>
    <row r="217" spans="1:18" ht="15.6" x14ac:dyDescent="0.3">
      <c r="A217" s="84"/>
      <c r="B217" s="76" t="s">
        <v>252</v>
      </c>
      <c r="C217" s="89"/>
      <c r="D217" s="90"/>
      <c r="E217" s="25"/>
      <c r="F217" s="25"/>
      <c r="G217" s="25"/>
      <c r="H217" s="25"/>
      <c r="I217" s="25"/>
      <c r="J217" s="25"/>
      <c r="K217" s="25"/>
      <c r="L217" s="25"/>
      <c r="M217" s="25"/>
      <c r="N217" s="62">
        <v>18.21</v>
      </c>
      <c r="O217" s="25"/>
      <c r="P217" s="79"/>
      <c r="Q217" s="88"/>
      <c r="R217" s="5"/>
    </row>
    <row r="218" spans="1:18" ht="15.6" x14ac:dyDescent="0.3">
      <c r="A218" s="84"/>
      <c r="B218" s="76"/>
      <c r="C218" s="89"/>
      <c r="D218" s="90"/>
      <c r="E218" s="25"/>
      <c r="F218" s="25"/>
      <c r="G218" s="25"/>
      <c r="H218" s="25"/>
      <c r="I218" s="25"/>
      <c r="J218" s="25"/>
      <c r="K218" s="25"/>
      <c r="L218" s="25"/>
      <c r="M218" s="25"/>
      <c r="N218" s="91"/>
      <c r="O218" s="25"/>
      <c r="P218" s="79"/>
      <c r="Q218" s="88"/>
      <c r="R218" s="5"/>
    </row>
    <row r="219" spans="1:18" ht="17.399999999999999" x14ac:dyDescent="0.3">
      <c r="A219" s="84"/>
      <c r="B219" s="160" t="s">
        <v>244</v>
      </c>
      <c r="C219" s="161"/>
      <c r="D219" s="162"/>
      <c r="E219" s="163"/>
      <c r="F219" s="163"/>
      <c r="G219" s="163"/>
      <c r="H219" s="163"/>
      <c r="I219" s="166"/>
      <c r="J219" s="169" t="s">
        <v>243</v>
      </c>
      <c r="K219" s="163"/>
      <c r="L219" s="163"/>
      <c r="M219" s="25"/>
      <c r="N219" s="91"/>
      <c r="O219" s="25"/>
      <c r="P219" s="79"/>
      <c r="Q219" s="88"/>
      <c r="R219" s="5"/>
    </row>
    <row r="220" spans="1:18" ht="15.6" x14ac:dyDescent="0.3">
      <c r="A220" s="84"/>
      <c r="B220" s="156"/>
      <c r="C220" s="157"/>
      <c r="D220" s="158"/>
      <c r="E220" s="146"/>
      <c r="F220" s="146"/>
      <c r="G220" s="146"/>
      <c r="H220" s="146"/>
      <c r="I220" s="146"/>
      <c r="J220" s="146"/>
      <c r="K220" s="146"/>
      <c r="L220" s="146"/>
      <c r="M220" s="25"/>
      <c r="N220" s="91"/>
      <c r="O220" s="25"/>
      <c r="P220" s="79"/>
      <c r="Q220" s="88"/>
      <c r="R220" s="5"/>
    </row>
    <row r="221" spans="1:18" ht="15.6" x14ac:dyDescent="0.3">
      <c r="A221" s="6"/>
      <c r="B221" s="14" t="s">
        <v>236</v>
      </c>
      <c r="C221" s="81"/>
      <c r="D221" s="82"/>
      <c r="E221" s="81"/>
      <c r="F221" s="17"/>
      <c r="G221" s="17"/>
      <c r="H221" s="17"/>
      <c r="I221" s="17"/>
      <c r="J221" s="17"/>
      <c r="K221" s="17"/>
      <c r="L221" s="83" t="s">
        <v>113</v>
      </c>
      <c r="M221" s="17" t="s">
        <v>114</v>
      </c>
      <c r="N221" s="83" t="s">
        <v>123</v>
      </c>
      <c r="O221" s="17" t="s">
        <v>114</v>
      </c>
      <c r="P221" s="8"/>
      <c r="Q221" s="92"/>
      <c r="R221" s="5"/>
    </row>
    <row r="222" spans="1:18" ht="15.6" x14ac:dyDescent="0.3">
      <c r="A222" s="24"/>
      <c r="B222" s="54" t="s">
        <v>98</v>
      </c>
      <c r="C222" s="93"/>
      <c r="D222" s="25"/>
      <c r="E222" s="93"/>
      <c r="F222" s="93"/>
      <c r="G222" s="93"/>
      <c r="H222" s="93"/>
      <c r="I222" s="93"/>
      <c r="J222" s="93"/>
      <c r="K222" s="93"/>
      <c r="L222" s="54">
        <v>4298</v>
      </c>
      <c r="M222" s="94">
        <f t="shared" ref="M222:M229" si="1">L222/$L$230</f>
        <v>0.98623221661312532</v>
      </c>
      <c r="N222" s="53">
        <v>448593</v>
      </c>
      <c r="O222" s="136">
        <f t="shared" ref="O222:O229" si="2">N222/$N$230</f>
        <v>0.98632838695634006</v>
      </c>
      <c r="P222" s="79"/>
      <c r="Q222" s="88"/>
      <c r="R222" s="5"/>
    </row>
    <row r="223" spans="1:18" ht="15.6" x14ac:dyDescent="0.3">
      <c r="A223" s="24"/>
      <c r="B223" s="54" t="s">
        <v>99</v>
      </c>
      <c r="C223" s="93"/>
      <c r="D223" s="25"/>
      <c r="E223" s="94"/>
      <c r="F223" s="93"/>
      <c r="G223" s="93"/>
      <c r="H223" s="93"/>
      <c r="I223" s="93"/>
      <c r="J223" s="93"/>
      <c r="K223" s="93"/>
      <c r="L223" s="54">
        <v>34</v>
      </c>
      <c r="M223" s="94">
        <f t="shared" si="1"/>
        <v>7.8017439192290044E-3</v>
      </c>
      <c r="N223" s="53">
        <v>3429</v>
      </c>
      <c r="O223" s="136">
        <f t="shared" si="2"/>
        <v>7.5393954851575712E-3</v>
      </c>
      <c r="P223" s="79"/>
      <c r="Q223" s="88"/>
      <c r="R223" s="5"/>
    </row>
    <row r="224" spans="1:18" ht="15.6" x14ac:dyDescent="0.3">
      <c r="A224" s="24"/>
      <c r="B224" s="54" t="s">
        <v>100</v>
      </c>
      <c r="C224" s="93"/>
      <c r="D224" s="25"/>
      <c r="E224" s="94"/>
      <c r="F224" s="93"/>
      <c r="G224" s="93"/>
      <c r="H224" s="93"/>
      <c r="I224" s="93"/>
      <c r="J224" s="93"/>
      <c r="K224" s="93"/>
      <c r="L224" s="54">
        <v>17</v>
      </c>
      <c r="M224" s="94">
        <f t="shared" si="1"/>
        <v>3.9008719596145022E-3</v>
      </c>
      <c r="N224" s="53">
        <v>2407</v>
      </c>
      <c r="O224" s="136">
        <f t="shared" si="2"/>
        <v>5.2923082335299722E-3</v>
      </c>
      <c r="P224" s="79"/>
      <c r="Q224" s="88"/>
      <c r="R224" s="5"/>
    </row>
    <row r="225" spans="1:18" ht="15.6" x14ac:dyDescent="0.3">
      <c r="A225" s="24"/>
      <c r="B225" s="54" t="s">
        <v>227</v>
      </c>
      <c r="C225" s="93"/>
      <c r="D225" s="25"/>
      <c r="E225" s="94"/>
      <c r="F225" s="93"/>
      <c r="G225" s="93"/>
      <c r="H225" s="93"/>
      <c r="I225" s="93"/>
      <c r="J225" s="93"/>
      <c r="K225" s="93"/>
      <c r="L225" s="54">
        <v>3</v>
      </c>
      <c r="M225" s="94">
        <f t="shared" si="1"/>
        <v>6.8838916934373562E-4</v>
      </c>
      <c r="N225" s="53">
        <v>86</v>
      </c>
      <c r="O225" s="136">
        <f t="shared" si="2"/>
        <v>1.8908953389429895E-4</v>
      </c>
      <c r="P225" s="79"/>
      <c r="Q225" s="88"/>
      <c r="R225" s="5"/>
    </row>
    <row r="226" spans="1:18" ht="15.6" x14ac:dyDescent="0.3">
      <c r="A226" s="24"/>
      <c r="B226" s="54" t="s">
        <v>228</v>
      </c>
      <c r="C226" s="93"/>
      <c r="D226" s="25"/>
      <c r="E226" s="94"/>
      <c r="F226" s="93"/>
      <c r="G226" s="93"/>
      <c r="H226" s="93"/>
      <c r="I226" s="93"/>
      <c r="J226" s="93"/>
      <c r="K226" s="93"/>
      <c r="L226" s="54">
        <v>3</v>
      </c>
      <c r="M226" s="94">
        <f t="shared" si="1"/>
        <v>6.8838916934373562E-4</v>
      </c>
      <c r="N226" s="53">
        <v>93</v>
      </c>
      <c r="O226" s="136">
        <f t="shared" si="2"/>
        <v>2.0448054246709072E-4</v>
      </c>
      <c r="P226" s="79"/>
      <c r="Q226" s="88"/>
      <c r="R226" s="5"/>
    </row>
    <row r="227" spans="1:18" ht="15.6" x14ac:dyDescent="0.3">
      <c r="A227" s="24"/>
      <c r="B227" s="54" t="s">
        <v>229</v>
      </c>
      <c r="C227" s="93"/>
      <c r="D227" s="25"/>
      <c r="E227" s="94"/>
      <c r="F227" s="93"/>
      <c r="G227" s="93"/>
      <c r="H227" s="93"/>
      <c r="I227" s="93"/>
      <c r="J227" s="93"/>
      <c r="K227" s="93"/>
      <c r="L227" s="54">
        <v>0</v>
      </c>
      <c r="M227" s="94">
        <f t="shared" si="1"/>
        <v>0</v>
      </c>
      <c r="N227" s="53">
        <v>0</v>
      </c>
      <c r="O227" s="136">
        <f t="shared" si="2"/>
        <v>0</v>
      </c>
      <c r="P227" s="79"/>
      <c r="Q227" s="88"/>
      <c r="R227" s="5"/>
    </row>
    <row r="228" spans="1:18" ht="15.6" x14ac:dyDescent="0.3">
      <c r="A228" s="24"/>
      <c r="B228" s="54" t="s">
        <v>230</v>
      </c>
      <c r="C228" s="93"/>
      <c r="D228" s="25"/>
      <c r="E228" s="94"/>
      <c r="F228" s="93"/>
      <c r="G228" s="93"/>
      <c r="H228" s="93"/>
      <c r="I228" s="93"/>
      <c r="J228" s="93"/>
      <c r="K228" s="93"/>
      <c r="L228" s="54">
        <v>1</v>
      </c>
      <c r="M228" s="94">
        <f t="shared" si="1"/>
        <v>2.2946305644791189E-4</v>
      </c>
      <c r="N228" s="53">
        <v>24</v>
      </c>
      <c r="O228" s="136">
        <f t="shared" si="2"/>
        <v>5.27691722495718E-5</v>
      </c>
      <c r="P228" s="79"/>
      <c r="Q228" s="88"/>
      <c r="R228" s="5"/>
    </row>
    <row r="229" spans="1:18" ht="15.6" x14ac:dyDescent="0.3">
      <c r="A229" s="24"/>
      <c r="B229" s="54" t="s">
        <v>231</v>
      </c>
      <c r="C229" s="93"/>
      <c r="D229" s="25"/>
      <c r="E229" s="94"/>
      <c r="F229" s="93"/>
      <c r="G229" s="93"/>
      <c r="H229" s="93"/>
      <c r="I229" s="93"/>
      <c r="J229" s="93"/>
      <c r="K229" s="93"/>
      <c r="L229" s="54">
        <v>2</v>
      </c>
      <c r="M229" s="94">
        <f t="shared" si="1"/>
        <v>4.5892611289582378E-4</v>
      </c>
      <c r="N229" s="53">
        <v>179</v>
      </c>
      <c r="O229" s="136">
        <f t="shared" si="2"/>
        <v>3.9357007636138969E-4</v>
      </c>
      <c r="P229" s="79"/>
      <c r="Q229" s="88"/>
      <c r="R229" s="5"/>
    </row>
    <row r="230" spans="1:18" ht="15.6" x14ac:dyDescent="0.3">
      <c r="A230" s="24"/>
      <c r="B230" s="25" t="s">
        <v>129</v>
      </c>
      <c r="C230" s="25"/>
      <c r="D230" s="25"/>
      <c r="E230" s="25"/>
      <c r="F230" s="95"/>
      <c r="G230" s="95"/>
      <c r="H230" s="95"/>
      <c r="I230" s="95"/>
      <c r="J230" s="95"/>
      <c r="K230" s="95"/>
      <c r="L230" s="34">
        <f>SUM(L222:L229)</f>
        <v>4358</v>
      </c>
      <c r="M230" s="136">
        <f>SUM(M222:M229)</f>
        <v>1.0000000000000002</v>
      </c>
      <c r="N230" s="53">
        <f>SUM(N222:N229)</f>
        <v>454811</v>
      </c>
      <c r="O230" s="136">
        <f>SUM(O222:O229)</f>
        <v>1</v>
      </c>
      <c r="P230" s="25"/>
      <c r="Q230" s="25"/>
      <c r="R230" s="5"/>
    </row>
    <row r="231" spans="1:18" ht="15.6" x14ac:dyDescent="0.3">
      <c r="A231" s="24"/>
      <c r="B231" s="25"/>
      <c r="C231" s="25"/>
      <c r="D231" s="25"/>
      <c r="E231" s="25"/>
      <c r="F231" s="95"/>
      <c r="G231" s="95"/>
      <c r="H231" s="95"/>
      <c r="I231" s="95"/>
      <c r="J231" s="95"/>
      <c r="K231" s="95"/>
      <c r="L231" s="34"/>
      <c r="M231" s="136"/>
      <c r="N231" s="53"/>
      <c r="O231" s="136"/>
      <c r="P231" s="25"/>
      <c r="Q231" s="25"/>
      <c r="R231" s="5"/>
    </row>
    <row r="232" spans="1:18" ht="15.6" x14ac:dyDescent="0.3">
      <c r="A232" s="148"/>
      <c r="B232" s="14" t="s">
        <v>238</v>
      </c>
      <c r="C232" s="81"/>
      <c r="D232" s="82"/>
      <c r="E232" s="81"/>
      <c r="F232" s="17"/>
      <c r="G232" s="17"/>
      <c r="H232" s="17"/>
      <c r="I232" s="17"/>
      <c r="J232" s="17"/>
      <c r="K232" s="17"/>
      <c r="L232" s="83" t="s">
        <v>113</v>
      </c>
      <c r="M232" s="17" t="s">
        <v>114</v>
      </c>
      <c r="N232" s="83" t="s">
        <v>123</v>
      </c>
      <c r="O232" s="17" t="s">
        <v>114</v>
      </c>
      <c r="P232" s="8"/>
      <c r="Q232" s="149"/>
      <c r="R232" s="5"/>
    </row>
    <row r="233" spans="1:18" ht="15.6" x14ac:dyDescent="0.3">
      <c r="A233" s="24"/>
      <c r="B233" s="54" t="s">
        <v>98</v>
      </c>
      <c r="C233" s="93"/>
      <c r="D233" s="25"/>
      <c r="E233" s="93"/>
      <c r="F233" s="93"/>
      <c r="G233" s="93"/>
      <c r="H233" s="93"/>
      <c r="I233" s="93"/>
      <c r="J233" s="93"/>
      <c r="K233" s="93"/>
      <c r="L233" s="54">
        <v>1</v>
      </c>
      <c r="M233" s="94">
        <f t="shared" ref="M233:M240" si="3">L233/$L$241</f>
        <v>4.3478260869565216E-2</v>
      </c>
      <c r="N233" s="53">
        <v>107</v>
      </c>
      <c r="O233" s="136">
        <f t="shared" ref="O233:O240" si="4">N233/$N$241</f>
        <v>3.5548172757475086E-2</v>
      </c>
      <c r="P233" s="79"/>
      <c r="Q233" s="25"/>
      <c r="R233" s="5"/>
    </row>
    <row r="234" spans="1:18" ht="15.6" x14ac:dyDescent="0.3">
      <c r="A234" s="24"/>
      <c r="B234" s="54" t="s">
        <v>99</v>
      </c>
      <c r="C234" s="93"/>
      <c r="D234" s="25"/>
      <c r="E234" s="94"/>
      <c r="F234" s="93"/>
      <c r="G234" s="93"/>
      <c r="H234" s="93"/>
      <c r="I234" s="93"/>
      <c r="J234" s="93"/>
      <c r="K234" s="93"/>
      <c r="L234" s="54">
        <v>0</v>
      </c>
      <c r="M234" s="94">
        <f t="shared" si="3"/>
        <v>0</v>
      </c>
      <c r="N234" s="53">
        <v>0</v>
      </c>
      <c r="O234" s="136">
        <f t="shared" si="4"/>
        <v>0</v>
      </c>
      <c r="P234" s="79"/>
      <c r="Q234" s="25"/>
      <c r="R234" s="5"/>
    </row>
    <row r="235" spans="1:18" ht="15.6" x14ac:dyDescent="0.3">
      <c r="A235" s="24"/>
      <c r="B235" s="54" t="s">
        <v>100</v>
      </c>
      <c r="C235" s="93"/>
      <c r="D235" s="25"/>
      <c r="E235" s="94"/>
      <c r="F235" s="93"/>
      <c r="G235" s="93"/>
      <c r="H235" s="93"/>
      <c r="I235" s="93"/>
      <c r="J235" s="93"/>
      <c r="K235" s="93"/>
      <c r="L235" s="54">
        <v>0</v>
      </c>
      <c r="M235" s="94">
        <f t="shared" si="3"/>
        <v>0</v>
      </c>
      <c r="N235" s="53">
        <v>0</v>
      </c>
      <c r="O235" s="136">
        <f t="shared" si="4"/>
        <v>0</v>
      </c>
      <c r="P235" s="79"/>
      <c r="Q235" s="25"/>
      <c r="R235" s="5"/>
    </row>
    <row r="236" spans="1:18" ht="15.6" x14ac:dyDescent="0.3">
      <c r="A236" s="24"/>
      <c r="B236" s="54" t="s">
        <v>227</v>
      </c>
      <c r="C236" s="93"/>
      <c r="D236" s="25"/>
      <c r="E236" s="94"/>
      <c r="F236" s="93"/>
      <c r="G236" s="93"/>
      <c r="H236" s="93"/>
      <c r="I236" s="93"/>
      <c r="J236" s="93"/>
      <c r="K236" s="93"/>
      <c r="L236" s="54">
        <v>4</v>
      </c>
      <c r="M236" s="94">
        <f t="shared" si="3"/>
        <v>0.17391304347826086</v>
      </c>
      <c r="N236" s="53">
        <v>525</v>
      </c>
      <c r="O236" s="136">
        <f t="shared" si="4"/>
        <v>0.1744186046511628</v>
      </c>
      <c r="P236" s="79"/>
      <c r="Q236" s="25"/>
      <c r="R236" s="5"/>
    </row>
    <row r="237" spans="1:18" ht="15.6" x14ac:dyDescent="0.3">
      <c r="A237" s="24"/>
      <c r="B237" s="54" t="s">
        <v>228</v>
      </c>
      <c r="C237" s="93"/>
      <c r="D237" s="25"/>
      <c r="E237" s="94"/>
      <c r="F237" s="93"/>
      <c r="G237" s="93"/>
      <c r="H237" s="93"/>
      <c r="I237" s="93"/>
      <c r="J237" s="93"/>
      <c r="K237" s="93"/>
      <c r="L237" s="54">
        <v>4</v>
      </c>
      <c r="M237" s="94">
        <f t="shared" si="3"/>
        <v>0.17391304347826086</v>
      </c>
      <c r="N237" s="53">
        <v>499</v>
      </c>
      <c r="O237" s="136">
        <f t="shared" si="4"/>
        <v>0.16578073089700995</v>
      </c>
      <c r="P237" s="79"/>
      <c r="Q237" s="25"/>
      <c r="R237" s="5"/>
    </row>
    <row r="238" spans="1:18" ht="15.6" x14ac:dyDescent="0.3">
      <c r="A238" s="24"/>
      <c r="B238" s="54" t="s">
        <v>229</v>
      </c>
      <c r="C238" s="93"/>
      <c r="D238" s="25"/>
      <c r="E238" s="94"/>
      <c r="F238" s="93"/>
      <c r="G238" s="93"/>
      <c r="H238" s="93"/>
      <c r="I238" s="93"/>
      <c r="J238" s="93"/>
      <c r="K238" s="93"/>
      <c r="L238" s="54">
        <v>1</v>
      </c>
      <c r="M238" s="94">
        <f t="shared" si="3"/>
        <v>4.3478260869565216E-2</v>
      </c>
      <c r="N238" s="53">
        <v>146</v>
      </c>
      <c r="O238" s="136">
        <f t="shared" si="4"/>
        <v>4.850498338870432E-2</v>
      </c>
      <c r="P238" s="79"/>
      <c r="Q238" s="25"/>
      <c r="R238" s="5"/>
    </row>
    <row r="239" spans="1:18" ht="15.6" x14ac:dyDescent="0.3">
      <c r="A239" s="24"/>
      <c r="B239" s="54" t="s">
        <v>230</v>
      </c>
      <c r="C239" s="93"/>
      <c r="D239" s="25"/>
      <c r="E239" s="94"/>
      <c r="F239" s="93"/>
      <c r="G239" s="93"/>
      <c r="H239" s="93"/>
      <c r="I239" s="93"/>
      <c r="J239" s="93"/>
      <c r="K239" s="93"/>
      <c r="L239" s="54">
        <v>3</v>
      </c>
      <c r="M239" s="94">
        <f t="shared" si="3"/>
        <v>0.13043478260869565</v>
      </c>
      <c r="N239" s="53">
        <v>457</v>
      </c>
      <c r="O239" s="136">
        <f t="shared" si="4"/>
        <v>0.15182724252491694</v>
      </c>
      <c r="P239" s="79"/>
      <c r="Q239" s="25"/>
      <c r="R239" s="5"/>
    </row>
    <row r="240" spans="1:18" ht="15.6" x14ac:dyDescent="0.3">
      <c r="A240" s="24"/>
      <c r="B240" s="54" t="s">
        <v>231</v>
      </c>
      <c r="C240" s="93"/>
      <c r="D240" s="25"/>
      <c r="E240" s="94"/>
      <c r="F240" s="93"/>
      <c r="G240" s="93"/>
      <c r="H240" s="93"/>
      <c r="I240" s="93"/>
      <c r="J240" s="93"/>
      <c r="K240" s="93"/>
      <c r="L240" s="54">
        <v>10</v>
      </c>
      <c r="M240" s="94">
        <f t="shared" si="3"/>
        <v>0.43478260869565216</v>
      </c>
      <c r="N240" s="53">
        <v>1276</v>
      </c>
      <c r="O240" s="136">
        <f t="shared" si="4"/>
        <v>0.42392026578073089</v>
      </c>
      <c r="P240" s="79"/>
      <c r="Q240" s="25"/>
      <c r="R240" s="5"/>
    </row>
    <row r="241" spans="1:18" ht="15.6" x14ac:dyDescent="0.3">
      <c r="A241" s="24"/>
      <c r="B241" s="25" t="s">
        <v>129</v>
      </c>
      <c r="C241" s="25"/>
      <c r="D241" s="25"/>
      <c r="E241" s="25"/>
      <c r="F241" s="95"/>
      <c r="G241" s="95"/>
      <c r="H241" s="95"/>
      <c r="I241" s="95"/>
      <c r="J241" s="95"/>
      <c r="K241" s="95"/>
      <c r="L241" s="34">
        <f>SUM(L233:L240)</f>
        <v>23</v>
      </c>
      <c r="M241" s="136">
        <f>SUM(M233:M240)</f>
        <v>1</v>
      </c>
      <c r="N241" s="53">
        <f>SUM(N233:N240)</f>
        <v>3010</v>
      </c>
      <c r="O241" s="136">
        <f>SUM(O233:O240)</f>
        <v>1</v>
      </c>
      <c r="P241" s="25"/>
      <c r="Q241" s="25"/>
      <c r="R241" s="5"/>
    </row>
    <row r="242" spans="1:18" ht="15.6" x14ac:dyDescent="0.3">
      <c r="A242" s="24"/>
      <c r="B242" s="25"/>
      <c r="C242" s="25"/>
      <c r="D242" s="25"/>
      <c r="E242" s="25"/>
      <c r="F242" s="95"/>
      <c r="G242" s="95"/>
      <c r="H242" s="95"/>
      <c r="I242" s="95"/>
      <c r="J242" s="95"/>
      <c r="K242" s="95"/>
      <c r="L242" s="34"/>
      <c r="M242" s="136"/>
      <c r="N242" s="53"/>
      <c r="O242" s="136"/>
      <c r="P242" s="25"/>
      <c r="Q242" s="25"/>
      <c r="R242" s="5"/>
    </row>
    <row r="243" spans="1:18" ht="15.6" x14ac:dyDescent="0.3">
      <c r="A243" s="148"/>
      <c r="B243" s="14" t="s">
        <v>239</v>
      </c>
      <c r="C243" s="81"/>
      <c r="D243" s="82"/>
      <c r="E243" s="81"/>
      <c r="F243" s="17"/>
      <c r="G243" s="17"/>
      <c r="H243" s="17"/>
      <c r="I243" s="17"/>
      <c r="J243" s="17"/>
      <c r="K243" s="17"/>
      <c r="L243" s="83" t="s">
        <v>113</v>
      </c>
      <c r="M243" s="17" t="s">
        <v>114</v>
      </c>
      <c r="N243" s="83" t="s">
        <v>123</v>
      </c>
      <c r="O243" s="17" t="s">
        <v>114</v>
      </c>
      <c r="P243" s="150"/>
      <c r="Q243" s="149"/>
      <c r="R243" s="5"/>
    </row>
    <row r="244" spans="1:18" ht="15.6" x14ac:dyDescent="0.3">
      <c r="A244" s="24"/>
      <c r="B244" s="54" t="s">
        <v>98</v>
      </c>
      <c r="C244" s="93"/>
      <c r="D244" s="25"/>
      <c r="E244" s="93"/>
      <c r="F244" s="93"/>
      <c r="G244" s="93"/>
      <c r="H244" s="93"/>
      <c r="I244" s="93"/>
      <c r="J244" s="93"/>
      <c r="K244" s="93"/>
      <c r="L244" s="54">
        <v>0</v>
      </c>
      <c r="M244" s="136">
        <f t="shared" ref="M244:M252" si="5">L244/$L$252</f>
        <v>0</v>
      </c>
      <c r="N244" s="53">
        <v>0</v>
      </c>
      <c r="O244" s="136">
        <f t="shared" ref="O244:O252" si="6">N244/$N$252</f>
        <v>0</v>
      </c>
      <c r="P244" s="25"/>
      <c r="Q244" s="25"/>
      <c r="R244" s="5"/>
    </row>
    <row r="245" spans="1:18" ht="15.6" x14ac:dyDescent="0.3">
      <c r="A245" s="24"/>
      <c r="B245" s="54" t="s">
        <v>99</v>
      </c>
      <c r="C245" s="93"/>
      <c r="D245" s="25"/>
      <c r="E245" s="94"/>
      <c r="F245" s="93"/>
      <c r="G245" s="93"/>
      <c r="H245" s="93"/>
      <c r="I245" s="93"/>
      <c r="J245" s="93"/>
      <c r="K245" s="93"/>
      <c r="L245" s="54">
        <v>0</v>
      </c>
      <c r="M245" s="136">
        <f t="shared" si="5"/>
        <v>0</v>
      </c>
      <c r="N245" s="53">
        <v>0</v>
      </c>
      <c r="O245" s="136">
        <f t="shared" si="6"/>
        <v>0</v>
      </c>
      <c r="P245" s="25"/>
      <c r="Q245" s="25"/>
      <c r="R245" s="5"/>
    </row>
    <row r="246" spans="1:18" ht="15.6" x14ac:dyDescent="0.3">
      <c r="A246" s="24"/>
      <c r="B246" s="54" t="s">
        <v>100</v>
      </c>
      <c r="C246" s="93"/>
      <c r="D246" s="25"/>
      <c r="E246" s="94"/>
      <c r="F246" s="93"/>
      <c r="G246" s="93"/>
      <c r="H246" s="93"/>
      <c r="I246" s="93"/>
      <c r="J246" s="93"/>
      <c r="K246" s="93"/>
      <c r="L246" s="54">
        <v>0</v>
      </c>
      <c r="M246" s="136">
        <f t="shared" si="5"/>
        <v>0</v>
      </c>
      <c r="N246" s="53">
        <v>0</v>
      </c>
      <c r="O246" s="136">
        <f t="shared" si="6"/>
        <v>0</v>
      </c>
      <c r="P246" s="25"/>
      <c r="Q246" s="25"/>
      <c r="R246" s="5"/>
    </row>
    <row r="247" spans="1:18" ht="15.6" x14ac:dyDescent="0.3">
      <c r="A247" s="24"/>
      <c r="B247" s="54" t="s">
        <v>227</v>
      </c>
      <c r="C247" s="93"/>
      <c r="D247" s="25"/>
      <c r="E247" s="94"/>
      <c r="F247" s="93"/>
      <c r="G247" s="93"/>
      <c r="H247" s="93"/>
      <c r="I247" s="93"/>
      <c r="J247" s="93"/>
      <c r="K247" s="93"/>
      <c r="L247" s="54">
        <v>1</v>
      </c>
      <c r="M247" s="136">
        <f t="shared" si="5"/>
        <v>0.33333333333333331</v>
      </c>
      <c r="N247" s="53">
        <v>123</v>
      </c>
      <c r="O247" s="136">
        <f t="shared" si="6"/>
        <v>0.49797570850202427</v>
      </c>
      <c r="P247" s="25"/>
      <c r="Q247" s="25"/>
      <c r="R247" s="5"/>
    </row>
    <row r="248" spans="1:18" ht="15.6" x14ac:dyDescent="0.3">
      <c r="A248" s="24"/>
      <c r="B248" s="54" t="s">
        <v>228</v>
      </c>
      <c r="C248" s="93"/>
      <c r="D248" s="25"/>
      <c r="E248" s="94"/>
      <c r="F248" s="93"/>
      <c r="G248" s="93"/>
      <c r="H248" s="93"/>
      <c r="I248" s="93"/>
      <c r="J248" s="93"/>
      <c r="K248" s="93"/>
      <c r="L248" s="54">
        <v>0</v>
      </c>
      <c r="M248" s="136">
        <f t="shared" si="5"/>
        <v>0</v>
      </c>
      <c r="N248" s="53">
        <v>0</v>
      </c>
      <c r="O248" s="136">
        <f t="shared" si="6"/>
        <v>0</v>
      </c>
      <c r="P248" s="25"/>
      <c r="Q248" s="25"/>
      <c r="R248" s="5"/>
    </row>
    <row r="249" spans="1:18" ht="15.6" x14ac:dyDescent="0.3">
      <c r="A249" s="24"/>
      <c r="B249" s="54" t="s">
        <v>229</v>
      </c>
      <c r="C249" s="93"/>
      <c r="D249" s="25"/>
      <c r="E249" s="94"/>
      <c r="F249" s="93"/>
      <c r="G249" s="93"/>
      <c r="H249" s="93"/>
      <c r="I249" s="93"/>
      <c r="J249" s="93"/>
      <c r="K249" s="93"/>
      <c r="L249" s="54">
        <v>0</v>
      </c>
      <c r="M249" s="136">
        <f t="shared" si="5"/>
        <v>0</v>
      </c>
      <c r="N249" s="53">
        <v>0</v>
      </c>
      <c r="O249" s="136">
        <f t="shared" si="6"/>
        <v>0</v>
      </c>
      <c r="P249" s="25"/>
      <c r="Q249" s="25"/>
      <c r="R249" s="5"/>
    </row>
    <row r="250" spans="1:18" ht="15.6" x14ac:dyDescent="0.3">
      <c r="A250" s="24"/>
      <c r="B250" s="54" t="s">
        <v>230</v>
      </c>
      <c r="C250" s="93"/>
      <c r="D250" s="25"/>
      <c r="E250" s="94"/>
      <c r="F250" s="93"/>
      <c r="G250" s="93"/>
      <c r="H250" s="93"/>
      <c r="I250" s="93"/>
      <c r="J250" s="93"/>
      <c r="K250" s="93"/>
      <c r="L250" s="54">
        <v>0</v>
      </c>
      <c r="M250" s="136">
        <f t="shared" si="5"/>
        <v>0</v>
      </c>
      <c r="N250" s="53">
        <v>0</v>
      </c>
      <c r="O250" s="136">
        <f t="shared" si="6"/>
        <v>0</v>
      </c>
      <c r="P250" s="25"/>
      <c r="Q250" s="25"/>
      <c r="R250" s="5"/>
    </row>
    <row r="251" spans="1:18" ht="15.6" x14ac:dyDescent="0.3">
      <c r="A251" s="24"/>
      <c r="B251" s="54" t="s">
        <v>231</v>
      </c>
      <c r="C251" s="93"/>
      <c r="D251" s="25"/>
      <c r="E251" s="94"/>
      <c r="F251" s="93"/>
      <c r="G251" s="93"/>
      <c r="H251" s="93"/>
      <c r="I251" s="93"/>
      <c r="J251" s="93"/>
      <c r="K251" s="93"/>
      <c r="L251" s="54">
        <v>2</v>
      </c>
      <c r="M251" s="136">
        <f t="shared" si="5"/>
        <v>0.66666666666666663</v>
      </c>
      <c r="N251" s="53">
        <v>124</v>
      </c>
      <c r="O251" s="136">
        <f t="shared" si="6"/>
        <v>0.50202429149797567</v>
      </c>
      <c r="P251" s="25"/>
      <c r="Q251" s="25"/>
      <c r="R251" s="5"/>
    </row>
    <row r="252" spans="1:18" ht="15.6" x14ac:dyDescent="0.3">
      <c r="A252" s="24"/>
      <c r="B252" s="25" t="s">
        <v>129</v>
      </c>
      <c r="C252" s="25"/>
      <c r="D252" s="25"/>
      <c r="E252" s="25"/>
      <c r="F252" s="95"/>
      <c r="G252" s="95"/>
      <c r="H252" s="95"/>
      <c r="I252" s="95"/>
      <c r="J252" s="95"/>
      <c r="K252" s="95"/>
      <c r="L252" s="34">
        <f>SUM(L244:L251)</f>
        <v>3</v>
      </c>
      <c r="M252" s="136">
        <f t="shared" si="5"/>
        <v>1</v>
      </c>
      <c r="N252" s="53">
        <f>SUM(N244:N251)</f>
        <v>247</v>
      </c>
      <c r="O252" s="136">
        <f t="shared" si="6"/>
        <v>1</v>
      </c>
      <c r="P252" s="25"/>
      <c r="Q252" s="25"/>
      <c r="R252" s="5"/>
    </row>
    <row r="253" spans="1:18" ht="15.6" x14ac:dyDescent="0.3">
      <c r="A253" s="24"/>
      <c r="B253" s="25"/>
      <c r="C253" s="25"/>
      <c r="D253" s="25"/>
      <c r="E253" s="25"/>
      <c r="F253" s="95"/>
      <c r="G253" s="95"/>
      <c r="H253" s="95"/>
      <c r="I253" s="95"/>
      <c r="J253" s="95"/>
      <c r="K253" s="95"/>
      <c r="L253" s="34"/>
      <c r="M253" s="136"/>
      <c r="N253" s="53"/>
      <c r="O253" s="136"/>
      <c r="P253" s="25"/>
      <c r="Q253" s="25"/>
      <c r="R253" s="5"/>
    </row>
    <row r="254" spans="1:18" ht="15.6" x14ac:dyDescent="0.3">
      <c r="A254" s="24"/>
      <c r="B254" s="152" t="s">
        <v>240</v>
      </c>
      <c r="C254" s="25"/>
      <c r="D254" s="25"/>
      <c r="E254" s="25"/>
      <c r="F254" s="95"/>
      <c r="G254" s="95"/>
      <c r="H254" s="95"/>
      <c r="I254" s="95"/>
      <c r="J254" s="95"/>
      <c r="K254" s="95"/>
      <c r="L254" s="173">
        <f>+L230+L241+L252</f>
        <v>4384</v>
      </c>
      <c r="M254" s="136"/>
      <c r="N254" s="153">
        <f>+N252+N241+N230</f>
        <v>458068</v>
      </c>
      <c r="O254" s="136"/>
      <c r="P254" s="25"/>
      <c r="Q254" s="25"/>
      <c r="R254" s="5"/>
    </row>
    <row r="255" spans="1:18" ht="15.6" x14ac:dyDescent="0.3">
      <c r="A255" s="24"/>
      <c r="B255" s="25"/>
      <c r="C255" s="25"/>
      <c r="D255" s="25"/>
      <c r="E255" s="25"/>
      <c r="F255" s="95"/>
      <c r="G255" s="95"/>
      <c r="H255" s="95"/>
      <c r="I255" s="95"/>
      <c r="J255" s="95"/>
      <c r="K255" s="95"/>
      <c r="L255" s="95"/>
      <c r="M255" s="95"/>
      <c r="N255" s="53"/>
      <c r="O255" s="95"/>
      <c r="P255" s="25"/>
      <c r="Q255" s="25"/>
      <c r="R255" s="5"/>
    </row>
    <row r="256" spans="1:18" ht="15.6" x14ac:dyDescent="0.3">
      <c r="A256" s="6"/>
      <c r="B256" s="8"/>
      <c r="C256" s="8"/>
      <c r="D256" s="8"/>
      <c r="E256" s="8"/>
      <c r="F256" s="96"/>
      <c r="G256" s="96"/>
      <c r="H256" s="96"/>
      <c r="I256" s="96"/>
      <c r="J256" s="96"/>
      <c r="K256" s="96"/>
      <c r="L256" s="96"/>
      <c r="M256" s="96"/>
      <c r="N256" s="97"/>
      <c r="O256" s="96"/>
      <c r="P256" s="8"/>
      <c r="Q256" s="8"/>
      <c r="R256" s="5"/>
    </row>
    <row r="257" spans="1:18" ht="15.6" x14ac:dyDescent="0.3">
      <c r="A257" s="145"/>
      <c r="B257" s="14" t="s">
        <v>102</v>
      </c>
      <c r="C257" s="15"/>
      <c r="D257" s="15"/>
      <c r="E257" s="15"/>
      <c r="F257" s="17" t="s">
        <v>108</v>
      </c>
      <c r="G257" s="15"/>
      <c r="H257" s="14" t="s">
        <v>110</v>
      </c>
      <c r="I257" s="140"/>
      <c r="J257" s="140"/>
      <c r="K257" s="140"/>
      <c r="L257" s="140"/>
      <c r="M257" s="140"/>
      <c r="N257" s="140"/>
      <c r="O257" s="140"/>
      <c r="P257" s="140"/>
      <c r="Q257" s="140"/>
      <c r="R257" s="5"/>
    </row>
    <row r="258" spans="1:18" ht="15.6" x14ac:dyDescent="0.3">
      <c r="A258" s="145"/>
      <c r="B258" s="140"/>
      <c r="C258" s="8"/>
      <c r="D258" s="8"/>
      <c r="E258" s="8"/>
      <c r="F258" s="8"/>
      <c r="G258" s="8"/>
      <c r="H258" s="8"/>
      <c r="I258" s="140"/>
      <c r="J258" s="140"/>
      <c r="K258" s="140"/>
      <c r="L258" s="140"/>
      <c r="M258" s="140"/>
      <c r="N258" s="140"/>
      <c r="O258" s="140"/>
      <c r="P258" s="140"/>
      <c r="Q258" s="140"/>
      <c r="R258" s="5"/>
    </row>
    <row r="259" spans="1:18" ht="15.6" x14ac:dyDescent="0.3">
      <c r="A259" s="145"/>
      <c r="B259" s="13" t="s">
        <v>103</v>
      </c>
      <c r="C259" s="13"/>
      <c r="D259" s="13"/>
      <c r="E259" s="13"/>
      <c r="F259" s="134" t="s">
        <v>212</v>
      </c>
      <c r="G259" s="13"/>
      <c r="H259" s="13" t="s">
        <v>222</v>
      </c>
      <c r="I259" s="140"/>
      <c r="J259" s="140"/>
      <c r="K259" s="140"/>
      <c r="L259" s="140"/>
      <c r="M259" s="140"/>
      <c r="N259" s="140"/>
      <c r="O259" s="140"/>
      <c r="P259" s="140"/>
      <c r="Q259" s="140"/>
      <c r="R259" s="5"/>
    </row>
    <row r="260" spans="1:18" ht="15.6" x14ac:dyDescent="0.3">
      <c r="A260" s="145"/>
      <c r="B260" s="13" t="s">
        <v>263</v>
      </c>
      <c r="C260" s="13"/>
      <c r="D260" s="13"/>
      <c r="E260" s="13"/>
      <c r="F260" s="134" t="s">
        <v>264</v>
      </c>
      <c r="G260" s="13"/>
      <c r="H260" s="13" t="s">
        <v>265</v>
      </c>
      <c r="I260" s="140"/>
      <c r="J260" s="140"/>
      <c r="K260" s="140"/>
      <c r="L260" s="140"/>
      <c r="M260" s="140"/>
      <c r="N260" s="140"/>
      <c r="O260" s="140"/>
      <c r="P260" s="140"/>
      <c r="Q260" s="140"/>
      <c r="R260" s="5"/>
    </row>
    <row r="261" spans="1:18" ht="15.6" x14ac:dyDescent="0.3">
      <c r="A261" s="145"/>
      <c r="B261" s="13" t="s">
        <v>104</v>
      </c>
      <c r="C261" s="13"/>
      <c r="D261" s="13"/>
      <c r="E261" s="13"/>
      <c r="F261" s="134" t="s">
        <v>211</v>
      </c>
      <c r="G261" s="13"/>
      <c r="H261" s="13" t="s">
        <v>223</v>
      </c>
      <c r="I261" s="140"/>
      <c r="J261" s="140"/>
      <c r="K261" s="140"/>
      <c r="L261" s="140"/>
      <c r="M261" s="140"/>
      <c r="N261" s="140"/>
      <c r="O261" s="140"/>
      <c r="P261" s="140"/>
      <c r="Q261" s="140"/>
      <c r="R261" s="5"/>
    </row>
    <row r="262" spans="1:18" ht="15.6" x14ac:dyDescent="0.3">
      <c r="A262" s="145"/>
      <c r="B262" s="13"/>
      <c r="C262" s="13"/>
      <c r="D262" s="13"/>
      <c r="E262" s="99"/>
      <c r="F262" s="140"/>
      <c r="G262" s="140"/>
      <c r="H262" s="140"/>
      <c r="I262" s="140"/>
      <c r="J262" s="140"/>
      <c r="K262" s="140"/>
      <c r="L262" s="140"/>
      <c r="M262" s="140"/>
      <c r="N262" s="140"/>
      <c r="O262" s="140"/>
      <c r="P262" s="140"/>
      <c r="Q262" s="140"/>
      <c r="R262" s="5"/>
    </row>
    <row r="263" spans="1:18" ht="15.6" x14ac:dyDescent="0.3">
      <c r="A263" s="145"/>
      <c r="B263" s="13"/>
      <c r="C263" s="13"/>
      <c r="D263" s="13"/>
      <c r="E263" s="99"/>
      <c r="F263" s="140"/>
      <c r="G263" s="140"/>
      <c r="H263" s="140"/>
      <c r="I263" s="140"/>
      <c r="J263" s="140"/>
      <c r="K263" s="140"/>
      <c r="L263" s="140"/>
      <c r="M263" s="140"/>
      <c r="N263" s="140"/>
      <c r="O263" s="140"/>
      <c r="P263" s="140"/>
      <c r="Q263" s="140"/>
      <c r="R263" s="5"/>
    </row>
    <row r="264" spans="1:18" ht="18" thickBot="1" x14ac:dyDescent="0.35">
      <c r="A264" s="145"/>
      <c r="B264" s="49" t="str">
        <f>B182</f>
        <v>PM7 INVESTOR REPORT QUARTER ENDING APRIL 2008</v>
      </c>
      <c r="C264" s="13"/>
      <c r="D264" s="13"/>
      <c r="E264" s="99"/>
      <c r="F264" s="140"/>
      <c r="G264" s="140"/>
      <c r="H264" s="140"/>
      <c r="I264" s="140"/>
      <c r="J264" s="140"/>
      <c r="K264" s="140"/>
      <c r="L264" s="140"/>
      <c r="M264" s="140"/>
      <c r="N264" s="140"/>
      <c r="O264" s="140"/>
      <c r="P264" s="140"/>
      <c r="Q264" s="140"/>
      <c r="R264" s="5"/>
    </row>
    <row r="265" spans="1:18" x14ac:dyDescent="0.25">
      <c r="A265" s="100"/>
      <c r="B265" s="100"/>
      <c r="C265" s="100"/>
      <c r="D265" s="100"/>
      <c r="E265" s="100"/>
      <c r="F265" s="100"/>
      <c r="G265" s="100"/>
      <c r="H265" s="100"/>
      <c r="I265" s="100"/>
      <c r="J265" s="100"/>
      <c r="K265" s="100"/>
      <c r="L265" s="100"/>
      <c r="M265" s="100"/>
      <c r="N265" s="100"/>
      <c r="O265" s="100"/>
      <c r="P265" s="100"/>
      <c r="Q265" s="100"/>
    </row>
  </sheetData>
  <phoneticPr fontId="0" type="noConversion"/>
  <hyperlinks>
    <hyperlink ref="H9" r:id="rId1"/>
    <hyperlink ref="J21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2" max="14" man="1"/>
    <brk id="182" max="14"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S265"/>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0.95430000000000004</v>
      </c>
      <c r="N17" s="17" t="s">
        <v>173</v>
      </c>
      <c r="O17" s="138">
        <v>4.5699999999999998E-2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39681</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204239.20500000002</v>
      </c>
      <c r="E34" s="31"/>
      <c r="F34" s="131">
        <f>+F33*F40</f>
        <v>99825.528000000006</v>
      </c>
      <c r="G34" s="31"/>
      <c r="H34" s="124">
        <f>+H33*H40</f>
        <v>226944.95</v>
      </c>
      <c r="I34" s="31"/>
      <c r="J34" s="130">
        <v>82500</v>
      </c>
      <c r="K34" s="31"/>
      <c r="L34" s="124">
        <v>65000</v>
      </c>
      <c r="M34" s="31"/>
      <c r="N34" s="31"/>
      <c r="O34" s="142"/>
      <c r="P34" s="31"/>
      <c r="Q34" s="34"/>
      <c r="R34" s="5"/>
    </row>
    <row r="35" spans="1:18" ht="15.6" x14ac:dyDescent="0.3">
      <c r="A35" s="28"/>
      <c r="B35" s="29" t="s">
        <v>158</v>
      </c>
      <c r="C35" s="36"/>
      <c r="D35" s="129">
        <f>+D33*D39</f>
        <v>197533.35</v>
      </c>
      <c r="E35" s="35"/>
      <c r="F35" s="132">
        <f>+F33*F39</f>
        <v>96546.428</v>
      </c>
      <c r="G35" s="35"/>
      <c r="H35" s="125">
        <f>+H33*H39</f>
        <v>219494.30000000002</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114805.62394603711</v>
      </c>
      <c r="E37" s="31"/>
      <c r="F37" s="31">
        <f>+F34</f>
        <v>99825.528000000006</v>
      </c>
      <c r="G37" s="31"/>
      <c r="H37" s="31">
        <f>+H34/1.481481</f>
        <v>153187.8910360646</v>
      </c>
      <c r="I37" s="31"/>
      <c r="J37" s="31">
        <v>46374</v>
      </c>
      <c r="K37" s="31"/>
      <c r="L37" s="31">
        <v>43875</v>
      </c>
      <c r="M37" s="31"/>
      <c r="N37" s="31"/>
      <c r="O37" s="142"/>
      <c r="P37" s="31">
        <f>SUM(C37:L37)</f>
        <v>458068.04298210173</v>
      </c>
      <c r="Q37" s="34"/>
      <c r="R37" s="5"/>
    </row>
    <row r="38" spans="1:18" ht="15.6" x14ac:dyDescent="0.3">
      <c r="A38" s="28"/>
      <c r="B38" s="29" t="s">
        <v>281</v>
      </c>
      <c r="C38" s="36"/>
      <c r="D38" s="35">
        <f>D35/1.779</f>
        <v>111036.17200674537</v>
      </c>
      <c r="E38" s="35"/>
      <c r="F38" s="35">
        <f>+F35</f>
        <v>96546.428</v>
      </c>
      <c r="G38" s="35"/>
      <c r="H38" s="35">
        <f>H35/1.481481</f>
        <v>148158.70065157773</v>
      </c>
      <c r="I38" s="35"/>
      <c r="J38" s="35">
        <v>46374</v>
      </c>
      <c r="K38" s="35"/>
      <c r="L38" s="35">
        <v>43875</v>
      </c>
      <c r="M38" s="35"/>
      <c r="N38" s="35"/>
      <c r="O38" s="37"/>
      <c r="P38" s="35">
        <f>SUM(D38:L38)</f>
        <v>445990.3006583231</v>
      </c>
      <c r="Q38" s="34"/>
      <c r="R38" s="5"/>
    </row>
    <row r="39" spans="1:18" ht="15.6" x14ac:dyDescent="0.3">
      <c r="A39" s="28"/>
      <c r="B39" s="122" t="s">
        <v>154</v>
      </c>
      <c r="C39" s="126"/>
      <c r="D39" s="174">
        <v>0.43896299999999999</v>
      </c>
      <c r="E39" s="174"/>
      <c r="F39" s="174">
        <v>0.4388474</v>
      </c>
      <c r="G39" s="174"/>
      <c r="H39" s="174">
        <v>0.43898860000000001</v>
      </c>
      <c r="I39" s="174"/>
      <c r="J39" s="174">
        <v>1</v>
      </c>
      <c r="K39" s="174"/>
      <c r="L39" s="174">
        <v>1</v>
      </c>
      <c r="M39" s="31"/>
      <c r="N39" s="31"/>
      <c r="O39" s="142"/>
      <c r="P39" s="31"/>
      <c r="Q39" s="34"/>
      <c r="R39" s="5"/>
    </row>
    <row r="40" spans="1:18" ht="15.6" x14ac:dyDescent="0.3">
      <c r="A40" s="28"/>
      <c r="B40" s="122" t="s">
        <v>155</v>
      </c>
      <c r="C40" s="126"/>
      <c r="D40" s="174">
        <v>0.45386490000000002</v>
      </c>
      <c r="E40" s="174"/>
      <c r="F40" s="174">
        <v>0.4537524</v>
      </c>
      <c r="G40" s="174"/>
      <c r="H40" s="174">
        <v>0.45388990000000001</v>
      </c>
      <c r="I40" s="174"/>
      <c r="J40" s="174">
        <v>1</v>
      </c>
      <c r="K40" s="174"/>
      <c r="L40" s="174">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2.8856300000000001E-2</v>
      </c>
      <c r="E42" s="39"/>
      <c r="F42" s="38">
        <v>6.0499999999999998E-2</v>
      </c>
      <c r="G42" s="39"/>
      <c r="H42" s="38">
        <v>5.0659999999999997E-2</v>
      </c>
      <c r="I42" s="39"/>
      <c r="J42" s="38">
        <v>3.4256300000000003E-2</v>
      </c>
      <c r="K42" s="39"/>
      <c r="L42" s="38">
        <v>5.6059999999999999E-2</v>
      </c>
      <c r="M42" s="39"/>
      <c r="N42" s="38"/>
      <c r="O42" s="141"/>
      <c r="P42" s="39"/>
      <c r="Q42" s="25"/>
      <c r="R42" s="5"/>
    </row>
    <row r="43" spans="1:18" ht="15.6" x14ac:dyDescent="0.3">
      <c r="A43" s="24"/>
      <c r="B43" s="25" t="s">
        <v>14</v>
      </c>
      <c r="C43" s="25"/>
      <c r="D43" s="38">
        <v>3.2750000000000001E-2</v>
      </c>
      <c r="E43" s="39"/>
      <c r="F43" s="38">
        <v>5.8612499999999998E-2</v>
      </c>
      <c r="G43" s="39"/>
      <c r="H43" s="38">
        <v>4.5499999999999999E-2</v>
      </c>
      <c r="I43" s="39"/>
      <c r="J43" s="38">
        <v>3.8150000000000003E-2</v>
      </c>
      <c r="K43" s="39"/>
      <c r="L43" s="38">
        <v>5.0900000000000001E-2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6.1445E-2</v>
      </c>
      <c r="E45" s="39"/>
      <c r="F45" s="38">
        <f>+F42</f>
        <v>6.0499999999999998E-2</v>
      </c>
      <c r="G45" s="39"/>
      <c r="H45" s="38">
        <v>6.1324999999999998E-2</v>
      </c>
      <c r="I45" s="39"/>
      <c r="J45" s="38">
        <v>6.7574999999999996E-2</v>
      </c>
      <c r="K45" s="39"/>
      <c r="L45" s="38">
        <v>6.7574999999999996E-2</v>
      </c>
      <c r="M45" s="39"/>
      <c r="N45" s="38"/>
      <c r="O45" s="141"/>
      <c r="P45" s="39">
        <f>SUMPRODUCT(D45:L45,D37:L37)/P37</f>
        <v>6.2406666516284098E-2</v>
      </c>
      <c r="Q45" s="25"/>
      <c r="R45" s="5"/>
    </row>
    <row r="46" spans="1:18" ht="15.6" x14ac:dyDescent="0.3">
      <c r="A46" s="24"/>
      <c r="B46" s="25" t="s">
        <v>283</v>
      </c>
      <c r="C46" s="25"/>
      <c r="D46" s="38">
        <v>5.9557499999999999E-2</v>
      </c>
      <c r="E46" s="39"/>
      <c r="F46" s="38">
        <f>+F43</f>
        <v>5.8612499999999998E-2</v>
      </c>
      <c r="G46" s="39"/>
      <c r="H46" s="38">
        <v>5.9437499999999997E-2</v>
      </c>
      <c r="I46" s="39"/>
      <c r="J46" s="38">
        <v>6.5687499999999996E-2</v>
      </c>
      <c r="K46" s="39"/>
      <c r="L46" s="38">
        <v>6.5687499999999996E-2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0.25369278133572959</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39675</v>
      </c>
      <c r="Q57" s="25"/>
      <c r="R57" s="5"/>
    </row>
    <row r="58" spans="1:18" ht="15.6" x14ac:dyDescent="0.3">
      <c r="A58" s="24"/>
      <c r="B58" s="25" t="s">
        <v>142</v>
      </c>
      <c r="C58" s="25"/>
      <c r="D58" s="25"/>
      <c r="E58" s="25"/>
      <c r="F58" s="58"/>
      <c r="G58" s="58"/>
      <c r="H58" s="58"/>
      <c r="I58" s="58"/>
      <c r="J58" s="58"/>
      <c r="K58" s="58"/>
      <c r="L58" s="25">
        <f>+P58-N58+1</f>
        <v>90</v>
      </c>
      <c r="M58" s="58"/>
      <c r="N58" s="45">
        <v>39493</v>
      </c>
      <c r="O58" s="46"/>
      <c r="P58" s="45">
        <v>39582</v>
      </c>
      <c r="Q58" s="25"/>
      <c r="R58" s="5"/>
    </row>
    <row r="59" spans="1:18" ht="15.6" x14ac:dyDescent="0.3">
      <c r="A59" s="24"/>
      <c r="B59" s="25" t="s">
        <v>143</v>
      </c>
      <c r="C59" s="25"/>
      <c r="D59" s="25"/>
      <c r="E59" s="25"/>
      <c r="F59" s="25"/>
      <c r="G59" s="25"/>
      <c r="H59" s="25"/>
      <c r="I59" s="25"/>
      <c r="J59" s="25"/>
      <c r="K59" s="25"/>
      <c r="L59" s="25">
        <f>+P59-N59+1</f>
        <v>92</v>
      </c>
      <c r="M59" s="25"/>
      <c r="N59" s="45">
        <v>39583</v>
      </c>
      <c r="O59" s="46"/>
      <c r="P59" s="45">
        <v>39674</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39661</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270</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458068</v>
      </c>
      <c r="I70" s="34"/>
      <c r="J70" s="34">
        <f>12078+2824+45</f>
        <v>14947</v>
      </c>
      <c r="K70" s="34"/>
      <c r="L70" s="34">
        <f>2824+45</f>
        <v>2869</v>
      </c>
      <c r="M70" s="34"/>
      <c r="N70" s="34">
        <v>0</v>
      </c>
      <c r="O70" s="34"/>
      <c r="P70" s="53">
        <f>+H70-J70+L70-N70</f>
        <v>445990</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458068</v>
      </c>
      <c r="I73" s="34"/>
      <c r="J73" s="34">
        <f>SUM(J70:J72)</f>
        <v>14947</v>
      </c>
      <c r="K73" s="34"/>
      <c r="L73" s="34">
        <f>SUM(L70:L72)</f>
        <v>2869</v>
      </c>
      <c r="M73" s="34"/>
      <c r="N73" s="34">
        <f>SUM(N70:N72)</f>
        <v>0</v>
      </c>
      <c r="O73" s="34"/>
      <c r="P73" s="54">
        <f>SUM(P70:P72)</f>
        <v>445990</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458068</v>
      </c>
      <c r="I86" s="34"/>
      <c r="J86" s="34"/>
      <c r="K86" s="34"/>
      <c r="L86" s="34"/>
      <c r="M86" s="34"/>
      <c r="N86" s="54"/>
      <c r="O86" s="34"/>
      <c r="P86" s="54">
        <f>SUM(P73:P85)</f>
        <v>445990</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39660</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f>14947-65</f>
        <v>14882</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8097+348-1280-77</f>
        <v>7088</v>
      </c>
      <c r="Q92" s="25"/>
      <c r="R92" s="5"/>
    </row>
    <row r="93" spans="1:18" ht="15.6" x14ac:dyDescent="0.3">
      <c r="A93" s="24"/>
      <c r="B93" s="25" t="s">
        <v>249</v>
      </c>
      <c r="C93" s="25"/>
      <c r="D93" s="25"/>
      <c r="E93" s="25"/>
      <c r="F93" s="40"/>
      <c r="G93" s="57"/>
      <c r="H93" s="127"/>
      <c r="I93" s="25"/>
      <c r="J93" s="25"/>
      <c r="K93" s="25"/>
      <c r="L93" s="25"/>
      <c r="M93" s="25"/>
      <c r="N93" s="34"/>
      <c r="O93" s="25"/>
      <c r="P93" s="53">
        <f>280+6</f>
        <v>286</v>
      </c>
      <c r="Q93" s="25"/>
      <c r="R93" s="5"/>
    </row>
    <row r="94" spans="1:18" ht="15.6" x14ac:dyDescent="0.3">
      <c r="A94" s="24"/>
      <c r="B94" s="25" t="s">
        <v>250</v>
      </c>
      <c r="C94" s="25"/>
      <c r="D94" s="25"/>
      <c r="E94" s="25"/>
      <c r="F94" s="40"/>
      <c r="G94" s="57"/>
      <c r="H94" s="127"/>
      <c r="I94" s="25"/>
      <c r="J94" s="25"/>
      <c r="K94" s="25"/>
      <c r="L94" s="25"/>
      <c r="M94" s="25"/>
      <c r="N94" s="34"/>
      <c r="O94" s="25"/>
      <c r="P94" s="53">
        <v>430</v>
      </c>
      <c r="Q94" s="25"/>
      <c r="R94" s="5"/>
    </row>
    <row r="95" spans="1:18" ht="15.6" x14ac:dyDescent="0.3">
      <c r="A95" s="24"/>
      <c r="B95" s="25" t="s">
        <v>259</v>
      </c>
      <c r="C95" s="25"/>
      <c r="D95" s="25"/>
      <c r="E95" s="25"/>
      <c r="F95" s="40"/>
      <c r="G95" s="57"/>
      <c r="H95" s="127"/>
      <c r="I95" s="25"/>
      <c r="J95" s="25"/>
      <c r="K95" s="25"/>
      <c r="L95" s="25"/>
      <c r="M95" s="25"/>
      <c r="N95" s="34"/>
      <c r="O95" s="25"/>
      <c r="P95" s="53">
        <v>265</v>
      </c>
      <c r="Q95" s="25"/>
      <c r="R95" s="5"/>
    </row>
    <row r="96" spans="1:18" ht="15.6" x14ac:dyDescent="0.3">
      <c r="A96" s="24"/>
      <c r="B96" s="25" t="s">
        <v>160</v>
      </c>
      <c r="C96" s="25"/>
      <c r="D96" s="25"/>
      <c r="E96" s="25"/>
      <c r="F96" s="25"/>
      <c r="G96" s="25"/>
      <c r="H96" s="25"/>
      <c r="I96" s="25"/>
      <c r="J96" s="25"/>
      <c r="K96" s="25"/>
      <c r="L96" s="25"/>
      <c r="M96" s="25"/>
      <c r="N96" s="34"/>
      <c r="O96" s="25"/>
      <c r="P96" s="53">
        <v>0</v>
      </c>
      <c r="Q96" s="25"/>
      <c r="R96" s="5"/>
    </row>
    <row r="97" spans="1:19" ht="15.6" x14ac:dyDescent="0.3">
      <c r="A97" s="24"/>
      <c r="B97" s="25" t="s">
        <v>192</v>
      </c>
      <c r="C97" s="25"/>
      <c r="D97" s="25"/>
      <c r="E97" s="25"/>
      <c r="F97" s="25"/>
      <c r="G97" s="25"/>
      <c r="H97" s="25"/>
      <c r="I97" s="25"/>
      <c r="J97" s="25"/>
      <c r="K97" s="25"/>
      <c r="L97" s="25"/>
      <c r="M97" s="25"/>
      <c r="N97" s="34"/>
      <c r="O97" s="25"/>
      <c r="P97" s="53">
        <v>381</v>
      </c>
      <c r="Q97" s="25"/>
      <c r="R97" s="5"/>
    </row>
    <row r="98" spans="1:19" ht="15.6" x14ac:dyDescent="0.3">
      <c r="A98" s="24"/>
      <c r="B98" s="25" t="s">
        <v>35</v>
      </c>
      <c r="C98" s="25"/>
      <c r="D98" s="25"/>
      <c r="E98" s="25"/>
      <c r="F98" s="25"/>
      <c r="G98" s="25"/>
      <c r="H98" s="25"/>
      <c r="I98" s="25"/>
      <c r="J98" s="25"/>
      <c r="K98" s="25"/>
      <c r="L98" s="25"/>
      <c r="M98" s="25"/>
      <c r="N98" s="34">
        <f>SUM(N90:N97)</f>
        <v>14882</v>
      </c>
      <c r="O98" s="25"/>
      <c r="P98" s="54">
        <f>SUM(P90:P97)</f>
        <v>8450</v>
      </c>
      <c r="Q98" s="25"/>
      <c r="R98" s="5"/>
    </row>
    <row r="99" spans="1:19" ht="15.6" x14ac:dyDescent="0.3">
      <c r="A99" s="24"/>
      <c r="B99" s="25" t="s">
        <v>237</v>
      </c>
      <c r="C99" s="25"/>
      <c r="D99" s="25"/>
      <c r="E99" s="25"/>
      <c r="F99" s="25"/>
      <c r="G99" s="25"/>
      <c r="H99" s="25"/>
      <c r="I99" s="25"/>
      <c r="J99" s="25"/>
      <c r="K99" s="25"/>
      <c r="L99" s="25"/>
      <c r="M99" s="25"/>
      <c r="N99" s="34">
        <v>-6</v>
      </c>
      <c r="O99" s="25"/>
      <c r="P99" s="54">
        <f>-N99</f>
        <v>6</v>
      </c>
      <c r="Q99" s="25"/>
      <c r="R99" s="5"/>
    </row>
    <row r="100" spans="1:19" ht="15.6" x14ac:dyDescent="0.3">
      <c r="A100" s="24"/>
      <c r="B100" s="25" t="s">
        <v>36</v>
      </c>
      <c r="C100" s="25"/>
      <c r="D100" s="25"/>
      <c r="E100" s="25"/>
      <c r="F100" s="25"/>
      <c r="G100" s="25"/>
      <c r="H100" s="25"/>
      <c r="I100" s="25"/>
      <c r="J100" s="25"/>
      <c r="K100" s="25"/>
      <c r="L100" s="25"/>
      <c r="M100" s="25"/>
      <c r="N100" s="34">
        <f>-P100</f>
        <v>0</v>
      </c>
      <c r="O100" s="25"/>
      <c r="P100" s="53">
        <v>0</v>
      </c>
      <c r="Q100" s="25"/>
      <c r="R100" s="5"/>
    </row>
    <row r="101" spans="1:19" ht="15.6" x14ac:dyDescent="0.3">
      <c r="A101" s="24"/>
      <c r="B101" s="25" t="s">
        <v>268</v>
      </c>
      <c r="C101" s="25"/>
      <c r="D101" s="25"/>
      <c r="E101" s="25"/>
      <c r="F101" s="25"/>
      <c r="G101" s="25"/>
      <c r="H101" s="25"/>
      <c r="I101" s="25"/>
      <c r="J101" s="25"/>
      <c r="K101" s="25"/>
      <c r="L101" s="25"/>
      <c r="M101" s="25"/>
      <c r="N101" s="34"/>
      <c r="O101" s="25"/>
      <c r="P101" s="53">
        <v>51</v>
      </c>
      <c r="Q101" s="25"/>
      <c r="R101" s="5"/>
    </row>
    <row r="102" spans="1:19" ht="15.6" x14ac:dyDescent="0.3">
      <c r="A102" s="24"/>
      <c r="B102" s="25" t="s">
        <v>37</v>
      </c>
      <c r="C102" s="25"/>
      <c r="D102" s="25"/>
      <c r="E102" s="25"/>
      <c r="F102" s="25"/>
      <c r="G102" s="25"/>
      <c r="H102" s="25"/>
      <c r="I102" s="25"/>
      <c r="J102" s="25"/>
      <c r="K102" s="25"/>
      <c r="L102" s="25"/>
      <c r="M102" s="25"/>
      <c r="N102" s="34">
        <f>N98+N100+N99</f>
        <v>14876</v>
      </c>
      <c r="O102" s="25"/>
      <c r="P102" s="54">
        <f>P98+P100+P99+P101</f>
        <v>8507</v>
      </c>
      <c r="Q102" s="25"/>
      <c r="R102" s="5"/>
      <c r="S102" s="154"/>
    </row>
    <row r="103" spans="1:19" ht="15.6" x14ac:dyDescent="0.3">
      <c r="A103" s="24"/>
      <c r="B103" s="118" t="s">
        <v>38</v>
      </c>
      <c r="C103" s="25"/>
      <c r="D103" s="25"/>
      <c r="E103" s="25"/>
      <c r="F103" s="25"/>
      <c r="G103" s="25"/>
      <c r="H103" s="25"/>
      <c r="I103" s="25"/>
      <c r="J103" s="25"/>
      <c r="K103" s="25"/>
      <c r="L103" s="25"/>
      <c r="M103" s="25"/>
      <c r="N103" s="34"/>
      <c r="O103" s="25"/>
      <c r="P103" s="53"/>
      <c r="Q103" s="25"/>
      <c r="R103" s="5"/>
    </row>
    <row r="104" spans="1:19" ht="15.6" x14ac:dyDescent="0.3">
      <c r="A104" s="24">
        <v>1</v>
      </c>
      <c r="B104" s="25" t="s">
        <v>39</v>
      </c>
      <c r="C104" s="25"/>
      <c r="D104" s="25"/>
      <c r="E104" s="25"/>
      <c r="F104" s="25"/>
      <c r="G104" s="25"/>
      <c r="H104" s="25"/>
      <c r="I104" s="25"/>
      <c r="J104" s="25"/>
      <c r="K104" s="25"/>
      <c r="L104" s="25"/>
      <c r="M104" s="25"/>
      <c r="N104" s="25"/>
      <c r="O104" s="25"/>
      <c r="P104" s="53">
        <v>0</v>
      </c>
      <c r="Q104" s="25"/>
      <c r="R104" s="5"/>
    </row>
    <row r="105" spans="1:19" ht="15.6" x14ac:dyDescent="0.3">
      <c r="A105" s="24">
        <f>+A104+1</f>
        <v>2</v>
      </c>
      <c r="B105" s="25" t="s">
        <v>40</v>
      </c>
      <c r="C105" s="25"/>
      <c r="D105" s="25"/>
      <c r="E105" s="25"/>
      <c r="F105" s="25"/>
      <c r="G105" s="25"/>
      <c r="H105" s="25"/>
      <c r="I105" s="25"/>
      <c r="J105" s="25"/>
      <c r="K105" s="25"/>
      <c r="L105" s="25"/>
      <c r="M105" s="25"/>
      <c r="N105" s="25"/>
      <c r="O105" s="25"/>
      <c r="P105" s="53">
        <v>-2</v>
      </c>
      <c r="Q105" s="25"/>
      <c r="R105" s="5"/>
    </row>
    <row r="106" spans="1:19" ht="15.6" x14ac:dyDescent="0.3">
      <c r="A106" s="24">
        <f>+A105+1</f>
        <v>3</v>
      </c>
      <c r="B106" s="25" t="s">
        <v>226</v>
      </c>
      <c r="C106" s="25"/>
      <c r="D106" s="25"/>
      <c r="E106" s="25"/>
      <c r="F106" s="25"/>
      <c r="G106" s="25"/>
      <c r="H106" s="25"/>
      <c r="I106" s="25"/>
      <c r="J106" s="25"/>
      <c r="K106" s="25"/>
      <c r="L106" s="25"/>
      <c r="M106" s="25"/>
      <c r="N106" s="25"/>
      <c r="O106" s="25"/>
      <c r="P106" s="53">
        <f>-114-54-5</f>
        <v>-173</v>
      </c>
      <c r="Q106" s="25"/>
      <c r="R106" s="5"/>
    </row>
    <row r="107" spans="1:19" ht="15.6" x14ac:dyDescent="0.3">
      <c r="A107" s="24" t="s">
        <v>151</v>
      </c>
      <c r="B107" s="25" t="s">
        <v>131</v>
      </c>
      <c r="C107" s="25"/>
      <c r="D107" s="25"/>
      <c r="E107" s="25"/>
      <c r="F107" s="25"/>
      <c r="G107" s="25"/>
      <c r="H107" s="25"/>
      <c r="I107" s="25"/>
      <c r="J107" s="25"/>
      <c r="K107" s="25"/>
      <c r="L107" s="25"/>
      <c r="M107" s="25"/>
      <c r="N107" s="25"/>
      <c r="O107" s="25"/>
      <c r="P107" s="53">
        <v>0</v>
      </c>
      <c r="Q107" s="25"/>
      <c r="R107" s="5"/>
    </row>
    <row r="108" spans="1:19" ht="15.6" x14ac:dyDescent="0.3">
      <c r="A108" s="24" t="s">
        <v>152</v>
      </c>
      <c r="B108" s="25" t="s">
        <v>195</v>
      </c>
      <c r="C108" s="25"/>
      <c r="D108" s="25"/>
      <c r="E108" s="25"/>
      <c r="F108" s="25"/>
      <c r="G108" s="25"/>
      <c r="H108" s="25"/>
      <c r="I108" s="25"/>
      <c r="J108" s="25"/>
      <c r="K108" s="25"/>
      <c r="L108" s="25"/>
      <c r="M108" s="25"/>
      <c r="N108" s="25"/>
      <c r="O108" s="25"/>
      <c r="P108" s="53">
        <v>-1778</v>
      </c>
      <c r="Q108" s="25"/>
      <c r="R108" s="5"/>
      <c r="S108" s="109"/>
    </row>
    <row r="109" spans="1:19" ht="15.6" x14ac:dyDescent="0.3">
      <c r="A109" s="24" t="s">
        <v>217</v>
      </c>
      <c r="B109" s="25" t="s">
        <v>196</v>
      </c>
      <c r="C109" s="25"/>
      <c r="D109" s="25"/>
      <c r="E109" s="25"/>
      <c r="F109" s="25"/>
      <c r="G109" s="25"/>
      <c r="H109" s="25"/>
      <c r="I109" s="25"/>
      <c r="J109" s="25"/>
      <c r="K109" s="25"/>
      <c r="L109" s="25"/>
      <c r="M109" s="25"/>
      <c r="N109" s="25"/>
      <c r="O109" s="25"/>
      <c r="P109" s="53">
        <v>-1518</v>
      </c>
      <c r="Q109" s="25"/>
      <c r="R109" s="5"/>
      <c r="S109" s="109"/>
    </row>
    <row r="110" spans="1:19" ht="15.6" x14ac:dyDescent="0.3">
      <c r="A110" s="24" t="s">
        <v>218</v>
      </c>
      <c r="B110" s="25" t="s">
        <v>197</v>
      </c>
      <c r="C110" s="25"/>
      <c r="D110" s="25"/>
      <c r="E110" s="25"/>
      <c r="F110" s="25"/>
      <c r="G110" s="25"/>
      <c r="H110" s="25"/>
      <c r="I110" s="25"/>
      <c r="J110" s="25"/>
      <c r="K110" s="25"/>
      <c r="L110" s="25"/>
      <c r="M110" s="25"/>
      <c r="N110" s="25"/>
      <c r="O110" s="25"/>
      <c r="P110" s="53">
        <v>-2368</v>
      </c>
      <c r="Q110" s="25"/>
      <c r="R110" s="5"/>
      <c r="S110" s="109"/>
    </row>
    <row r="111" spans="1:19" ht="15.6" x14ac:dyDescent="0.3">
      <c r="A111" s="24" t="s">
        <v>147</v>
      </c>
      <c r="B111" s="25" t="s">
        <v>146</v>
      </c>
      <c r="C111" s="25"/>
      <c r="D111" s="25"/>
      <c r="E111" s="25"/>
      <c r="F111" s="25"/>
      <c r="G111" s="25"/>
      <c r="H111" s="25"/>
      <c r="I111" s="25"/>
      <c r="J111" s="25"/>
      <c r="K111" s="25"/>
      <c r="L111" s="25"/>
      <c r="M111" s="25"/>
      <c r="N111" s="25"/>
      <c r="O111" s="25"/>
      <c r="P111" s="53">
        <v>-790</v>
      </c>
      <c r="Q111" s="25"/>
      <c r="R111" s="5"/>
      <c r="S111" s="109"/>
    </row>
    <row r="112" spans="1:19" ht="15.6" x14ac:dyDescent="0.3">
      <c r="A112" s="24" t="s">
        <v>148</v>
      </c>
      <c r="B112" s="25" t="s">
        <v>198</v>
      </c>
      <c r="C112" s="25"/>
      <c r="D112" s="25"/>
      <c r="E112" s="25"/>
      <c r="F112" s="25"/>
      <c r="G112" s="25"/>
      <c r="H112" s="25"/>
      <c r="I112" s="25"/>
      <c r="J112" s="25"/>
      <c r="K112" s="25"/>
      <c r="L112" s="25"/>
      <c r="M112" s="25"/>
      <c r="N112" s="25"/>
      <c r="O112" s="25"/>
      <c r="P112" s="53">
        <v>-747</v>
      </c>
      <c r="Q112" s="25"/>
      <c r="R112" s="5"/>
      <c r="S112" s="109"/>
    </row>
    <row r="113" spans="1:18" ht="15.6" x14ac:dyDescent="0.3">
      <c r="A113" s="24">
        <v>6</v>
      </c>
      <c r="B113" s="25" t="s">
        <v>41</v>
      </c>
      <c r="C113" s="25"/>
      <c r="D113" s="25"/>
      <c r="E113" s="25"/>
      <c r="F113" s="25"/>
      <c r="G113" s="25"/>
      <c r="H113" s="25"/>
      <c r="I113" s="25"/>
      <c r="J113" s="25"/>
      <c r="K113" s="25"/>
      <c r="L113" s="25"/>
      <c r="M113" s="25"/>
      <c r="N113" s="25"/>
      <c r="O113" s="25"/>
      <c r="P113" s="53">
        <v>-10</v>
      </c>
      <c r="Q113" s="25"/>
      <c r="R113" s="5"/>
    </row>
    <row r="114" spans="1:18" ht="15.6" x14ac:dyDescent="0.3">
      <c r="A114" s="24">
        <f t="shared" ref="A114:A119" si="0">+A113+1</f>
        <v>7</v>
      </c>
      <c r="B114" s="25" t="s">
        <v>53</v>
      </c>
      <c r="C114" s="25"/>
      <c r="D114" s="25"/>
      <c r="E114" s="25"/>
      <c r="F114" s="25"/>
      <c r="G114" s="25"/>
      <c r="H114" s="25"/>
      <c r="I114" s="25"/>
      <c r="J114" s="25"/>
      <c r="K114" s="25"/>
      <c r="L114" s="25"/>
      <c r="M114" s="25"/>
      <c r="N114" s="34">
        <f>-P114</f>
        <v>65</v>
      </c>
      <c r="O114" s="25"/>
      <c r="P114" s="53">
        <v>-65</v>
      </c>
      <c r="Q114" s="25"/>
      <c r="R114" s="5"/>
    </row>
    <row r="115" spans="1:18" ht="15.6" x14ac:dyDescent="0.3">
      <c r="A115" s="24">
        <f t="shared" si="0"/>
        <v>8</v>
      </c>
      <c r="B115" s="25" t="s">
        <v>149</v>
      </c>
      <c r="C115" s="25"/>
      <c r="D115" s="25"/>
      <c r="E115" s="25"/>
      <c r="F115" s="25"/>
      <c r="G115" s="25"/>
      <c r="H115" s="25"/>
      <c r="I115" s="25"/>
      <c r="J115" s="25"/>
      <c r="K115" s="25"/>
      <c r="L115" s="25"/>
      <c r="M115" s="25"/>
      <c r="N115" s="25"/>
      <c r="O115" s="25"/>
      <c r="P115" s="53">
        <v>0</v>
      </c>
      <c r="Q115" s="25"/>
      <c r="R115" s="5"/>
    </row>
    <row r="116" spans="1:18" ht="15.6" x14ac:dyDescent="0.3">
      <c r="A116" s="24">
        <f t="shared" si="0"/>
        <v>9</v>
      </c>
      <c r="B116" s="25" t="s">
        <v>42</v>
      </c>
      <c r="C116" s="25"/>
      <c r="D116" s="25"/>
      <c r="E116" s="25"/>
      <c r="F116" s="25"/>
      <c r="G116" s="25"/>
      <c r="H116" s="25"/>
      <c r="I116" s="25"/>
      <c r="J116" s="25"/>
      <c r="K116" s="25"/>
      <c r="L116" s="25"/>
      <c r="M116" s="25"/>
      <c r="N116" s="25"/>
      <c r="O116" s="25"/>
      <c r="P116" s="53">
        <v>0</v>
      </c>
      <c r="Q116" s="25"/>
      <c r="R116" s="5"/>
    </row>
    <row r="117" spans="1:18" ht="15.6" x14ac:dyDescent="0.3">
      <c r="A117" s="24">
        <f t="shared" si="0"/>
        <v>10</v>
      </c>
      <c r="B117" s="25" t="s">
        <v>43</v>
      </c>
      <c r="C117" s="25"/>
      <c r="D117" s="25"/>
      <c r="E117" s="25"/>
      <c r="F117" s="25"/>
      <c r="G117" s="25"/>
      <c r="H117" s="25"/>
      <c r="I117" s="25"/>
      <c r="J117" s="25"/>
      <c r="K117" s="25"/>
      <c r="L117" s="25"/>
      <c r="M117" s="25"/>
      <c r="N117" s="25"/>
      <c r="O117" s="25"/>
      <c r="P117" s="53">
        <v>0</v>
      </c>
      <c r="Q117" s="25"/>
      <c r="R117" s="5"/>
    </row>
    <row r="118" spans="1:18" ht="15.6" x14ac:dyDescent="0.3">
      <c r="A118" s="24">
        <f t="shared" si="0"/>
        <v>11</v>
      </c>
      <c r="B118" s="25" t="s">
        <v>215</v>
      </c>
      <c r="C118" s="25"/>
      <c r="D118" s="25"/>
      <c r="E118" s="25"/>
      <c r="F118" s="25"/>
      <c r="G118" s="25"/>
      <c r="H118" s="25"/>
      <c r="I118" s="25"/>
      <c r="J118" s="25"/>
      <c r="K118" s="25"/>
      <c r="L118" s="25"/>
      <c r="M118" s="25"/>
      <c r="N118" s="25"/>
      <c r="O118" s="25"/>
      <c r="P118" s="53">
        <v>-232</v>
      </c>
      <c r="Q118" s="25"/>
      <c r="R118" s="5"/>
    </row>
    <row r="119" spans="1:18" ht="15.6" x14ac:dyDescent="0.3">
      <c r="A119" s="24">
        <f t="shared" si="0"/>
        <v>12</v>
      </c>
      <c r="B119" s="25" t="s">
        <v>150</v>
      </c>
      <c r="C119" s="25"/>
      <c r="D119" s="25"/>
      <c r="E119" s="25"/>
      <c r="F119" s="25"/>
      <c r="G119" s="25"/>
      <c r="H119" s="25"/>
      <c r="I119" s="25"/>
      <c r="J119" s="25"/>
      <c r="K119" s="25"/>
      <c r="L119" s="25"/>
      <c r="M119" s="25"/>
      <c r="N119" s="25"/>
      <c r="O119" s="25"/>
      <c r="P119" s="53">
        <f>-P102-SUM(P104:P118)</f>
        <v>-824</v>
      </c>
      <c r="Q119" s="25"/>
      <c r="R119" s="5"/>
    </row>
    <row r="120" spans="1:18" ht="15.6" x14ac:dyDescent="0.3">
      <c r="A120" s="24"/>
      <c r="B120" s="118" t="s">
        <v>44</v>
      </c>
      <c r="C120" s="25"/>
      <c r="D120" s="25"/>
      <c r="E120" s="25"/>
      <c r="F120" s="25"/>
      <c r="G120" s="25"/>
      <c r="H120" s="25"/>
      <c r="I120" s="25"/>
      <c r="J120" s="25"/>
      <c r="K120" s="25"/>
      <c r="L120" s="25"/>
      <c r="M120" s="25"/>
      <c r="N120" s="25"/>
      <c r="O120" s="25"/>
      <c r="P120" s="59"/>
      <c r="Q120" s="25"/>
      <c r="R120" s="5"/>
    </row>
    <row r="121" spans="1:18" ht="15.6" x14ac:dyDescent="0.3">
      <c r="A121" s="24"/>
      <c r="B121" s="25" t="s">
        <v>45</v>
      </c>
      <c r="C121" s="25"/>
      <c r="D121" s="25"/>
      <c r="E121" s="25"/>
      <c r="F121" s="25"/>
      <c r="G121" s="25"/>
      <c r="H121" s="25"/>
      <c r="I121" s="25"/>
      <c r="J121" s="25"/>
      <c r="K121" s="25"/>
      <c r="L121" s="25"/>
      <c r="M121" s="25"/>
      <c r="N121" s="34">
        <v>-40</v>
      </c>
      <c r="O121" s="34"/>
      <c r="P121" s="53"/>
      <c r="Q121" s="25"/>
      <c r="R121" s="5"/>
    </row>
    <row r="122" spans="1:18" ht="15.6" x14ac:dyDescent="0.3">
      <c r="A122" s="24"/>
      <c r="B122" s="25" t="s">
        <v>46</v>
      </c>
      <c r="C122" s="25"/>
      <c r="D122" s="25"/>
      <c r="E122" s="25"/>
      <c r="F122" s="25"/>
      <c r="G122" s="25"/>
      <c r="H122" s="25"/>
      <c r="I122" s="25"/>
      <c r="J122" s="25"/>
      <c r="K122" s="25"/>
      <c r="L122" s="25"/>
      <c r="M122" s="25"/>
      <c r="N122" s="34">
        <f>-M169</f>
        <v>-2823</v>
      </c>
      <c r="O122" s="34"/>
      <c r="P122" s="53"/>
      <c r="Q122" s="25"/>
      <c r="R122" s="5"/>
    </row>
    <row r="123" spans="1:18" ht="15.6" x14ac:dyDescent="0.3">
      <c r="A123" s="24"/>
      <c r="B123" s="25" t="s">
        <v>199</v>
      </c>
      <c r="C123" s="25"/>
      <c r="D123" s="25"/>
      <c r="E123" s="25"/>
      <c r="F123" s="25"/>
      <c r="G123" s="25"/>
      <c r="H123" s="25"/>
      <c r="I123" s="25"/>
      <c r="J123" s="25"/>
      <c r="K123" s="25"/>
      <c r="L123" s="25"/>
      <c r="M123" s="25"/>
      <c r="N123" s="34">
        <v>-3770</v>
      </c>
      <c r="O123" s="34"/>
      <c r="P123" s="53"/>
      <c r="Q123" s="25"/>
      <c r="R123" s="5"/>
    </row>
    <row r="124" spans="1:18" ht="15.6" x14ac:dyDescent="0.3">
      <c r="A124" s="24"/>
      <c r="B124" s="25" t="s">
        <v>200</v>
      </c>
      <c r="C124" s="25"/>
      <c r="D124" s="25"/>
      <c r="E124" s="25"/>
      <c r="F124" s="25"/>
      <c r="G124" s="25"/>
      <c r="H124" s="25"/>
      <c r="I124" s="25"/>
      <c r="J124" s="25"/>
      <c r="K124" s="25"/>
      <c r="L124" s="25"/>
      <c r="M124" s="25"/>
      <c r="N124" s="34">
        <v>-3279</v>
      </c>
      <c r="O124" s="34"/>
      <c r="P124" s="53"/>
      <c r="Q124" s="25"/>
      <c r="R124" s="5"/>
    </row>
    <row r="125" spans="1:18" ht="15.6" x14ac:dyDescent="0.3">
      <c r="A125" s="24"/>
      <c r="B125" s="25" t="s">
        <v>201</v>
      </c>
      <c r="C125" s="25"/>
      <c r="D125" s="25"/>
      <c r="E125" s="25"/>
      <c r="F125" s="25"/>
      <c r="G125" s="25"/>
      <c r="H125" s="25"/>
      <c r="I125" s="25"/>
      <c r="J125" s="25"/>
      <c r="K125" s="25"/>
      <c r="L125" s="25"/>
      <c r="M125" s="25"/>
      <c r="N125" s="34">
        <v>-5029</v>
      </c>
      <c r="O125" s="34"/>
      <c r="P125" s="53"/>
      <c r="Q125" s="25"/>
      <c r="R125" s="5"/>
    </row>
    <row r="126" spans="1:18" ht="15.6" x14ac:dyDescent="0.3">
      <c r="A126" s="24"/>
      <c r="B126" s="25" t="s">
        <v>159</v>
      </c>
      <c r="C126" s="25"/>
      <c r="D126" s="25"/>
      <c r="E126" s="25"/>
      <c r="F126" s="25"/>
      <c r="G126" s="25"/>
      <c r="H126" s="25"/>
      <c r="I126" s="25"/>
      <c r="J126" s="25"/>
      <c r="K126" s="25"/>
      <c r="L126" s="25"/>
      <c r="M126" s="25"/>
      <c r="N126" s="34">
        <v>0</v>
      </c>
      <c r="O126" s="34"/>
      <c r="P126" s="53"/>
      <c r="Q126" s="25"/>
      <c r="R126" s="5"/>
    </row>
    <row r="127" spans="1:18" ht="15.6" x14ac:dyDescent="0.3">
      <c r="A127" s="24"/>
      <c r="B127" s="25" t="s">
        <v>214</v>
      </c>
      <c r="C127" s="25"/>
      <c r="D127" s="25"/>
      <c r="E127" s="25"/>
      <c r="F127" s="25"/>
      <c r="G127" s="25"/>
      <c r="H127" s="25"/>
      <c r="I127" s="25"/>
      <c r="J127" s="25"/>
      <c r="K127" s="25"/>
      <c r="L127" s="25"/>
      <c r="M127" s="25"/>
      <c r="N127" s="34">
        <v>0</v>
      </c>
      <c r="O127" s="34"/>
      <c r="P127" s="53"/>
      <c r="Q127" s="25"/>
      <c r="R127" s="5"/>
    </row>
    <row r="128" spans="1:18" ht="15.6" x14ac:dyDescent="0.3">
      <c r="A128" s="24"/>
      <c r="B128" s="25" t="s">
        <v>47</v>
      </c>
      <c r="C128" s="25"/>
      <c r="D128" s="25"/>
      <c r="E128" s="25"/>
      <c r="F128" s="25"/>
      <c r="G128" s="25"/>
      <c r="H128" s="25"/>
      <c r="I128" s="25"/>
      <c r="J128" s="25"/>
      <c r="K128" s="25"/>
      <c r="L128" s="25"/>
      <c r="M128" s="25"/>
      <c r="N128" s="34">
        <f>SUM(N121:N127)</f>
        <v>-14941</v>
      </c>
      <c r="O128" s="34"/>
      <c r="P128" s="34">
        <f>SUM(P103:P127)</f>
        <v>-8507</v>
      </c>
      <c r="Q128" s="25"/>
      <c r="R128" s="5"/>
    </row>
    <row r="129" spans="1:19" ht="15.6" x14ac:dyDescent="0.3">
      <c r="A129" s="24"/>
      <c r="B129" s="25" t="s">
        <v>48</v>
      </c>
      <c r="C129" s="25"/>
      <c r="D129" s="25"/>
      <c r="E129" s="25"/>
      <c r="F129" s="25"/>
      <c r="G129" s="25"/>
      <c r="H129" s="25"/>
      <c r="I129" s="25"/>
      <c r="J129" s="25"/>
      <c r="K129" s="25"/>
      <c r="L129" s="25"/>
      <c r="M129" s="25"/>
      <c r="N129" s="34">
        <f>N102+N128+N114</f>
        <v>0</v>
      </c>
      <c r="O129" s="34"/>
      <c r="P129" s="34">
        <f>P102+P128</f>
        <v>0</v>
      </c>
      <c r="Q129" s="25"/>
      <c r="R129" s="5"/>
    </row>
    <row r="130" spans="1:19" ht="15.6" x14ac:dyDescent="0.3">
      <c r="A130" s="24"/>
      <c r="B130" s="25"/>
      <c r="C130" s="25"/>
      <c r="D130" s="25"/>
      <c r="E130" s="25"/>
      <c r="F130" s="25"/>
      <c r="G130" s="25"/>
      <c r="H130" s="25"/>
      <c r="I130" s="25"/>
      <c r="J130" s="25"/>
      <c r="K130" s="25"/>
      <c r="L130" s="25"/>
      <c r="M130" s="25"/>
      <c r="N130" s="34"/>
      <c r="O130" s="34"/>
      <c r="P130" s="34"/>
      <c r="Q130" s="25"/>
      <c r="R130" s="5"/>
    </row>
    <row r="131" spans="1:19" ht="15.6" x14ac:dyDescent="0.3">
      <c r="A131" s="6"/>
      <c r="B131" s="146"/>
      <c r="C131" s="146"/>
      <c r="D131" s="146"/>
      <c r="E131" s="146"/>
      <c r="F131" s="146"/>
      <c r="G131" s="146"/>
      <c r="H131" s="146"/>
      <c r="I131" s="146"/>
      <c r="J131" s="146"/>
      <c r="K131" s="146"/>
      <c r="L131" s="146"/>
      <c r="M131" s="146"/>
      <c r="N131" s="147"/>
      <c r="O131" s="147"/>
      <c r="P131" s="147"/>
      <c r="Q131" s="146"/>
      <c r="R131" s="5"/>
    </row>
    <row r="132" spans="1:19" ht="18" thickBot="1" x14ac:dyDescent="0.35">
      <c r="A132" s="101"/>
      <c r="B132" s="102" t="str">
        <f>B65</f>
        <v>PM7 INVESTOR REPORT QUARTER ENDING JULY 2008</v>
      </c>
      <c r="C132" s="103"/>
      <c r="D132" s="103"/>
      <c r="E132" s="103"/>
      <c r="F132" s="103"/>
      <c r="G132" s="103"/>
      <c r="H132" s="103"/>
      <c r="I132" s="103"/>
      <c r="J132" s="103"/>
      <c r="K132" s="103"/>
      <c r="L132" s="103"/>
      <c r="M132" s="103"/>
      <c r="N132" s="103"/>
      <c r="O132" s="103"/>
      <c r="P132" s="106"/>
      <c r="Q132" s="105"/>
      <c r="R132" s="5"/>
    </row>
    <row r="133" spans="1:19" ht="15.6" x14ac:dyDescent="0.3">
      <c r="A133" s="2"/>
      <c r="B133" s="60" t="s">
        <v>49</v>
      </c>
      <c r="C133" s="4"/>
      <c r="D133" s="4"/>
      <c r="E133" s="4"/>
      <c r="F133" s="4"/>
      <c r="G133" s="4"/>
      <c r="H133" s="4"/>
      <c r="I133" s="4"/>
      <c r="J133" s="4"/>
      <c r="K133" s="4"/>
      <c r="L133" s="4"/>
      <c r="M133" s="4"/>
      <c r="N133" s="4"/>
      <c r="O133" s="4"/>
      <c r="P133" s="50"/>
      <c r="Q133" s="4"/>
      <c r="R133" s="5"/>
    </row>
    <row r="134" spans="1:19" ht="15.6" x14ac:dyDescent="0.3">
      <c r="A134" s="6"/>
      <c r="B134" s="21"/>
      <c r="C134" s="8"/>
      <c r="D134" s="8"/>
      <c r="E134" s="8"/>
      <c r="F134" s="8"/>
      <c r="G134" s="8"/>
      <c r="H134" s="8"/>
      <c r="I134" s="8"/>
      <c r="J134" s="8"/>
      <c r="K134" s="8"/>
      <c r="L134" s="8"/>
      <c r="M134" s="8"/>
      <c r="N134" s="8"/>
      <c r="O134" s="8"/>
      <c r="P134" s="52"/>
      <c r="Q134" s="8"/>
      <c r="R134" s="5"/>
    </row>
    <row r="135" spans="1:19" ht="15.6" x14ac:dyDescent="0.3">
      <c r="A135" s="6"/>
      <c r="B135" s="119" t="s">
        <v>50</v>
      </c>
      <c r="C135" s="8"/>
      <c r="D135" s="8"/>
      <c r="E135" s="8"/>
      <c r="F135" s="8"/>
      <c r="G135" s="8"/>
      <c r="H135" s="8"/>
      <c r="I135" s="8"/>
      <c r="J135" s="8"/>
      <c r="K135" s="8"/>
      <c r="L135" s="8"/>
      <c r="M135" s="8"/>
      <c r="N135" s="8"/>
      <c r="O135" s="8"/>
      <c r="P135" s="52"/>
      <c r="Q135" s="8"/>
      <c r="R135" s="5"/>
    </row>
    <row r="136" spans="1:19" ht="15.6" x14ac:dyDescent="0.3">
      <c r="A136" s="24"/>
      <c r="B136" s="25" t="s">
        <v>51</v>
      </c>
      <c r="C136" s="25"/>
      <c r="D136" s="25"/>
      <c r="E136" s="25"/>
      <c r="F136" s="25"/>
      <c r="G136" s="25"/>
      <c r="H136" s="25"/>
      <c r="I136" s="25"/>
      <c r="J136" s="25"/>
      <c r="K136" s="25"/>
      <c r="L136" s="25"/>
      <c r="M136" s="25"/>
      <c r="N136" s="25"/>
      <c r="O136" s="25"/>
      <c r="P136" s="53">
        <f>+P36*0.022</f>
        <v>19815.399999999998</v>
      </c>
      <c r="Q136" s="25"/>
      <c r="R136" s="5"/>
    </row>
    <row r="137" spans="1:19" ht="15.6" x14ac:dyDescent="0.3">
      <c r="A137" s="24"/>
      <c r="B137" s="25" t="s">
        <v>52</v>
      </c>
      <c r="C137" s="25"/>
      <c r="D137" s="25"/>
      <c r="E137" s="25"/>
      <c r="F137" s="25"/>
      <c r="G137" s="25"/>
      <c r="H137" s="25"/>
      <c r="I137" s="25"/>
      <c r="J137" s="25"/>
      <c r="K137" s="25"/>
      <c r="L137" s="25"/>
      <c r="M137" s="25"/>
      <c r="N137" s="25"/>
      <c r="O137" s="25"/>
      <c r="P137" s="53">
        <v>19815</v>
      </c>
      <c r="Q137" s="25"/>
      <c r="R137" s="5"/>
    </row>
    <row r="138" spans="1:19" ht="15.6" x14ac:dyDescent="0.3">
      <c r="A138" s="24"/>
      <c r="B138" s="25" t="s">
        <v>161</v>
      </c>
      <c r="C138" s="25"/>
      <c r="D138" s="25"/>
      <c r="E138" s="25"/>
      <c r="F138" s="25"/>
      <c r="G138" s="25"/>
      <c r="H138" s="25"/>
      <c r="I138" s="25"/>
      <c r="J138" s="25"/>
      <c r="K138" s="25"/>
      <c r="L138" s="25"/>
      <c r="M138" s="25"/>
      <c r="N138" s="25"/>
      <c r="O138" s="25"/>
      <c r="P138" s="53">
        <v>0</v>
      </c>
      <c r="Q138" s="25"/>
      <c r="R138" s="5"/>
    </row>
    <row r="139" spans="1:19" ht="15.6" x14ac:dyDescent="0.3">
      <c r="A139" s="24"/>
      <c r="B139" s="25" t="s">
        <v>144</v>
      </c>
      <c r="C139" s="25"/>
      <c r="D139" s="25"/>
      <c r="E139" s="25"/>
      <c r="F139" s="25"/>
      <c r="G139" s="25"/>
      <c r="H139" s="25"/>
      <c r="I139" s="25"/>
      <c r="J139" s="25"/>
      <c r="K139" s="25"/>
      <c r="L139" s="25"/>
      <c r="M139" s="25"/>
      <c r="N139" s="25"/>
      <c r="O139" s="25"/>
      <c r="P139" s="53">
        <v>0</v>
      </c>
      <c r="Q139" s="25"/>
      <c r="R139" s="5"/>
    </row>
    <row r="140" spans="1:19" ht="15.6" x14ac:dyDescent="0.3">
      <c r="A140" s="24"/>
      <c r="B140" s="25" t="s">
        <v>145</v>
      </c>
      <c r="C140" s="25"/>
      <c r="D140" s="25"/>
      <c r="E140" s="25"/>
      <c r="F140" s="25"/>
      <c r="G140" s="25"/>
      <c r="H140" s="25"/>
      <c r="I140" s="25"/>
      <c r="J140" s="25"/>
      <c r="K140" s="25"/>
      <c r="L140" s="25"/>
      <c r="M140" s="25"/>
      <c r="N140" s="25"/>
      <c r="O140" s="25"/>
      <c r="P140" s="53">
        <v>0</v>
      </c>
      <c r="Q140" s="25"/>
      <c r="R140" s="5"/>
    </row>
    <row r="141" spans="1:19" ht="15.6" x14ac:dyDescent="0.3">
      <c r="A141" s="24"/>
      <c r="B141" s="25" t="s">
        <v>53</v>
      </c>
      <c r="C141" s="25"/>
      <c r="D141" s="25"/>
      <c r="E141" s="25"/>
      <c r="F141" s="25"/>
      <c r="G141" s="25"/>
      <c r="H141" s="25"/>
      <c r="I141" s="25"/>
      <c r="J141" s="25"/>
      <c r="K141" s="25"/>
      <c r="L141" s="25"/>
      <c r="M141" s="25"/>
      <c r="N141" s="25"/>
      <c r="O141" s="25"/>
      <c r="P141" s="53">
        <v>0</v>
      </c>
      <c r="Q141" s="25"/>
      <c r="R141" s="5"/>
    </row>
    <row r="142" spans="1:19" ht="15.6" x14ac:dyDescent="0.3">
      <c r="A142" s="24"/>
      <c r="B142" s="25" t="s">
        <v>153</v>
      </c>
      <c r="C142" s="25"/>
      <c r="D142" s="25"/>
      <c r="E142" s="25"/>
      <c r="F142" s="25"/>
      <c r="G142" s="25"/>
      <c r="H142" s="25"/>
      <c r="I142" s="25"/>
      <c r="J142" s="25"/>
      <c r="K142" s="25"/>
      <c r="L142" s="25"/>
      <c r="M142" s="25"/>
      <c r="N142" s="25"/>
      <c r="O142" s="25"/>
      <c r="P142" s="53">
        <v>0</v>
      </c>
      <c r="Q142" s="25"/>
      <c r="R142" s="5"/>
    </row>
    <row r="143" spans="1:19" ht="15.6" x14ac:dyDescent="0.3">
      <c r="A143" s="24"/>
      <c r="B143" s="25" t="s">
        <v>202</v>
      </c>
      <c r="C143" s="25"/>
      <c r="D143" s="25"/>
      <c r="E143" s="25"/>
      <c r="F143" s="25"/>
      <c r="G143" s="25"/>
      <c r="H143" s="25"/>
      <c r="I143" s="25"/>
      <c r="J143" s="25"/>
      <c r="K143" s="25"/>
      <c r="L143" s="25"/>
      <c r="M143" s="25"/>
      <c r="N143" s="25"/>
      <c r="O143" s="25"/>
      <c r="P143" s="53">
        <v>0</v>
      </c>
      <c r="Q143" s="25"/>
      <c r="R143" s="5"/>
      <c r="S143" s="109"/>
    </row>
    <row r="144" spans="1:19" ht="15.6" x14ac:dyDescent="0.3">
      <c r="A144" s="24"/>
      <c r="B144" s="25" t="s">
        <v>54</v>
      </c>
      <c r="C144" s="25"/>
      <c r="D144" s="25"/>
      <c r="E144" s="25"/>
      <c r="F144" s="25"/>
      <c r="G144" s="25"/>
      <c r="H144" s="25"/>
      <c r="I144" s="25"/>
      <c r="J144" s="25"/>
      <c r="K144" s="25"/>
      <c r="L144" s="25"/>
      <c r="M144" s="25"/>
      <c r="N144" s="25"/>
      <c r="O144" s="25"/>
      <c r="P144" s="53">
        <f>SUM(P137:P143)</f>
        <v>19815</v>
      </c>
      <c r="Q144" s="25"/>
      <c r="R144" s="5"/>
    </row>
    <row r="145" spans="1:18" ht="15.6" x14ac:dyDescent="0.3">
      <c r="A145" s="24"/>
      <c r="B145" s="25"/>
      <c r="C145" s="25"/>
      <c r="D145" s="25"/>
      <c r="E145" s="25"/>
      <c r="F145" s="25"/>
      <c r="G145" s="25"/>
      <c r="H145" s="25"/>
      <c r="I145" s="25"/>
      <c r="J145" s="25"/>
      <c r="K145" s="25"/>
      <c r="L145" s="25"/>
      <c r="M145" s="25"/>
      <c r="N145" s="25"/>
      <c r="O145" s="25"/>
      <c r="P145" s="61"/>
      <c r="Q145" s="25"/>
      <c r="R145" s="5"/>
    </row>
    <row r="146" spans="1:18" ht="15.6" x14ac:dyDescent="0.3">
      <c r="A146" s="6"/>
      <c r="B146" s="119" t="s">
        <v>28</v>
      </c>
      <c r="C146" s="8"/>
      <c r="D146" s="8"/>
      <c r="E146" s="8"/>
      <c r="F146" s="8"/>
      <c r="G146" s="8"/>
      <c r="H146" s="8"/>
      <c r="I146" s="8"/>
      <c r="J146" s="8"/>
      <c r="K146" s="8"/>
      <c r="L146" s="8"/>
      <c r="M146" s="8"/>
      <c r="N146" s="8"/>
      <c r="O146" s="8"/>
      <c r="P146" s="52"/>
      <c r="Q146" s="8"/>
      <c r="R146" s="5"/>
    </row>
    <row r="147" spans="1:18" ht="15.6" x14ac:dyDescent="0.3">
      <c r="A147" s="24"/>
      <c r="B147" s="25" t="s">
        <v>55</v>
      </c>
      <c r="C147" s="25"/>
      <c r="D147" s="25"/>
      <c r="E147" s="25"/>
      <c r="F147" s="25"/>
      <c r="G147" s="25"/>
      <c r="H147" s="25"/>
      <c r="I147" s="25"/>
      <c r="J147" s="25"/>
      <c r="K147" s="25"/>
      <c r="L147" s="25"/>
      <c r="M147" s="25"/>
      <c r="N147" s="25"/>
      <c r="O147" s="25"/>
      <c r="P147" s="59" t="s">
        <v>137</v>
      </c>
      <c r="Q147" s="25"/>
      <c r="R147" s="5"/>
    </row>
    <row r="148" spans="1:18" ht="15.6" x14ac:dyDescent="0.3">
      <c r="A148" s="24"/>
      <c r="B148" s="25" t="s">
        <v>56</v>
      </c>
      <c r="C148" s="141"/>
      <c r="D148" s="141"/>
      <c r="E148" s="141"/>
      <c r="F148" s="141"/>
      <c r="G148" s="141"/>
      <c r="H148" s="141"/>
      <c r="I148" s="141"/>
      <c r="J148" s="141"/>
      <c r="K148" s="141"/>
      <c r="L148" s="141"/>
      <c r="M148" s="141"/>
      <c r="N148" s="141"/>
      <c r="O148" s="141"/>
      <c r="P148" s="59" t="s">
        <v>137</v>
      </c>
      <c r="Q148" s="25"/>
      <c r="R148" s="5"/>
    </row>
    <row r="149" spans="1:18" ht="15.6" x14ac:dyDescent="0.3">
      <c r="A149" s="24"/>
      <c r="B149" s="25" t="s">
        <v>57</v>
      </c>
      <c r="C149" s="25"/>
      <c r="D149" s="25"/>
      <c r="E149" s="25"/>
      <c r="F149" s="25"/>
      <c r="G149" s="25"/>
      <c r="H149" s="25"/>
      <c r="I149" s="25"/>
      <c r="J149" s="25"/>
      <c r="K149" s="25"/>
      <c r="L149" s="25"/>
      <c r="M149" s="25"/>
      <c r="N149" s="25"/>
      <c r="O149" s="25"/>
      <c r="P149" s="59" t="s">
        <v>137</v>
      </c>
      <c r="Q149" s="25"/>
      <c r="R149" s="5"/>
    </row>
    <row r="150" spans="1:18" ht="15.6" x14ac:dyDescent="0.3">
      <c r="A150" s="24"/>
      <c r="B150" s="25" t="s">
        <v>58</v>
      </c>
      <c r="C150" s="25"/>
      <c r="D150" s="25"/>
      <c r="E150" s="25"/>
      <c r="F150" s="25"/>
      <c r="G150" s="25"/>
      <c r="H150" s="25"/>
      <c r="I150" s="25"/>
      <c r="J150" s="25"/>
      <c r="K150" s="25"/>
      <c r="L150" s="25"/>
      <c r="M150" s="25"/>
      <c r="N150" s="25"/>
      <c r="O150" s="25"/>
      <c r="P150" s="59" t="s">
        <v>137</v>
      </c>
      <c r="Q150" s="25"/>
      <c r="R150" s="5"/>
    </row>
    <row r="151" spans="1:18" ht="15.6" x14ac:dyDescent="0.3">
      <c r="A151" s="24"/>
      <c r="B151" s="25"/>
      <c r="C151" s="25"/>
      <c r="D151" s="25"/>
      <c r="E151" s="25"/>
      <c r="F151" s="25"/>
      <c r="G151" s="25"/>
      <c r="H151" s="25"/>
      <c r="I151" s="25"/>
      <c r="J151" s="25"/>
      <c r="K151" s="25"/>
      <c r="L151" s="25"/>
      <c r="M151" s="25"/>
      <c r="N151" s="25"/>
      <c r="O151" s="25"/>
      <c r="P151" s="61"/>
      <c r="Q151" s="25"/>
      <c r="R151" s="5"/>
    </row>
    <row r="152" spans="1:18" ht="15.6" x14ac:dyDescent="0.3">
      <c r="A152" s="6"/>
      <c r="B152" s="119" t="s">
        <v>59</v>
      </c>
      <c r="C152" s="8"/>
      <c r="D152" s="8"/>
      <c r="E152" s="8"/>
      <c r="F152" s="8"/>
      <c r="G152" s="8"/>
      <c r="H152" s="8"/>
      <c r="I152" s="8"/>
      <c r="J152" s="8"/>
      <c r="K152" s="8"/>
      <c r="L152" s="8"/>
      <c r="M152" s="8"/>
      <c r="N152" s="8"/>
      <c r="O152" s="8"/>
      <c r="P152" s="63"/>
      <c r="Q152" s="8"/>
      <c r="R152" s="5"/>
    </row>
    <row r="153" spans="1:18" ht="15.6" x14ac:dyDescent="0.3">
      <c r="A153" s="24"/>
      <c r="B153" s="25" t="s">
        <v>60</v>
      </c>
      <c r="C153" s="25"/>
      <c r="D153" s="25"/>
      <c r="E153" s="25"/>
      <c r="F153" s="25"/>
      <c r="G153" s="25"/>
      <c r="H153" s="25"/>
      <c r="I153" s="25"/>
      <c r="J153" s="25"/>
      <c r="K153" s="25"/>
      <c r="L153" s="25"/>
      <c r="M153" s="25"/>
      <c r="N153" s="25"/>
      <c r="O153" s="25"/>
      <c r="P153" s="53">
        <v>0</v>
      </c>
      <c r="Q153" s="25"/>
      <c r="R153" s="5"/>
    </row>
    <row r="154" spans="1:18" ht="15.6" x14ac:dyDescent="0.3">
      <c r="A154" s="24"/>
      <c r="B154" s="25" t="s">
        <v>61</v>
      </c>
      <c r="C154" s="25"/>
      <c r="D154" s="25"/>
      <c r="E154" s="25"/>
      <c r="F154" s="25"/>
      <c r="G154" s="25"/>
      <c r="H154" s="25"/>
      <c r="I154" s="25"/>
      <c r="J154" s="25"/>
      <c r="K154" s="25"/>
      <c r="L154" s="25"/>
      <c r="M154" s="25"/>
      <c r="N154" s="25"/>
      <c r="O154" s="25"/>
      <c r="P154" s="53">
        <f>-P114</f>
        <v>65</v>
      </c>
      <c r="Q154" s="25"/>
      <c r="R154" s="5"/>
    </row>
    <row r="155" spans="1:18" ht="15.6" x14ac:dyDescent="0.3">
      <c r="A155" s="24"/>
      <c r="B155" s="25" t="s">
        <v>62</v>
      </c>
      <c r="C155" s="25"/>
      <c r="D155" s="25"/>
      <c r="E155" s="25"/>
      <c r="F155" s="25"/>
      <c r="G155" s="25"/>
      <c r="H155" s="25"/>
      <c r="I155" s="25"/>
      <c r="J155" s="25"/>
      <c r="K155" s="25"/>
      <c r="L155" s="25"/>
      <c r="M155" s="25"/>
      <c r="N155" s="25"/>
      <c r="O155" s="25"/>
      <c r="P155" s="53">
        <f>P154+P153</f>
        <v>65</v>
      </c>
      <c r="Q155" s="25"/>
      <c r="R155" s="5"/>
    </row>
    <row r="156" spans="1:18" ht="15.6" x14ac:dyDescent="0.3">
      <c r="A156" s="24"/>
      <c r="B156" s="403" t="s">
        <v>297</v>
      </c>
      <c r="C156" s="25"/>
      <c r="D156" s="25"/>
      <c r="E156" s="25"/>
      <c r="F156" s="25"/>
      <c r="G156" s="25"/>
      <c r="H156" s="25"/>
      <c r="I156" s="25"/>
      <c r="J156" s="25"/>
      <c r="K156" s="25"/>
      <c r="L156" s="25"/>
      <c r="M156" s="25"/>
      <c r="N156" s="25"/>
      <c r="O156" s="25"/>
      <c r="P156" s="53">
        <f>P114</f>
        <v>-65</v>
      </c>
      <c r="Q156" s="25"/>
      <c r="R156" s="5"/>
    </row>
    <row r="157" spans="1:18" ht="15.6" x14ac:dyDescent="0.3">
      <c r="A157" s="24"/>
      <c r="B157" s="25" t="s">
        <v>63</v>
      </c>
      <c r="C157" s="25"/>
      <c r="D157" s="25"/>
      <c r="E157" s="25"/>
      <c r="F157" s="25"/>
      <c r="G157" s="25"/>
      <c r="H157" s="25"/>
      <c r="I157" s="25"/>
      <c r="J157" s="25"/>
      <c r="K157" s="25"/>
      <c r="L157" s="25"/>
      <c r="M157" s="25"/>
      <c r="N157" s="25"/>
      <c r="O157" s="25"/>
      <c r="P157" s="53">
        <f>P155+P156</f>
        <v>0</v>
      </c>
      <c r="Q157" s="25"/>
      <c r="R157" s="5"/>
    </row>
    <row r="158" spans="1:18" ht="16.2" thickBot="1" x14ac:dyDescent="0.35">
      <c r="A158" s="24"/>
      <c r="B158" s="25"/>
      <c r="C158" s="25"/>
      <c r="D158" s="25"/>
      <c r="E158" s="25"/>
      <c r="F158" s="25"/>
      <c r="G158" s="25"/>
      <c r="H158" s="25"/>
      <c r="I158" s="25"/>
      <c r="J158" s="25"/>
      <c r="K158" s="25"/>
      <c r="L158" s="25"/>
      <c r="M158" s="25"/>
      <c r="N158" s="25"/>
      <c r="O158" s="25"/>
      <c r="P158" s="61"/>
      <c r="Q158" s="25"/>
      <c r="R158" s="5"/>
    </row>
    <row r="159" spans="1:18" ht="15.6" x14ac:dyDescent="0.3">
      <c r="A159" s="2"/>
      <c r="B159" s="4"/>
      <c r="C159" s="4"/>
      <c r="D159" s="4"/>
      <c r="E159" s="4"/>
      <c r="F159" s="4"/>
      <c r="G159" s="4"/>
      <c r="H159" s="4"/>
      <c r="I159" s="4"/>
      <c r="J159" s="4"/>
      <c r="K159" s="4"/>
      <c r="L159" s="4"/>
      <c r="M159" s="4"/>
      <c r="N159" s="4"/>
      <c r="O159" s="4"/>
      <c r="P159" s="50"/>
      <c r="Q159" s="4"/>
      <c r="R159" s="5"/>
    </row>
    <row r="160" spans="1:18" ht="15.6" x14ac:dyDescent="0.3">
      <c r="A160" s="6"/>
      <c r="B160" s="119" t="s">
        <v>64</v>
      </c>
      <c r="C160" s="8"/>
      <c r="D160" s="8"/>
      <c r="E160" s="8"/>
      <c r="F160" s="8"/>
      <c r="G160" s="8"/>
      <c r="H160" s="8"/>
      <c r="I160" s="8"/>
      <c r="J160" s="8"/>
      <c r="K160" s="8"/>
      <c r="L160" s="8"/>
      <c r="M160" s="8"/>
      <c r="N160" s="8"/>
      <c r="O160" s="8"/>
      <c r="P160" s="52"/>
      <c r="Q160" s="8"/>
      <c r="R160" s="5"/>
    </row>
    <row r="161" spans="1:18" ht="15.6" x14ac:dyDescent="0.3">
      <c r="A161" s="6"/>
      <c r="B161" s="21"/>
      <c r="C161" s="8"/>
      <c r="D161" s="8"/>
      <c r="E161" s="8"/>
      <c r="F161" s="8"/>
      <c r="G161" s="8"/>
      <c r="H161" s="8"/>
      <c r="I161" s="8"/>
      <c r="J161" s="8"/>
      <c r="K161" s="8"/>
      <c r="L161" s="8"/>
      <c r="M161" s="8"/>
      <c r="N161" s="8"/>
      <c r="O161" s="8"/>
      <c r="P161" s="52"/>
      <c r="Q161" s="8"/>
      <c r="R161" s="5"/>
    </row>
    <row r="162" spans="1:18" ht="15.6" x14ac:dyDescent="0.3">
      <c r="A162" s="24"/>
      <c r="B162" s="25" t="s">
        <v>221</v>
      </c>
      <c r="C162" s="25"/>
      <c r="D162" s="25"/>
      <c r="E162" s="25"/>
      <c r="F162" s="25"/>
      <c r="G162" s="25"/>
      <c r="H162" s="25"/>
      <c r="I162" s="25"/>
      <c r="J162" s="25"/>
      <c r="K162" s="25"/>
      <c r="L162" s="25"/>
      <c r="M162" s="25"/>
      <c r="N162" s="25"/>
      <c r="O162" s="25"/>
      <c r="P162" s="53">
        <f>P73</f>
        <v>445990</v>
      </c>
      <c r="Q162" s="25"/>
      <c r="R162" s="5"/>
    </row>
    <row r="163" spans="1:18" ht="15.6" x14ac:dyDescent="0.3">
      <c r="A163" s="24"/>
      <c r="B163" s="25" t="s">
        <v>65</v>
      </c>
      <c r="C163" s="25"/>
      <c r="D163" s="25"/>
      <c r="E163" s="25"/>
      <c r="F163" s="25"/>
      <c r="G163" s="25"/>
      <c r="H163" s="25"/>
      <c r="I163" s="25"/>
      <c r="J163" s="25"/>
      <c r="K163" s="25"/>
      <c r="L163" s="25"/>
      <c r="M163" s="25"/>
      <c r="N163" s="25"/>
      <c r="O163" s="25"/>
      <c r="P163" s="53">
        <f>P86</f>
        <v>445990</v>
      </c>
      <c r="Q163" s="25"/>
      <c r="R163" s="5"/>
    </row>
    <row r="164" spans="1:18" ht="16.2" thickBot="1" x14ac:dyDescent="0.35">
      <c r="A164" s="24"/>
      <c r="B164" s="25"/>
      <c r="C164" s="25"/>
      <c r="D164" s="25"/>
      <c r="E164" s="25"/>
      <c r="F164" s="25"/>
      <c r="G164" s="25"/>
      <c r="H164" s="25"/>
      <c r="I164" s="25"/>
      <c r="J164" s="25"/>
      <c r="K164" s="25"/>
      <c r="L164" s="25"/>
      <c r="M164" s="25"/>
      <c r="N164" s="25"/>
      <c r="O164" s="25"/>
      <c r="P164" s="61"/>
      <c r="Q164" s="25"/>
      <c r="R164" s="5"/>
    </row>
    <row r="165" spans="1:18" ht="15.6" x14ac:dyDescent="0.3">
      <c r="A165" s="2"/>
      <c r="B165" s="4"/>
      <c r="C165" s="4"/>
      <c r="D165" s="4"/>
      <c r="E165" s="4"/>
      <c r="F165" s="4"/>
      <c r="G165" s="4"/>
      <c r="H165" s="4"/>
      <c r="I165" s="4"/>
      <c r="J165" s="4"/>
      <c r="K165" s="4"/>
      <c r="L165" s="4"/>
      <c r="M165" s="4"/>
      <c r="N165" s="4"/>
      <c r="O165" s="4"/>
      <c r="P165" s="50"/>
      <c r="Q165" s="4"/>
      <c r="R165" s="5"/>
    </row>
    <row r="166" spans="1:18" ht="15.6" x14ac:dyDescent="0.3">
      <c r="A166" s="6"/>
      <c r="B166" s="119" t="s">
        <v>66</v>
      </c>
      <c r="C166" s="117"/>
      <c r="D166" s="117"/>
      <c r="E166" s="117"/>
      <c r="F166" s="120"/>
      <c r="G166" s="120"/>
      <c r="H166" s="120"/>
      <c r="I166" s="120"/>
      <c r="J166" s="120"/>
      <c r="K166" s="120"/>
      <c r="L166" s="120"/>
      <c r="M166" s="120" t="s">
        <v>112</v>
      </c>
      <c r="N166" s="120" t="s">
        <v>120</v>
      </c>
      <c r="O166" s="111"/>
      <c r="P166" s="121" t="s">
        <v>129</v>
      </c>
      <c r="Q166" s="10"/>
      <c r="R166" s="5"/>
    </row>
    <row r="167" spans="1:18" ht="15.6" x14ac:dyDescent="0.3">
      <c r="A167" s="24"/>
      <c r="B167" s="25" t="s">
        <v>67</v>
      </c>
      <c r="C167" s="25"/>
      <c r="D167" s="25"/>
      <c r="E167" s="25"/>
      <c r="F167" s="25"/>
      <c r="G167" s="25"/>
      <c r="H167" s="25"/>
      <c r="I167" s="25"/>
      <c r="J167" s="25"/>
      <c r="K167" s="25"/>
      <c r="L167" s="25"/>
      <c r="M167" s="53">
        <v>144000</v>
      </c>
      <c r="N167" s="40">
        <v>0</v>
      </c>
      <c r="O167" s="25"/>
      <c r="P167" s="53"/>
      <c r="Q167" s="25"/>
      <c r="R167" s="5"/>
    </row>
    <row r="168" spans="1:18" ht="15.6" x14ac:dyDescent="0.3">
      <c r="A168" s="24"/>
      <c r="B168" s="25" t="s">
        <v>68</v>
      </c>
      <c r="C168" s="25"/>
      <c r="D168" s="25"/>
      <c r="E168" s="25"/>
      <c r="F168" s="25"/>
      <c r="G168" s="25"/>
      <c r="H168" s="25"/>
      <c r="I168" s="25"/>
      <c r="J168" s="25"/>
      <c r="K168" s="25"/>
      <c r="L168" s="25"/>
      <c r="M168" s="53">
        <f>+'April 08'!M170</f>
        <v>78389</v>
      </c>
      <c r="N168" s="53">
        <f>+'April 08'!N170</f>
        <v>9947</v>
      </c>
      <c r="O168" s="25"/>
      <c r="P168" s="53">
        <f>M168+N168</f>
        <v>88336</v>
      </c>
      <c r="Q168" s="25"/>
      <c r="R168" s="5"/>
    </row>
    <row r="169" spans="1:18" ht="15.6" x14ac:dyDescent="0.3">
      <c r="A169" s="24"/>
      <c r="B169" s="25" t="s">
        <v>69</v>
      </c>
      <c r="C169" s="25"/>
      <c r="D169" s="25"/>
      <c r="E169" s="25"/>
      <c r="F169" s="25"/>
      <c r="G169" s="25"/>
      <c r="H169" s="25"/>
      <c r="I169" s="25"/>
      <c r="J169" s="25"/>
      <c r="K169" s="25"/>
      <c r="L169" s="25"/>
      <c r="M169" s="34">
        <v>2823</v>
      </c>
      <c r="N169" s="34">
        <f>-N99-N121</f>
        <v>46</v>
      </c>
      <c r="O169" s="25"/>
      <c r="P169" s="53">
        <f>M169+N169</f>
        <v>2869</v>
      </c>
      <c r="Q169" s="25"/>
      <c r="R169" s="5"/>
    </row>
    <row r="170" spans="1:18" ht="15.6" x14ac:dyDescent="0.3">
      <c r="A170" s="24"/>
      <c r="B170" s="25" t="s">
        <v>70</v>
      </c>
      <c r="C170" s="25"/>
      <c r="D170" s="25"/>
      <c r="E170" s="25"/>
      <c r="F170" s="25"/>
      <c r="G170" s="25"/>
      <c r="H170" s="25"/>
      <c r="I170" s="25"/>
      <c r="J170" s="25"/>
      <c r="K170" s="25"/>
      <c r="L170" s="25"/>
      <c r="M170" s="53">
        <f>M168+M169</f>
        <v>81212</v>
      </c>
      <c r="N170" s="53">
        <f>N169+N168</f>
        <v>9993</v>
      </c>
      <c r="O170" s="25"/>
      <c r="P170" s="53">
        <f>M170+N170</f>
        <v>91205</v>
      </c>
      <c r="Q170" s="25"/>
      <c r="R170" s="5"/>
    </row>
    <row r="171" spans="1:18" ht="15.6" x14ac:dyDescent="0.3">
      <c r="A171" s="24"/>
      <c r="B171" s="25" t="s">
        <v>71</v>
      </c>
      <c r="C171" s="25"/>
      <c r="D171" s="25"/>
      <c r="E171" s="25"/>
      <c r="F171" s="25"/>
      <c r="G171" s="25"/>
      <c r="H171" s="25"/>
      <c r="I171" s="25"/>
      <c r="J171" s="25"/>
      <c r="K171" s="25"/>
      <c r="L171" s="25"/>
      <c r="M171" s="53">
        <f>M167-M170-N170</f>
        <v>52795</v>
      </c>
      <c r="N171" s="40"/>
      <c r="O171" s="25"/>
      <c r="P171" s="53"/>
      <c r="Q171" s="25"/>
      <c r="R171" s="5"/>
    </row>
    <row r="172" spans="1:18" ht="16.2" thickBot="1" x14ac:dyDescent="0.35">
      <c r="A172" s="24"/>
      <c r="B172" s="25"/>
      <c r="C172" s="25"/>
      <c r="D172" s="25"/>
      <c r="E172" s="25"/>
      <c r="F172" s="25"/>
      <c r="G172" s="25"/>
      <c r="H172" s="25"/>
      <c r="I172" s="25"/>
      <c r="J172" s="25"/>
      <c r="K172" s="25"/>
      <c r="L172" s="25"/>
      <c r="M172" s="25"/>
      <c r="N172" s="25"/>
      <c r="O172" s="25"/>
      <c r="P172" s="61"/>
      <c r="Q172" s="25"/>
      <c r="R172" s="5"/>
    </row>
    <row r="173" spans="1:18" ht="15.6" x14ac:dyDescent="0.3">
      <c r="A173" s="2"/>
      <c r="B173" s="4"/>
      <c r="C173" s="4"/>
      <c r="D173" s="4"/>
      <c r="E173" s="4"/>
      <c r="F173" s="4"/>
      <c r="G173" s="4"/>
      <c r="H173" s="4"/>
      <c r="I173" s="4"/>
      <c r="J173" s="4"/>
      <c r="K173" s="4"/>
      <c r="L173" s="4"/>
      <c r="M173" s="4"/>
      <c r="N173" s="4"/>
      <c r="O173" s="4"/>
      <c r="P173" s="50"/>
      <c r="Q173" s="4"/>
      <c r="R173" s="5"/>
    </row>
    <row r="174" spans="1:18" ht="15.6" x14ac:dyDescent="0.3">
      <c r="A174" s="6"/>
      <c r="B174" s="119" t="s">
        <v>72</v>
      </c>
      <c r="C174" s="8"/>
      <c r="D174" s="8"/>
      <c r="E174" s="8"/>
      <c r="F174" s="8"/>
      <c r="G174" s="8"/>
      <c r="H174" s="8"/>
      <c r="I174" s="8"/>
      <c r="J174" s="8"/>
      <c r="K174" s="8"/>
      <c r="L174" s="8"/>
      <c r="M174" s="8"/>
      <c r="N174" s="8"/>
      <c r="O174" s="8"/>
      <c r="P174" s="65"/>
      <c r="Q174" s="8"/>
      <c r="R174" s="5"/>
    </row>
    <row r="175" spans="1:18" ht="15.6" x14ac:dyDescent="0.3">
      <c r="A175" s="24"/>
      <c r="B175" s="25" t="s">
        <v>73</v>
      </c>
      <c r="C175" s="25"/>
      <c r="D175" s="25"/>
      <c r="E175" s="25"/>
      <c r="F175" s="25"/>
      <c r="G175" s="25"/>
      <c r="H175" s="25"/>
      <c r="I175" s="25"/>
      <c r="J175" s="25"/>
      <c r="K175" s="25"/>
      <c r="L175" s="25"/>
      <c r="M175" s="25"/>
      <c r="N175" s="25"/>
      <c r="O175" s="25"/>
      <c r="P175" s="66">
        <f>(P102+P104+P105+P106+P107)/-(P108+P109+P110)</f>
        <v>1.4710451977401129</v>
      </c>
      <c r="Q175" s="25" t="s">
        <v>130</v>
      </c>
      <c r="R175" s="5"/>
    </row>
    <row r="176" spans="1:18" ht="15.6" x14ac:dyDescent="0.3">
      <c r="A176" s="24"/>
      <c r="B176" s="25" t="s">
        <v>74</v>
      </c>
      <c r="C176" s="25"/>
      <c r="D176" s="25"/>
      <c r="E176" s="25"/>
      <c r="F176" s="25"/>
      <c r="G176" s="25"/>
      <c r="H176" s="25"/>
      <c r="I176" s="25"/>
      <c r="J176" s="25"/>
      <c r="K176" s="25"/>
      <c r="L176" s="25"/>
      <c r="M176" s="25"/>
      <c r="N176" s="25"/>
      <c r="O176" s="25"/>
      <c r="P176" s="66">
        <v>1.4</v>
      </c>
      <c r="Q176" s="25" t="s">
        <v>130</v>
      </c>
      <c r="R176" s="5"/>
    </row>
    <row r="177" spans="1:18" ht="15.6" x14ac:dyDescent="0.3">
      <c r="A177" s="24"/>
      <c r="B177" s="25" t="s">
        <v>75</v>
      </c>
      <c r="C177" s="25"/>
      <c r="D177" s="25"/>
      <c r="E177" s="25"/>
      <c r="F177" s="25"/>
      <c r="G177" s="25"/>
      <c r="H177" s="25"/>
      <c r="I177" s="25"/>
      <c r="J177" s="25"/>
      <c r="K177" s="25"/>
      <c r="L177" s="25"/>
      <c r="M177" s="25"/>
      <c r="N177" s="25"/>
      <c r="O177" s="25"/>
      <c r="P177" s="59">
        <f>(P102+P104+P105+P106+P107+P108+P109+P110)/-(P111+P112)</f>
        <v>1.7358490566037736</v>
      </c>
      <c r="Q177" s="25" t="s">
        <v>130</v>
      </c>
      <c r="R177" s="5"/>
    </row>
    <row r="178" spans="1:18" ht="15.6" x14ac:dyDescent="0.3">
      <c r="A178" s="24"/>
      <c r="B178" s="25" t="s">
        <v>76</v>
      </c>
      <c r="C178" s="25"/>
      <c r="D178" s="25"/>
      <c r="E178" s="25"/>
      <c r="F178" s="25"/>
      <c r="G178" s="25"/>
      <c r="H178" s="25"/>
      <c r="I178" s="25"/>
      <c r="J178" s="25"/>
      <c r="K178" s="25"/>
      <c r="L178" s="25"/>
      <c r="M178" s="25"/>
      <c r="N178" s="25"/>
      <c r="O178" s="25"/>
      <c r="P178" s="66">
        <v>2.37</v>
      </c>
      <c r="Q178" s="25" t="s">
        <v>130</v>
      </c>
      <c r="R178" s="5"/>
    </row>
    <row r="179" spans="1:18" ht="15.6" x14ac:dyDescent="0.3">
      <c r="A179" s="24"/>
      <c r="B179" s="25"/>
      <c r="C179" s="25"/>
      <c r="D179" s="25"/>
      <c r="E179" s="25"/>
      <c r="F179" s="25"/>
      <c r="G179" s="25"/>
      <c r="H179" s="25"/>
      <c r="I179" s="25"/>
      <c r="J179" s="25"/>
      <c r="K179" s="25"/>
      <c r="L179" s="25"/>
      <c r="M179" s="25"/>
      <c r="N179" s="25"/>
      <c r="O179" s="25"/>
      <c r="P179" s="25"/>
      <c r="Q179" s="25"/>
      <c r="R179" s="5"/>
    </row>
    <row r="180" spans="1:18" ht="15.6" x14ac:dyDescent="0.3">
      <c r="A180" s="24"/>
      <c r="B180" s="25"/>
      <c r="C180" s="25"/>
      <c r="D180" s="25"/>
      <c r="E180" s="25"/>
      <c r="F180" s="25"/>
      <c r="G180" s="25"/>
      <c r="H180" s="25"/>
      <c r="I180" s="25"/>
      <c r="J180" s="25"/>
      <c r="K180" s="25"/>
      <c r="L180" s="25"/>
      <c r="M180" s="25"/>
      <c r="N180" s="25"/>
      <c r="O180" s="25"/>
      <c r="P180" s="25"/>
      <c r="Q180" s="25"/>
      <c r="R180" s="5"/>
    </row>
    <row r="181" spans="1:18" ht="15.6" x14ac:dyDescent="0.3">
      <c r="A181" s="6"/>
      <c r="B181" s="8"/>
      <c r="C181" s="8"/>
      <c r="D181" s="8"/>
      <c r="E181" s="8"/>
      <c r="F181" s="8"/>
      <c r="G181" s="8"/>
      <c r="H181" s="8"/>
      <c r="I181" s="8"/>
      <c r="J181" s="8"/>
      <c r="K181" s="8"/>
      <c r="L181" s="8"/>
      <c r="M181" s="8"/>
      <c r="N181" s="8"/>
      <c r="O181" s="8"/>
      <c r="P181" s="8"/>
      <c r="Q181" s="8"/>
      <c r="R181" s="5"/>
    </row>
    <row r="182" spans="1:18" ht="18" thickBot="1" x14ac:dyDescent="0.35">
      <c r="A182" s="101"/>
      <c r="B182" s="102" t="str">
        <f>B132</f>
        <v>PM7 INVESTOR REPORT QUARTER ENDING JULY 2008</v>
      </c>
      <c r="C182" s="143"/>
      <c r="D182" s="143"/>
      <c r="E182" s="143"/>
      <c r="F182" s="143"/>
      <c r="G182" s="143"/>
      <c r="H182" s="143"/>
      <c r="I182" s="143"/>
      <c r="J182" s="143"/>
      <c r="K182" s="143"/>
      <c r="L182" s="143"/>
      <c r="M182" s="143"/>
      <c r="N182" s="143"/>
      <c r="O182" s="143"/>
      <c r="P182" s="143"/>
      <c r="Q182" s="144"/>
      <c r="R182" s="5"/>
    </row>
    <row r="183" spans="1:18" ht="15.6" x14ac:dyDescent="0.3">
      <c r="A183" s="67"/>
      <c r="B183" s="60" t="s">
        <v>77</v>
      </c>
      <c r="C183" s="68"/>
      <c r="D183" s="68"/>
      <c r="E183" s="69"/>
      <c r="F183" s="69"/>
      <c r="G183" s="69"/>
      <c r="H183" s="69"/>
      <c r="I183" s="69"/>
      <c r="J183" s="69"/>
      <c r="K183" s="69"/>
      <c r="L183" s="69"/>
      <c r="M183" s="69"/>
      <c r="N183" s="70">
        <f>H89</f>
        <v>39660</v>
      </c>
      <c r="O183" s="4"/>
      <c r="P183" s="4"/>
      <c r="Q183" s="4"/>
      <c r="R183" s="5"/>
    </row>
    <row r="184" spans="1:18" ht="15.6" x14ac:dyDescent="0.3">
      <c r="A184" s="71"/>
      <c r="B184" s="72"/>
      <c r="C184" s="73"/>
      <c r="D184" s="73"/>
      <c r="E184" s="74"/>
      <c r="F184" s="74"/>
      <c r="G184" s="74"/>
      <c r="H184" s="74"/>
      <c r="I184" s="74"/>
      <c r="J184" s="74"/>
      <c r="K184" s="74"/>
      <c r="L184" s="74"/>
      <c r="M184" s="74"/>
      <c r="N184" s="74"/>
      <c r="O184" s="8"/>
      <c r="P184" s="8"/>
      <c r="Q184" s="8"/>
      <c r="R184" s="5"/>
    </row>
    <row r="185" spans="1:18" ht="15.6" x14ac:dyDescent="0.3">
      <c r="A185" s="75"/>
      <c r="B185" s="76" t="s">
        <v>78</v>
      </c>
      <c r="C185" s="77"/>
      <c r="D185" s="77"/>
      <c r="E185" s="64"/>
      <c r="F185" s="64"/>
      <c r="G185" s="64"/>
      <c r="H185" s="64"/>
      <c r="I185" s="64"/>
      <c r="J185" s="64"/>
      <c r="K185" s="64"/>
      <c r="L185" s="64"/>
      <c r="M185" s="64"/>
      <c r="N185" s="78">
        <v>5.8069999999999997E-2</v>
      </c>
      <c r="O185" s="25"/>
      <c r="P185" s="25"/>
      <c r="Q185" s="25"/>
      <c r="R185" s="5"/>
    </row>
    <row r="186" spans="1:18" ht="15.6" x14ac:dyDescent="0.3">
      <c r="A186" s="75"/>
      <c r="B186" s="76" t="s">
        <v>219</v>
      </c>
      <c r="C186" s="77"/>
      <c r="D186" s="77"/>
      <c r="E186" s="64"/>
      <c r="F186" s="64"/>
      <c r="G186" s="64"/>
      <c r="H186" s="64"/>
      <c r="I186" s="64"/>
      <c r="J186" s="64"/>
      <c r="K186" s="64"/>
      <c r="L186" s="64"/>
      <c r="M186" s="64"/>
      <c r="N186" s="39">
        <v>5.1499999999999997E-2</v>
      </c>
      <c r="O186" s="25"/>
      <c r="P186" s="25"/>
      <c r="Q186" s="25"/>
      <c r="R186" s="5"/>
    </row>
    <row r="187" spans="1:18" ht="15.6" x14ac:dyDescent="0.3">
      <c r="A187" s="75"/>
      <c r="B187" s="76" t="s">
        <v>79</v>
      </c>
      <c r="C187" s="77"/>
      <c r="D187" s="77"/>
      <c r="E187" s="64"/>
      <c r="F187" s="64"/>
      <c r="G187" s="64"/>
      <c r="H187" s="64"/>
      <c r="I187" s="64"/>
      <c r="J187" s="64"/>
      <c r="K187" s="64"/>
      <c r="L187" s="64"/>
      <c r="M187" s="64"/>
      <c r="N187" s="78">
        <f>N185-N186</f>
        <v>6.5699999999999995E-3</v>
      </c>
      <c r="O187" s="25"/>
      <c r="P187" s="25"/>
      <c r="Q187" s="25"/>
      <c r="R187" s="5"/>
    </row>
    <row r="188" spans="1:18" ht="15.6" x14ac:dyDescent="0.3">
      <c r="A188" s="75"/>
      <c r="B188" s="76" t="s">
        <v>80</v>
      </c>
      <c r="C188" s="77"/>
      <c r="D188" s="77"/>
      <c r="E188" s="64"/>
      <c r="F188" s="64"/>
      <c r="G188" s="64"/>
      <c r="H188" s="64"/>
      <c r="I188" s="64"/>
      <c r="J188" s="64"/>
      <c r="K188" s="64"/>
      <c r="L188" s="64"/>
      <c r="M188" s="64"/>
      <c r="N188" s="78">
        <v>6.4490000000000006E-2</v>
      </c>
      <c r="O188" s="25"/>
      <c r="P188" s="25"/>
      <c r="Q188" s="25"/>
      <c r="R188" s="5"/>
    </row>
    <row r="189" spans="1:18" ht="15.6" x14ac:dyDescent="0.3">
      <c r="A189" s="75"/>
      <c r="B189" s="76" t="s">
        <v>241</v>
      </c>
      <c r="C189" s="77"/>
      <c r="D189" s="77"/>
      <c r="E189" s="64"/>
      <c r="F189" s="64"/>
      <c r="G189" s="64"/>
      <c r="H189" s="64"/>
      <c r="I189" s="64"/>
      <c r="J189" s="64"/>
      <c r="K189" s="64"/>
      <c r="L189" s="64"/>
      <c r="M189" s="64"/>
      <c r="N189" s="78">
        <f>+P45</f>
        <v>6.2406666516284098E-2</v>
      </c>
      <c r="O189" s="25"/>
      <c r="P189" s="25"/>
      <c r="Q189" s="25"/>
      <c r="R189" s="5"/>
    </row>
    <row r="190" spans="1:18" ht="15.6" x14ac:dyDescent="0.3">
      <c r="A190" s="75"/>
      <c r="B190" s="76" t="s">
        <v>81</v>
      </c>
      <c r="C190" s="77"/>
      <c r="D190" s="77"/>
      <c r="E190" s="64"/>
      <c r="F190" s="64"/>
      <c r="G190" s="64"/>
      <c r="H190" s="64"/>
      <c r="I190" s="64"/>
      <c r="J190" s="64"/>
      <c r="K190" s="64"/>
      <c r="L190" s="64"/>
      <c r="M190" s="64"/>
      <c r="N190" s="78">
        <f>N188-N189</f>
        <v>2.0833334837159073E-3</v>
      </c>
      <c r="O190" s="25"/>
      <c r="P190" s="25"/>
      <c r="Q190" s="25"/>
      <c r="R190" s="5"/>
    </row>
    <row r="191" spans="1:18" ht="15.6" x14ac:dyDescent="0.3">
      <c r="A191" s="75"/>
      <c r="B191" s="76" t="s">
        <v>257</v>
      </c>
      <c r="C191" s="77"/>
      <c r="D191" s="77"/>
      <c r="E191" s="64"/>
      <c r="F191" s="64"/>
      <c r="G191" s="64"/>
      <c r="H191" s="64"/>
      <c r="I191" s="64"/>
      <c r="J191" s="64"/>
      <c r="K191" s="64"/>
      <c r="L191" s="64"/>
      <c r="M191" s="64"/>
      <c r="N191" s="78">
        <f>+P102/H73</f>
        <v>1.8571478470445435E-2</v>
      </c>
      <c r="O191" s="25"/>
      <c r="P191" s="25"/>
      <c r="Q191" s="25"/>
      <c r="R191" s="5"/>
    </row>
    <row r="192" spans="1:18" ht="15.6" x14ac:dyDescent="0.3">
      <c r="A192" s="75"/>
      <c r="B192" s="76" t="s">
        <v>170</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171</v>
      </c>
      <c r="C193" s="77"/>
      <c r="D193" s="77"/>
      <c r="E193" s="64"/>
      <c r="F193" s="64"/>
      <c r="G193" s="64"/>
      <c r="H193" s="64"/>
      <c r="I193" s="64"/>
      <c r="J193" s="64"/>
      <c r="K193" s="64"/>
      <c r="L193" s="64"/>
      <c r="M193" s="64"/>
      <c r="N193" s="133">
        <v>49065</v>
      </c>
      <c r="O193" s="25"/>
      <c r="P193" s="25"/>
      <c r="Q193" s="25"/>
      <c r="R193" s="5"/>
    </row>
    <row r="194" spans="1:18" ht="15.6" x14ac:dyDescent="0.3">
      <c r="A194" s="75"/>
      <c r="B194" s="76" t="s">
        <v>172</v>
      </c>
      <c r="C194" s="77"/>
      <c r="D194" s="77"/>
      <c r="E194" s="64"/>
      <c r="F194" s="64"/>
      <c r="G194" s="64"/>
      <c r="H194" s="64"/>
      <c r="I194" s="64"/>
      <c r="J194" s="64"/>
      <c r="K194" s="64"/>
      <c r="L194" s="64"/>
      <c r="M194" s="64"/>
      <c r="N194" s="133">
        <v>49065</v>
      </c>
      <c r="O194" s="25"/>
      <c r="P194" s="25"/>
      <c r="Q194" s="25"/>
      <c r="R194" s="5"/>
    </row>
    <row r="195" spans="1:18" ht="15.6" x14ac:dyDescent="0.3">
      <c r="A195" s="75"/>
      <c r="B195" s="76" t="s">
        <v>138</v>
      </c>
      <c r="C195" s="77"/>
      <c r="D195" s="77"/>
      <c r="E195" s="64"/>
      <c r="F195" s="64"/>
      <c r="G195" s="64"/>
      <c r="H195" s="64"/>
      <c r="I195" s="64"/>
      <c r="J195" s="64"/>
      <c r="K195" s="64"/>
      <c r="L195" s="64"/>
      <c r="M195" s="64"/>
      <c r="N195" s="133">
        <v>52352</v>
      </c>
      <c r="O195" s="25"/>
      <c r="P195" s="25"/>
      <c r="Q195" s="25"/>
      <c r="R195" s="5"/>
    </row>
    <row r="196" spans="1:18" ht="15.6" x14ac:dyDescent="0.3">
      <c r="A196" s="75"/>
      <c r="B196" s="76" t="s">
        <v>139</v>
      </c>
      <c r="C196" s="77"/>
      <c r="D196" s="77"/>
      <c r="E196" s="64"/>
      <c r="F196" s="64"/>
      <c r="G196" s="64"/>
      <c r="H196" s="64"/>
      <c r="I196" s="64"/>
      <c r="J196" s="64"/>
      <c r="K196" s="64"/>
      <c r="L196" s="64"/>
      <c r="M196" s="64"/>
      <c r="N196" s="133">
        <v>52352</v>
      </c>
      <c r="O196" s="25"/>
      <c r="P196" s="25"/>
      <c r="Q196" s="25"/>
      <c r="R196" s="5"/>
    </row>
    <row r="197" spans="1:18" ht="15.6" x14ac:dyDescent="0.3">
      <c r="A197" s="75"/>
      <c r="B197" s="76" t="s">
        <v>82</v>
      </c>
      <c r="C197" s="77"/>
      <c r="D197" s="77"/>
      <c r="E197" s="64"/>
      <c r="F197" s="64"/>
      <c r="G197" s="64"/>
      <c r="H197" s="64"/>
      <c r="I197" s="64"/>
      <c r="J197" s="64"/>
      <c r="K197" s="64"/>
      <c r="L197" s="64"/>
      <c r="M197" s="64"/>
      <c r="N197" s="137">
        <v>20.45</v>
      </c>
      <c r="O197" s="25" t="s">
        <v>125</v>
      </c>
      <c r="P197" s="25"/>
      <c r="Q197" s="25"/>
      <c r="R197" s="5"/>
    </row>
    <row r="198" spans="1:18" ht="15.6" x14ac:dyDescent="0.3">
      <c r="A198" s="75"/>
      <c r="B198" s="76" t="s">
        <v>83</v>
      </c>
      <c r="C198" s="77"/>
      <c r="D198" s="77"/>
      <c r="E198" s="64"/>
      <c r="F198" s="64"/>
      <c r="G198" s="64"/>
      <c r="H198" s="64"/>
      <c r="I198" s="64"/>
      <c r="J198" s="64"/>
      <c r="K198" s="64"/>
      <c r="L198" s="64"/>
      <c r="M198" s="64"/>
      <c r="N198" s="137">
        <v>17.54</v>
      </c>
      <c r="O198" s="25" t="s">
        <v>125</v>
      </c>
      <c r="P198" s="25"/>
      <c r="Q198" s="25"/>
      <c r="R198" s="5"/>
    </row>
    <row r="199" spans="1:18" ht="15.6" x14ac:dyDescent="0.3">
      <c r="A199" s="75"/>
      <c r="B199" s="76" t="s">
        <v>84</v>
      </c>
      <c r="C199" s="77"/>
      <c r="D199" s="77"/>
      <c r="E199" s="64"/>
      <c r="F199" s="64"/>
      <c r="G199" s="64"/>
      <c r="H199" s="64"/>
      <c r="I199" s="64"/>
      <c r="J199" s="64"/>
      <c r="K199" s="64"/>
      <c r="L199" s="64"/>
      <c r="M199" s="64"/>
      <c r="N199" s="78">
        <f>+J70/H70</f>
        <v>3.2630526472052182E-2</v>
      </c>
      <c r="O199" s="25"/>
      <c r="P199" s="25"/>
      <c r="Q199" s="25"/>
      <c r="R199" s="5"/>
    </row>
    <row r="200" spans="1:18" ht="15.6" x14ac:dyDescent="0.3">
      <c r="A200" s="75"/>
      <c r="B200" s="76" t="s">
        <v>85</v>
      </c>
      <c r="C200" s="77"/>
      <c r="D200" s="77"/>
      <c r="E200" s="64"/>
      <c r="F200" s="64"/>
      <c r="G200" s="64"/>
      <c r="H200" s="64"/>
      <c r="I200" s="64"/>
      <c r="J200" s="64"/>
      <c r="K200" s="64"/>
      <c r="L200" s="64"/>
      <c r="M200" s="64"/>
      <c r="N200" s="78">
        <v>0.18429999999999999</v>
      </c>
      <c r="O200" s="25"/>
      <c r="P200" s="25"/>
      <c r="Q200" s="25"/>
      <c r="R200" s="5"/>
    </row>
    <row r="201" spans="1:18" ht="15.6" x14ac:dyDescent="0.3">
      <c r="A201" s="75"/>
      <c r="B201" s="76"/>
      <c r="C201" s="76"/>
      <c r="D201" s="76"/>
      <c r="E201" s="25"/>
      <c r="F201" s="25"/>
      <c r="G201" s="25"/>
      <c r="H201" s="25"/>
      <c r="I201" s="25"/>
      <c r="J201" s="25"/>
      <c r="K201" s="25"/>
      <c r="L201" s="25"/>
      <c r="M201" s="25"/>
      <c r="N201" s="61"/>
      <c r="O201" s="25"/>
      <c r="P201" s="79"/>
      <c r="Q201" s="25"/>
      <c r="R201" s="5"/>
    </row>
    <row r="202" spans="1:18" ht="15.6" x14ac:dyDescent="0.3">
      <c r="A202" s="80"/>
      <c r="B202" s="14" t="s">
        <v>86</v>
      </c>
      <c r="C202" s="81"/>
      <c r="D202" s="82"/>
      <c r="E202" s="81"/>
      <c r="F202" s="17"/>
      <c r="G202" s="17"/>
      <c r="H202" s="17"/>
      <c r="I202" s="17"/>
      <c r="J202" s="17"/>
      <c r="K202" s="17"/>
      <c r="L202" s="17"/>
      <c r="M202" s="17" t="s">
        <v>113</v>
      </c>
      <c r="N202" s="83" t="s">
        <v>121</v>
      </c>
      <c r="O202" s="8"/>
      <c r="P202" s="8"/>
      <c r="Q202" s="8"/>
      <c r="R202" s="5"/>
    </row>
    <row r="203" spans="1:18" ht="15.6" x14ac:dyDescent="0.3">
      <c r="A203" s="84"/>
      <c r="B203" s="76" t="s">
        <v>87</v>
      </c>
      <c r="C203" s="54"/>
      <c r="D203" s="25"/>
      <c r="E203" s="25"/>
      <c r="F203" s="30"/>
      <c r="G203" s="30"/>
      <c r="H203" s="30"/>
      <c r="I203" s="30"/>
      <c r="J203" s="30"/>
      <c r="K203" s="30"/>
      <c r="L203" s="30"/>
      <c r="M203" s="30">
        <v>4</v>
      </c>
      <c r="N203" s="85">
        <v>318</v>
      </c>
      <c r="O203" s="25"/>
      <c r="P203" s="79"/>
      <c r="Q203" s="86"/>
      <c r="R203" s="5"/>
    </row>
    <row r="204" spans="1:18" ht="15.6" x14ac:dyDescent="0.3">
      <c r="A204" s="84"/>
      <c r="B204" s="76" t="s">
        <v>203</v>
      </c>
      <c r="C204" s="54"/>
      <c r="D204" s="25"/>
      <c r="E204" s="25"/>
      <c r="F204" s="30"/>
      <c r="G204" s="30"/>
      <c r="H204" s="30"/>
      <c r="I204" s="30"/>
      <c r="J204" s="30"/>
      <c r="K204" s="30"/>
      <c r="L204" s="30"/>
      <c r="M204" s="151">
        <f>+L241</f>
        <v>36</v>
      </c>
      <c r="N204" s="85">
        <f>+N241</f>
        <v>5641</v>
      </c>
      <c r="O204" s="25"/>
      <c r="P204" s="79"/>
      <c r="Q204" s="86"/>
      <c r="R204" s="5"/>
    </row>
    <row r="205" spans="1:18" ht="15.6" x14ac:dyDescent="0.3">
      <c r="A205" s="84"/>
      <c r="B205" s="76" t="s">
        <v>88</v>
      </c>
      <c r="C205" s="54"/>
      <c r="D205" s="25"/>
      <c r="E205" s="25"/>
      <c r="F205" s="30"/>
      <c r="G205" s="30"/>
      <c r="H205" s="30"/>
      <c r="I205" s="30"/>
      <c r="J205" s="30"/>
      <c r="K205" s="30"/>
      <c r="L205" s="30"/>
      <c r="M205" s="151">
        <f>+L252</f>
        <v>2</v>
      </c>
      <c r="N205" s="85">
        <f>+N252</f>
        <v>208</v>
      </c>
      <c r="O205" s="25"/>
      <c r="P205" s="79"/>
      <c r="Q205" s="86"/>
      <c r="R205" s="5"/>
    </row>
    <row r="206" spans="1:18" ht="15.6" x14ac:dyDescent="0.3">
      <c r="A206" s="84"/>
      <c r="B206" s="122" t="s">
        <v>89</v>
      </c>
      <c r="C206" s="54"/>
      <c r="D206" s="25"/>
      <c r="E206" s="25"/>
      <c r="F206" s="25"/>
      <c r="G206" s="25"/>
      <c r="H206" s="25"/>
      <c r="I206" s="25"/>
      <c r="J206" s="25"/>
      <c r="K206" s="25"/>
      <c r="L206" s="25"/>
      <c r="M206" s="25"/>
      <c r="N206" s="85">
        <v>0</v>
      </c>
      <c r="O206" s="25"/>
      <c r="P206" s="79"/>
      <c r="Q206" s="86"/>
      <c r="R206" s="5"/>
    </row>
    <row r="207" spans="1:18" ht="15.6" x14ac:dyDescent="0.3">
      <c r="A207" s="84"/>
      <c r="B207" s="122" t="s">
        <v>90</v>
      </c>
      <c r="C207" s="54"/>
      <c r="D207" s="25"/>
      <c r="E207" s="25"/>
      <c r="F207" s="25"/>
      <c r="G207" s="25"/>
      <c r="H207" s="25"/>
      <c r="I207" s="25"/>
      <c r="J207" s="25"/>
      <c r="K207" s="25"/>
      <c r="L207" s="25"/>
      <c r="M207" s="25"/>
      <c r="N207" s="62" t="s">
        <v>122</v>
      </c>
      <c r="O207" s="25"/>
      <c r="P207" s="79"/>
      <c r="Q207" s="86"/>
      <c r="R207" s="5"/>
    </row>
    <row r="208" spans="1:18" ht="15.6" x14ac:dyDescent="0.3">
      <c r="A208" s="87"/>
      <c r="B208" s="122" t="s">
        <v>91</v>
      </c>
      <c r="C208" s="76"/>
      <c r="D208" s="76"/>
      <c r="E208" s="25"/>
      <c r="F208" s="25"/>
      <c r="G208" s="25"/>
      <c r="H208" s="25"/>
      <c r="I208" s="25"/>
      <c r="J208" s="167"/>
      <c r="K208" s="25"/>
      <c r="L208" s="25"/>
      <c r="M208" s="25"/>
      <c r="N208" s="85"/>
      <c r="O208" s="25"/>
      <c r="P208" s="79"/>
      <c r="Q208" s="88"/>
      <c r="R208" s="5"/>
    </row>
    <row r="209" spans="1:18" ht="15.6" x14ac:dyDescent="0.3">
      <c r="A209" s="87"/>
      <c r="B209" s="135" t="s">
        <v>92</v>
      </c>
      <c r="C209" s="76"/>
      <c r="D209" s="76"/>
      <c r="E209" s="25"/>
      <c r="F209" s="25"/>
      <c r="G209" s="25"/>
      <c r="H209" s="25"/>
      <c r="I209" s="25"/>
      <c r="J209" s="25"/>
      <c r="K209" s="25"/>
      <c r="L209" s="25"/>
      <c r="M209" s="25"/>
      <c r="N209" s="85">
        <f>P154</f>
        <v>65</v>
      </c>
      <c r="O209" s="25"/>
      <c r="P209" s="79"/>
      <c r="Q209" s="88"/>
      <c r="R209" s="5"/>
    </row>
    <row r="210" spans="1:18" ht="15.6" x14ac:dyDescent="0.3">
      <c r="A210" s="84"/>
      <c r="B210" s="76" t="s">
        <v>93</v>
      </c>
      <c r="C210" s="54"/>
      <c r="D210" s="54"/>
      <c r="E210" s="25"/>
      <c r="F210" s="25"/>
      <c r="G210" s="25"/>
      <c r="H210" s="25"/>
      <c r="I210" s="25"/>
      <c r="J210" s="25"/>
      <c r="K210" s="25"/>
      <c r="L210" s="25"/>
      <c r="M210" s="25"/>
      <c r="N210" s="85">
        <f>'April 08'!N210+'July 08'!N209</f>
        <v>1166</v>
      </c>
      <c r="O210" s="25"/>
      <c r="P210" s="79"/>
      <c r="Q210" s="88"/>
      <c r="R210" s="5"/>
    </row>
    <row r="211" spans="1:18" ht="15.6" x14ac:dyDescent="0.3">
      <c r="A211" s="87"/>
      <c r="B211" s="122" t="s">
        <v>278</v>
      </c>
      <c r="C211" s="76"/>
      <c r="D211" s="76"/>
      <c r="E211" s="25"/>
      <c r="F211" s="25"/>
      <c r="G211" s="25"/>
      <c r="H211" s="25"/>
      <c r="I211" s="25"/>
      <c r="J211" s="25"/>
      <c r="K211" s="25"/>
      <c r="L211" s="25"/>
      <c r="M211" s="25"/>
      <c r="N211" s="85"/>
      <c r="O211" s="25"/>
      <c r="P211" s="79"/>
      <c r="Q211" s="88"/>
      <c r="R211" s="5"/>
    </row>
    <row r="212" spans="1:18" ht="15.6" x14ac:dyDescent="0.3">
      <c r="A212" s="87"/>
      <c r="B212" s="76" t="s">
        <v>276</v>
      </c>
      <c r="C212" s="76"/>
      <c r="D212" s="76"/>
      <c r="E212" s="25"/>
      <c r="F212" s="25"/>
      <c r="G212" s="25"/>
      <c r="H212" s="25"/>
      <c r="I212" s="25"/>
      <c r="J212" s="25"/>
      <c r="K212" s="25"/>
      <c r="L212" s="25"/>
      <c r="M212" s="30">
        <v>1</v>
      </c>
      <c r="N212" s="85">
        <v>39</v>
      </c>
      <c r="O212" s="25"/>
      <c r="P212" s="79"/>
      <c r="Q212" s="88"/>
      <c r="R212" s="5"/>
    </row>
    <row r="213" spans="1:18" ht="15.6" x14ac:dyDescent="0.3">
      <c r="A213" s="84"/>
      <c r="B213" s="76" t="s">
        <v>95</v>
      </c>
      <c r="C213" s="89"/>
      <c r="D213" s="90"/>
      <c r="E213" s="25"/>
      <c r="F213" s="25"/>
      <c r="G213" s="25"/>
      <c r="H213" s="25"/>
      <c r="I213" s="25"/>
      <c r="J213" s="25"/>
      <c r="K213" s="25"/>
      <c r="L213" s="25"/>
      <c r="M213" s="25"/>
      <c r="N213" s="62">
        <v>26.55</v>
      </c>
      <c r="O213" s="25"/>
      <c r="P213" s="79"/>
      <c r="Q213" s="88"/>
      <c r="R213" s="5"/>
    </row>
    <row r="214" spans="1:18" ht="15.6" x14ac:dyDescent="0.3">
      <c r="A214" s="84"/>
      <c r="B214" s="76" t="s">
        <v>96</v>
      </c>
      <c r="C214" s="89"/>
      <c r="D214" s="90"/>
      <c r="E214" s="25"/>
      <c r="F214" s="25"/>
      <c r="G214" s="25"/>
      <c r="H214" s="25"/>
      <c r="I214" s="25"/>
      <c r="J214" s="25"/>
      <c r="K214" s="25"/>
      <c r="L214" s="25"/>
      <c r="M214" s="25"/>
      <c r="N214" s="62">
        <v>6.54</v>
      </c>
      <c r="O214" s="25"/>
      <c r="P214" s="79"/>
      <c r="Q214" s="88"/>
      <c r="R214" s="5"/>
    </row>
    <row r="215" spans="1:18" ht="15.6" x14ac:dyDescent="0.3">
      <c r="A215" s="84"/>
      <c r="B215" s="122" t="s">
        <v>251</v>
      </c>
      <c r="C215" s="89"/>
      <c r="D215" s="90"/>
      <c r="E215" s="25"/>
      <c r="F215" s="25"/>
      <c r="G215" s="25"/>
      <c r="H215" s="25"/>
      <c r="I215" s="25"/>
      <c r="J215" s="25"/>
      <c r="K215" s="25"/>
      <c r="L215" s="25"/>
      <c r="M215" s="25"/>
      <c r="N215" s="91"/>
      <c r="O215" s="25"/>
      <c r="P215" s="79"/>
      <c r="Q215" s="88"/>
      <c r="R215" s="5"/>
    </row>
    <row r="216" spans="1:18" ht="15.6" x14ac:dyDescent="0.3">
      <c r="A216" s="84"/>
      <c r="B216" s="76" t="s">
        <v>276</v>
      </c>
      <c r="C216" s="89"/>
      <c r="D216" s="90"/>
      <c r="E216" s="25"/>
      <c r="F216" s="25"/>
      <c r="G216" s="25"/>
      <c r="H216" s="25"/>
      <c r="I216" s="25"/>
      <c r="J216" s="25"/>
      <c r="K216" s="25"/>
      <c r="L216" s="25"/>
      <c r="M216" s="30">
        <v>3</v>
      </c>
      <c r="N216" s="85">
        <v>386</v>
      </c>
      <c r="O216" s="25"/>
      <c r="P216" s="79"/>
      <c r="Q216" s="88"/>
      <c r="R216" s="5"/>
    </row>
    <row r="217" spans="1:18" ht="15.6" x14ac:dyDescent="0.3">
      <c r="A217" s="84"/>
      <c r="B217" s="76" t="s">
        <v>252</v>
      </c>
      <c r="C217" s="89"/>
      <c r="D217" s="90"/>
      <c r="E217" s="25"/>
      <c r="F217" s="25"/>
      <c r="G217" s="25"/>
      <c r="H217" s="25"/>
      <c r="I217" s="25"/>
      <c r="J217" s="25"/>
      <c r="K217" s="25"/>
      <c r="L217" s="25"/>
      <c r="M217" s="25"/>
      <c r="N217" s="62">
        <v>18.79</v>
      </c>
      <c r="O217" s="25"/>
      <c r="P217" s="79"/>
      <c r="Q217" s="88"/>
      <c r="R217" s="5"/>
    </row>
    <row r="218" spans="1:18" ht="15.6" x14ac:dyDescent="0.3">
      <c r="A218" s="84"/>
      <c r="B218" s="76"/>
      <c r="C218" s="89"/>
      <c r="D218" s="90"/>
      <c r="E218" s="25"/>
      <c r="F218" s="25"/>
      <c r="G218" s="25"/>
      <c r="H218" s="25"/>
      <c r="I218" s="25"/>
      <c r="J218" s="25"/>
      <c r="K218" s="25"/>
      <c r="L218" s="25"/>
      <c r="M218" s="25"/>
      <c r="N218" s="91"/>
      <c r="O218" s="25"/>
      <c r="P218" s="79"/>
      <c r="Q218" s="88"/>
      <c r="R218" s="5"/>
    </row>
    <row r="219" spans="1:18" ht="17.399999999999999" x14ac:dyDescent="0.3">
      <c r="A219" s="84"/>
      <c r="B219" s="160" t="s">
        <v>244</v>
      </c>
      <c r="C219" s="161"/>
      <c r="D219" s="162"/>
      <c r="E219" s="163"/>
      <c r="F219" s="163"/>
      <c r="G219" s="163"/>
      <c r="H219" s="163"/>
      <c r="I219" s="166"/>
      <c r="J219" s="169" t="s">
        <v>243</v>
      </c>
      <c r="K219" s="163"/>
      <c r="L219" s="163"/>
      <c r="M219" s="25"/>
      <c r="N219" s="91"/>
      <c r="O219" s="25"/>
      <c r="P219" s="79"/>
      <c r="Q219" s="88"/>
      <c r="R219" s="5"/>
    </row>
    <row r="220" spans="1:18" ht="15.6" x14ac:dyDescent="0.3">
      <c r="A220" s="84"/>
      <c r="B220" s="156"/>
      <c r="C220" s="157"/>
      <c r="D220" s="158"/>
      <c r="E220" s="146"/>
      <c r="F220" s="146"/>
      <c r="G220" s="146"/>
      <c r="H220" s="146"/>
      <c r="I220" s="146"/>
      <c r="J220" s="146"/>
      <c r="K220" s="146"/>
      <c r="L220" s="146"/>
      <c r="M220" s="25"/>
      <c r="N220" s="91"/>
      <c r="O220" s="25"/>
      <c r="P220" s="79"/>
      <c r="Q220" s="88"/>
      <c r="R220" s="5"/>
    </row>
    <row r="221" spans="1:18" ht="15.6" x14ac:dyDescent="0.3">
      <c r="A221" s="6"/>
      <c r="B221" s="14" t="s">
        <v>236</v>
      </c>
      <c r="C221" s="81"/>
      <c r="D221" s="82"/>
      <c r="E221" s="81"/>
      <c r="F221" s="17"/>
      <c r="G221" s="17"/>
      <c r="H221" s="17"/>
      <c r="I221" s="17"/>
      <c r="J221" s="17"/>
      <c r="K221" s="17"/>
      <c r="L221" s="83" t="s">
        <v>113</v>
      </c>
      <c r="M221" s="17" t="s">
        <v>114</v>
      </c>
      <c r="N221" s="83" t="s">
        <v>123</v>
      </c>
      <c r="O221" s="17" t="s">
        <v>114</v>
      </c>
      <c r="P221" s="8"/>
      <c r="Q221" s="92"/>
      <c r="R221" s="5"/>
    </row>
    <row r="222" spans="1:18" ht="15.6" x14ac:dyDescent="0.3">
      <c r="A222" s="24"/>
      <c r="B222" s="54" t="s">
        <v>98</v>
      </c>
      <c r="C222" s="93"/>
      <c r="D222" s="25"/>
      <c r="E222" s="93"/>
      <c r="F222" s="93"/>
      <c r="G222" s="93"/>
      <c r="H222" s="93"/>
      <c r="I222" s="93"/>
      <c r="J222" s="93"/>
      <c r="K222" s="93"/>
      <c r="L222" s="54">
        <v>4115</v>
      </c>
      <c r="M222" s="94">
        <f t="shared" ref="M222:M229" si="1">L222/$L$230</f>
        <v>0.98823246878001925</v>
      </c>
      <c r="N222" s="53">
        <v>434804</v>
      </c>
      <c r="O222" s="136">
        <f t="shared" ref="O222:O229" si="2">N222/$N$230</f>
        <v>0.98787434026823218</v>
      </c>
      <c r="P222" s="79"/>
      <c r="Q222" s="88"/>
      <c r="R222" s="5"/>
    </row>
    <row r="223" spans="1:18" ht="15.6" x14ac:dyDescent="0.3">
      <c r="A223" s="24"/>
      <c r="B223" s="54" t="s">
        <v>99</v>
      </c>
      <c r="C223" s="93"/>
      <c r="D223" s="25"/>
      <c r="E223" s="94"/>
      <c r="F223" s="93"/>
      <c r="G223" s="93"/>
      <c r="H223" s="93"/>
      <c r="I223" s="93"/>
      <c r="J223" s="93"/>
      <c r="K223" s="93"/>
      <c r="L223" s="54">
        <v>32</v>
      </c>
      <c r="M223" s="94">
        <f t="shared" si="1"/>
        <v>7.684918347742555E-3</v>
      </c>
      <c r="N223" s="53">
        <v>3247</v>
      </c>
      <c r="O223" s="136">
        <f t="shared" si="2"/>
        <v>7.3771814032321465E-3</v>
      </c>
      <c r="P223" s="79"/>
      <c r="Q223" s="88"/>
      <c r="R223" s="5"/>
    </row>
    <row r="224" spans="1:18" ht="15.6" x14ac:dyDescent="0.3">
      <c r="A224" s="24"/>
      <c r="B224" s="54" t="s">
        <v>100</v>
      </c>
      <c r="C224" s="93"/>
      <c r="D224" s="25"/>
      <c r="E224" s="94"/>
      <c r="F224" s="93"/>
      <c r="G224" s="93"/>
      <c r="H224" s="93"/>
      <c r="I224" s="93"/>
      <c r="J224" s="93"/>
      <c r="K224" s="93"/>
      <c r="L224" s="54">
        <v>8</v>
      </c>
      <c r="M224" s="94">
        <f t="shared" si="1"/>
        <v>1.9212295869356388E-3</v>
      </c>
      <c r="N224" s="53">
        <v>1259</v>
      </c>
      <c r="O224" s="136">
        <f t="shared" si="2"/>
        <v>2.8604469931226583E-3</v>
      </c>
      <c r="P224" s="79"/>
      <c r="Q224" s="88"/>
      <c r="R224" s="5"/>
    </row>
    <row r="225" spans="1:18" ht="15.6" x14ac:dyDescent="0.3">
      <c r="A225" s="24"/>
      <c r="B225" s="54" t="s">
        <v>227</v>
      </c>
      <c r="C225" s="93"/>
      <c r="D225" s="25"/>
      <c r="E225" s="94"/>
      <c r="F225" s="93"/>
      <c r="G225" s="93"/>
      <c r="H225" s="93"/>
      <c r="I225" s="93"/>
      <c r="J225" s="93"/>
      <c r="K225" s="93"/>
      <c r="L225" s="54">
        <v>4</v>
      </c>
      <c r="M225" s="94">
        <f t="shared" si="1"/>
        <v>9.6061479346781938E-4</v>
      </c>
      <c r="N225" s="53">
        <v>300</v>
      </c>
      <c r="O225" s="136">
        <f t="shared" si="2"/>
        <v>6.8159976007688442E-4</v>
      </c>
      <c r="P225" s="79"/>
      <c r="Q225" s="88"/>
      <c r="R225" s="5"/>
    </row>
    <row r="226" spans="1:18" ht="15.6" x14ac:dyDescent="0.3">
      <c r="A226" s="24"/>
      <c r="B226" s="54" t="s">
        <v>228</v>
      </c>
      <c r="C226" s="93"/>
      <c r="D226" s="25"/>
      <c r="E226" s="94"/>
      <c r="F226" s="93"/>
      <c r="G226" s="93"/>
      <c r="H226" s="93"/>
      <c r="I226" s="93"/>
      <c r="J226" s="93"/>
      <c r="K226" s="93"/>
      <c r="L226" s="54">
        <v>1</v>
      </c>
      <c r="M226" s="94">
        <f t="shared" si="1"/>
        <v>2.4015369836695484E-4</v>
      </c>
      <c r="N226" s="53">
        <v>310</v>
      </c>
      <c r="O226" s="136">
        <f t="shared" si="2"/>
        <v>7.0431975207944724E-4</v>
      </c>
      <c r="P226" s="79"/>
      <c r="Q226" s="88"/>
      <c r="R226" s="5"/>
    </row>
    <row r="227" spans="1:18" ht="15.6" x14ac:dyDescent="0.3">
      <c r="A227" s="24"/>
      <c r="B227" s="54" t="s">
        <v>229</v>
      </c>
      <c r="C227" s="93"/>
      <c r="D227" s="25"/>
      <c r="E227" s="94"/>
      <c r="F227" s="93"/>
      <c r="G227" s="93"/>
      <c r="H227" s="93"/>
      <c r="I227" s="93"/>
      <c r="J227" s="93"/>
      <c r="K227" s="93"/>
      <c r="L227" s="54">
        <v>2</v>
      </c>
      <c r="M227" s="94">
        <f t="shared" si="1"/>
        <v>4.8030739673390969E-4</v>
      </c>
      <c r="N227" s="53">
        <v>43</v>
      </c>
      <c r="O227" s="136">
        <f t="shared" si="2"/>
        <v>9.7695965611020104E-5</v>
      </c>
      <c r="P227" s="79"/>
      <c r="Q227" s="88"/>
      <c r="R227" s="5"/>
    </row>
    <row r="228" spans="1:18" ht="15.6" x14ac:dyDescent="0.3">
      <c r="A228" s="24"/>
      <c r="B228" s="54" t="s">
        <v>230</v>
      </c>
      <c r="C228" s="93"/>
      <c r="D228" s="25"/>
      <c r="E228" s="94"/>
      <c r="F228" s="93"/>
      <c r="G228" s="93"/>
      <c r="H228" s="93"/>
      <c r="I228" s="93"/>
      <c r="J228" s="93"/>
      <c r="K228" s="93"/>
      <c r="L228" s="54">
        <v>0</v>
      </c>
      <c r="M228" s="94">
        <f t="shared" si="1"/>
        <v>0</v>
      </c>
      <c r="N228" s="53">
        <v>0</v>
      </c>
      <c r="O228" s="136">
        <f t="shared" si="2"/>
        <v>0</v>
      </c>
      <c r="P228" s="79"/>
      <c r="Q228" s="88"/>
      <c r="R228" s="5"/>
    </row>
    <row r="229" spans="1:18" ht="15.6" x14ac:dyDescent="0.3">
      <c r="A229" s="24"/>
      <c r="B229" s="54" t="s">
        <v>231</v>
      </c>
      <c r="C229" s="93"/>
      <c r="D229" s="25"/>
      <c r="E229" s="94"/>
      <c r="F229" s="93"/>
      <c r="G229" s="93"/>
      <c r="H229" s="93"/>
      <c r="I229" s="93"/>
      <c r="J229" s="93"/>
      <c r="K229" s="93"/>
      <c r="L229" s="54">
        <v>2</v>
      </c>
      <c r="M229" s="94">
        <f t="shared" si="1"/>
        <v>4.8030739673390969E-4</v>
      </c>
      <c r="N229" s="53">
        <v>178</v>
      </c>
      <c r="O229" s="136">
        <f t="shared" si="2"/>
        <v>4.0441585764561814E-4</v>
      </c>
      <c r="P229" s="79"/>
      <c r="Q229" s="88"/>
      <c r="R229" s="5"/>
    </row>
    <row r="230" spans="1:18" ht="15.6" x14ac:dyDescent="0.3">
      <c r="A230" s="24"/>
      <c r="B230" s="25" t="s">
        <v>129</v>
      </c>
      <c r="C230" s="25"/>
      <c r="D230" s="25"/>
      <c r="E230" s="25"/>
      <c r="F230" s="95"/>
      <c r="G230" s="95"/>
      <c r="H230" s="95"/>
      <c r="I230" s="95"/>
      <c r="J230" s="95"/>
      <c r="K230" s="95"/>
      <c r="L230" s="34">
        <f>SUM(L222:L229)</f>
        <v>4164</v>
      </c>
      <c r="M230" s="136">
        <f>SUM(M222:M229)</f>
        <v>1</v>
      </c>
      <c r="N230" s="53">
        <f>SUM(N222:N229)</f>
        <v>440141</v>
      </c>
      <c r="O230" s="136">
        <f>SUM(O222:O229)</f>
        <v>1</v>
      </c>
      <c r="P230" s="25"/>
      <c r="Q230" s="25"/>
      <c r="R230" s="5"/>
    </row>
    <row r="231" spans="1:18" ht="15.6" x14ac:dyDescent="0.3">
      <c r="A231" s="24"/>
      <c r="B231" s="25"/>
      <c r="C231" s="25"/>
      <c r="D231" s="25"/>
      <c r="E231" s="25"/>
      <c r="F231" s="95"/>
      <c r="G231" s="95"/>
      <c r="H231" s="95"/>
      <c r="I231" s="95"/>
      <c r="J231" s="95"/>
      <c r="K231" s="95"/>
      <c r="L231" s="34"/>
      <c r="M231" s="136"/>
      <c r="N231" s="53"/>
      <c r="O231" s="136"/>
      <c r="P231" s="25"/>
      <c r="Q231" s="25"/>
      <c r="R231" s="5"/>
    </row>
    <row r="232" spans="1:18" ht="15.6" x14ac:dyDescent="0.3">
      <c r="A232" s="148"/>
      <c r="B232" s="14" t="s">
        <v>238</v>
      </c>
      <c r="C232" s="81"/>
      <c r="D232" s="82"/>
      <c r="E232" s="81"/>
      <c r="F232" s="17"/>
      <c r="G232" s="17"/>
      <c r="H232" s="17"/>
      <c r="I232" s="17"/>
      <c r="J232" s="17"/>
      <c r="K232" s="17"/>
      <c r="L232" s="83" t="s">
        <v>113</v>
      </c>
      <c r="M232" s="17" t="s">
        <v>114</v>
      </c>
      <c r="N232" s="83" t="s">
        <v>123</v>
      </c>
      <c r="O232" s="17" t="s">
        <v>114</v>
      </c>
      <c r="P232" s="8"/>
      <c r="Q232" s="149"/>
      <c r="R232" s="5"/>
    </row>
    <row r="233" spans="1:18" ht="15.6" x14ac:dyDescent="0.3">
      <c r="A233" s="24"/>
      <c r="B233" s="54" t="s">
        <v>98</v>
      </c>
      <c r="C233" s="93"/>
      <c r="D233" s="25"/>
      <c r="E233" s="93"/>
      <c r="F233" s="93"/>
      <c r="G233" s="93"/>
      <c r="H233" s="93"/>
      <c r="I233" s="93"/>
      <c r="J233" s="93"/>
      <c r="K233" s="93"/>
      <c r="L233" s="54">
        <v>1</v>
      </c>
      <c r="M233" s="94">
        <f t="shared" ref="M233:M240" si="3">L233/$L$241</f>
        <v>2.7777777777777776E-2</v>
      </c>
      <c r="N233" s="53">
        <v>201</v>
      </c>
      <c r="O233" s="136">
        <f t="shared" ref="O233:O240" si="4">N233/$N$241</f>
        <v>3.5631980145364298E-2</v>
      </c>
      <c r="P233" s="79"/>
      <c r="Q233" s="25"/>
      <c r="R233" s="5"/>
    </row>
    <row r="234" spans="1:18" ht="15.6" x14ac:dyDescent="0.3">
      <c r="A234" s="24"/>
      <c r="B234" s="54" t="s">
        <v>99</v>
      </c>
      <c r="C234" s="93"/>
      <c r="D234" s="25"/>
      <c r="E234" s="94"/>
      <c r="F234" s="93"/>
      <c r="G234" s="93"/>
      <c r="H234" s="93"/>
      <c r="I234" s="93"/>
      <c r="J234" s="93"/>
      <c r="K234" s="93"/>
      <c r="L234" s="54">
        <v>10</v>
      </c>
      <c r="M234" s="94">
        <f t="shared" si="3"/>
        <v>0.27777777777777779</v>
      </c>
      <c r="N234" s="53">
        <v>1964</v>
      </c>
      <c r="O234" s="136">
        <f t="shared" si="4"/>
        <v>0.34816521893281333</v>
      </c>
      <c r="P234" s="79"/>
      <c r="Q234" s="25"/>
      <c r="R234" s="5"/>
    </row>
    <row r="235" spans="1:18" ht="15.6" x14ac:dyDescent="0.3">
      <c r="A235" s="24"/>
      <c r="B235" s="54" t="s">
        <v>100</v>
      </c>
      <c r="C235" s="93"/>
      <c r="D235" s="25"/>
      <c r="E235" s="94"/>
      <c r="F235" s="93"/>
      <c r="G235" s="93"/>
      <c r="H235" s="93"/>
      <c r="I235" s="93"/>
      <c r="J235" s="93"/>
      <c r="K235" s="93"/>
      <c r="L235" s="54">
        <v>3</v>
      </c>
      <c r="M235" s="94">
        <f t="shared" si="3"/>
        <v>8.3333333333333329E-2</v>
      </c>
      <c r="N235" s="53">
        <v>702</v>
      </c>
      <c r="O235" s="136">
        <f t="shared" si="4"/>
        <v>0.12444602020918277</v>
      </c>
      <c r="P235" s="79"/>
      <c r="Q235" s="25"/>
      <c r="R235" s="5"/>
    </row>
    <row r="236" spans="1:18" ht="15.6" x14ac:dyDescent="0.3">
      <c r="A236" s="24"/>
      <c r="B236" s="54" t="s">
        <v>227</v>
      </c>
      <c r="C236" s="93"/>
      <c r="D236" s="25"/>
      <c r="E236" s="94"/>
      <c r="F236" s="93"/>
      <c r="G236" s="93"/>
      <c r="H236" s="93"/>
      <c r="I236" s="93"/>
      <c r="J236" s="93"/>
      <c r="K236" s="93"/>
      <c r="L236" s="54">
        <v>4</v>
      </c>
      <c r="M236" s="94">
        <f t="shared" si="3"/>
        <v>0.1111111111111111</v>
      </c>
      <c r="N236" s="53">
        <v>327</v>
      </c>
      <c r="O236" s="136">
        <f t="shared" si="4"/>
        <v>5.7968445311115051E-2</v>
      </c>
      <c r="P236" s="79"/>
      <c r="Q236" s="25"/>
      <c r="R236" s="5"/>
    </row>
    <row r="237" spans="1:18" ht="15.6" x14ac:dyDescent="0.3">
      <c r="A237" s="24"/>
      <c r="B237" s="54" t="s">
        <v>228</v>
      </c>
      <c r="C237" s="93"/>
      <c r="D237" s="25"/>
      <c r="E237" s="94"/>
      <c r="F237" s="93"/>
      <c r="G237" s="93"/>
      <c r="H237" s="93"/>
      <c r="I237" s="93"/>
      <c r="J237" s="93"/>
      <c r="K237" s="93"/>
      <c r="L237" s="54">
        <v>2</v>
      </c>
      <c r="M237" s="94">
        <f t="shared" si="3"/>
        <v>5.5555555555555552E-2</v>
      </c>
      <c r="N237" s="53">
        <v>255</v>
      </c>
      <c r="O237" s="136">
        <f t="shared" si="4"/>
        <v>4.5204750930686051E-2</v>
      </c>
      <c r="P237" s="79"/>
      <c r="Q237" s="25"/>
      <c r="R237" s="5"/>
    </row>
    <row r="238" spans="1:18" ht="15.6" x14ac:dyDescent="0.3">
      <c r="A238" s="24"/>
      <c r="B238" s="54" t="s">
        <v>229</v>
      </c>
      <c r="C238" s="93"/>
      <c r="D238" s="25"/>
      <c r="E238" s="94"/>
      <c r="F238" s="93"/>
      <c r="G238" s="93"/>
      <c r="H238" s="93"/>
      <c r="I238" s="93"/>
      <c r="J238" s="93"/>
      <c r="K238" s="93"/>
      <c r="L238" s="54">
        <v>2</v>
      </c>
      <c r="M238" s="94">
        <f t="shared" si="3"/>
        <v>5.5555555555555552E-2</v>
      </c>
      <c r="N238" s="53">
        <v>281</v>
      </c>
      <c r="O238" s="136">
        <f t="shared" si="4"/>
        <v>4.9813862790285407E-2</v>
      </c>
      <c r="P238" s="79"/>
      <c r="Q238" s="25"/>
      <c r="R238" s="5"/>
    </row>
    <row r="239" spans="1:18" ht="15.6" x14ac:dyDescent="0.3">
      <c r="A239" s="24"/>
      <c r="B239" s="54" t="s">
        <v>230</v>
      </c>
      <c r="C239" s="93"/>
      <c r="D239" s="25"/>
      <c r="E239" s="94"/>
      <c r="F239" s="93"/>
      <c r="G239" s="93"/>
      <c r="H239" s="93"/>
      <c r="I239" s="93"/>
      <c r="J239" s="93"/>
      <c r="K239" s="93"/>
      <c r="L239" s="54">
        <v>8</v>
      </c>
      <c r="M239" s="94">
        <f t="shared" si="3"/>
        <v>0.22222222222222221</v>
      </c>
      <c r="N239" s="53">
        <v>1141</v>
      </c>
      <c r="O239" s="136">
        <f t="shared" si="4"/>
        <v>0.20226910122318739</v>
      </c>
      <c r="P239" s="79"/>
      <c r="Q239" s="25"/>
      <c r="R239" s="5"/>
    </row>
    <row r="240" spans="1:18" ht="15.6" x14ac:dyDescent="0.3">
      <c r="A240" s="24"/>
      <c r="B240" s="54" t="s">
        <v>231</v>
      </c>
      <c r="C240" s="93"/>
      <c r="D240" s="25"/>
      <c r="E240" s="94"/>
      <c r="F240" s="93"/>
      <c r="G240" s="93"/>
      <c r="H240" s="93"/>
      <c r="I240" s="93"/>
      <c r="J240" s="93"/>
      <c r="K240" s="93"/>
      <c r="L240" s="54">
        <v>6</v>
      </c>
      <c r="M240" s="94">
        <f t="shared" si="3"/>
        <v>0.16666666666666666</v>
      </c>
      <c r="N240" s="53">
        <v>770</v>
      </c>
      <c r="O240" s="136">
        <f t="shared" si="4"/>
        <v>0.13650062045736572</v>
      </c>
      <c r="P240" s="79"/>
      <c r="Q240" s="25"/>
      <c r="R240" s="5"/>
    </row>
    <row r="241" spans="1:18" ht="15.6" x14ac:dyDescent="0.3">
      <c r="A241" s="24"/>
      <c r="B241" s="25" t="s">
        <v>129</v>
      </c>
      <c r="C241" s="25"/>
      <c r="D241" s="25"/>
      <c r="E241" s="25"/>
      <c r="F241" s="95"/>
      <c r="G241" s="95"/>
      <c r="H241" s="95"/>
      <c r="I241" s="95"/>
      <c r="J241" s="95"/>
      <c r="K241" s="95"/>
      <c r="L241" s="34">
        <f>SUM(L233:L240)</f>
        <v>36</v>
      </c>
      <c r="M241" s="136">
        <f>SUM(M233:M240)</f>
        <v>1</v>
      </c>
      <c r="N241" s="53">
        <f>SUM(N233:N240)</f>
        <v>5641</v>
      </c>
      <c r="O241" s="136">
        <f>SUM(O233:O240)</f>
        <v>1</v>
      </c>
      <c r="P241" s="25"/>
      <c r="Q241" s="25"/>
      <c r="R241" s="5"/>
    </row>
    <row r="242" spans="1:18" ht="15.6" x14ac:dyDescent="0.3">
      <c r="A242" s="24"/>
      <c r="B242" s="25"/>
      <c r="C242" s="25"/>
      <c r="D242" s="25"/>
      <c r="E242" s="25"/>
      <c r="F242" s="95"/>
      <c r="G242" s="95"/>
      <c r="H242" s="95"/>
      <c r="I242" s="95"/>
      <c r="J242" s="95"/>
      <c r="K242" s="95"/>
      <c r="L242" s="34"/>
      <c r="M242" s="136"/>
      <c r="N242" s="53"/>
      <c r="O242" s="136"/>
      <c r="P242" s="25"/>
      <c r="Q242" s="25"/>
      <c r="R242" s="5"/>
    </row>
    <row r="243" spans="1:18" ht="15.6" x14ac:dyDescent="0.3">
      <c r="A243" s="148"/>
      <c r="B243" s="14" t="s">
        <v>239</v>
      </c>
      <c r="C243" s="81"/>
      <c r="D243" s="82"/>
      <c r="E243" s="81"/>
      <c r="F243" s="17"/>
      <c r="G243" s="17"/>
      <c r="H243" s="17"/>
      <c r="I243" s="17"/>
      <c r="J243" s="17"/>
      <c r="K243" s="17"/>
      <c r="L243" s="83" t="s">
        <v>113</v>
      </c>
      <c r="M243" s="17" t="s">
        <v>114</v>
      </c>
      <c r="N243" s="83" t="s">
        <v>123</v>
      </c>
      <c r="O243" s="17" t="s">
        <v>114</v>
      </c>
      <c r="P243" s="150"/>
      <c r="Q243" s="149"/>
      <c r="R243" s="5"/>
    </row>
    <row r="244" spans="1:18" ht="15.6" x14ac:dyDescent="0.3">
      <c r="A244" s="24"/>
      <c r="B244" s="54" t="s">
        <v>98</v>
      </c>
      <c r="C244" s="93"/>
      <c r="D244" s="25"/>
      <c r="E244" s="93"/>
      <c r="F244" s="93"/>
      <c r="G244" s="93"/>
      <c r="H244" s="93"/>
      <c r="I244" s="93"/>
      <c r="J244" s="93"/>
      <c r="K244" s="93"/>
      <c r="L244" s="54">
        <v>0</v>
      </c>
      <c r="M244" s="136">
        <f t="shared" ref="M244:M252" si="5">L244/$L$252</f>
        <v>0</v>
      </c>
      <c r="N244" s="53">
        <v>0</v>
      </c>
      <c r="O244" s="136">
        <f t="shared" ref="O244:O252" si="6">N244/$N$252</f>
        <v>0</v>
      </c>
      <c r="P244" s="25"/>
      <c r="Q244" s="25"/>
      <c r="R244" s="5"/>
    </row>
    <row r="245" spans="1:18" ht="15.6" x14ac:dyDescent="0.3">
      <c r="A245" s="24"/>
      <c r="B245" s="54" t="s">
        <v>99</v>
      </c>
      <c r="C245" s="93"/>
      <c r="D245" s="25"/>
      <c r="E245" s="94"/>
      <c r="F245" s="93"/>
      <c r="G245" s="93"/>
      <c r="H245" s="93"/>
      <c r="I245" s="93"/>
      <c r="J245" s="93"/>
      <c r="K245" s="93"/>
      <c r="L245" s="54">
        <v>0</v>
      </c>
      <c r="M245" s="136">
        <f t="shared" si="5"/>
        <v>0</v>
      </c>
      <c r="N245" s="53">
        <v>0</v>
      </c>
      <c r="O245" s="136">
        <f t="shared" si="6"/>
        <v>0</v>
      </c>
      <c r="P245" s="25"/>
      <c r="Q245" s="25"/>
      <c r="R245" s="5"/>
    </row>
    <row r="246" spans="1:18" ht="15.6" x14ac:dyDescent="0.3">
      <c r="A246" s="24"/>
      <c r="B246" s="54" t="s">
        <v>100</v>
      </c>
      <c r="C246" s="93"/>
      <c r="D246" s="25"/>
      <c r="E246" s="94"/>
      <c r="F246" s="93"/>
      <c r="G246" s="93"/>
      <c r="H246" s="93"/>
      <c r="I246" s="93"/>
      <c r="J246" s="93"/>
      <c r="K246" s="93"/>
      <c r="L246" s="54">
        <v>0</v>
      </c>
      <c r="M246" s="136">
        <f t="shared" si="5"/>
        <v>0</v>
      </c>
      <c r="N246" s="53">
        <v>0</v>
      </c>
      <c r="O246" s="136">
        <f t="shared" si="6"/>
        <v>0</v>
      </c>
      <c r="P246" s="25"/>
      <c r="Q246" s="25"/>
      <c r="R246" s="5"/>
    </row>
    <row r="247" spans="1:18" ht="15.6" x14ac:dyDescent="0.3">
      <c r="A247" s="24"/>
      <c r="B247" s="54" t="s">
        <v>227</v>
      </c>
      <c r="C247" s="93"/>
      <c r="D247" s="25"/>
      <c r="E247" s="94"/>
      <c r="F247" s="93"/>
      <c r="G247" s="93"/>
      <c r="H247" s="93"/>
      <c r="I247" s="93"/>
      <c r="J247" s="93"/>
      <c r="K247" s="93"/>
      <c r="L247" s="54">
        <v>0</v>
      </c>
      <c r="M247" s="136">
        <f t="shared" si="5"/>
        <v>0</v>
      </c>
      <c r="N247" s="53">
        <v>0</v>
      </c>
      <c r="O247" s="136">
        <f t="shared" si="6"/>
        <v>0</v>
      </c>
      <c r="P247" s="25"/>
      <c r="Q247" s="25"/>
      <c r="R247" s="5"/>
    </row>
    <row r="248" spans="1:18" ht="15.6" x14ac:dyDescent="0.3">
      <c r="A248" s="24"/>
      <c r="B248" s="54" t="s">
        <v>228</v>
      </c>
      <c r="C248" s="93"/>
      <c r="D248" s="25"/>
      <c r="E248" s="94"/>
      <c r="F248" s="93"/>
      <c r="G248" s="93"/>
      <c r="H248" s="93"/>
      <c r="I248" s="93"/>
      <c r="J248" s="93"/>
      <c r="K248" s="93"/>
      <c r="L248" s="54">
        <v>0</v>
      </c>
      <c r="M248" s="136">
        <f t="shared" si="5"/>
        <v>0</v>
      </c>
      <c r="N248" s="53">
        <v>0</v>
      </c>
      <c r="O248" s="136">
        <f t="shared" si="6"/>
        <v>0</v>
      </c>
      <c r="P248" s="25"/>
      <c r="Q248" s="25"/>
      <c r="R248" s="5"/>
    </row>
    <row r="249" spans="1:18" ht="15.6" x14ac:dyDescent="0.3">
      <c r="A249" s="24"/>
      <c r="B249" s="54" t="s">
        <v>229</v>
      </c>
      <c r="C249" s="93"/>
      <c r="D249" s="25"/>
      <c r="E249" s="94"/>
      <c r="F249" s="93"/>
      <c r="G249" s="93"/>
      <c r="H249" s="93"/>
      <c r="I249" s="93"/>
      <c r="J249" s="93"/>
      <c r="K249" s="93"/>
      <c r="L249" s="54">
        <v>0</v>
      </c>
      <c r="M249" s="136">
        <f t="shared" si="5"/>
        <v>0</v>
      </c>
      <c r="N249" s="53">
        <v>0</v>
      </c>
      <c r="O249" s="136">
        <f t="shared" si="6"/>
        <v>0</v>
      </c>
      <c r="P249" s="25"/>
      <c r="Q249" s="25"/>
      <c r="R249" s="5"/>
    </row>
    <row r="250" spans="1:18" ht="15.6" x14ac:dyDescent="0.3">
      <c r="A250" s="24"/>
      <c r="B250" s="54" t="s">
        <v>230</v>
      </c>
      <c r="C250" s="93"/>
      <c r="D250" s="25"/>
      <c r="E250" s="94"/>
      <c r="F250" s="93"/>
      <c r="G250" s="93"/>
      <c r="H250" s="93"/>
      <c r="I250" s="93"/>
      <c r="J250" s="93"/>
      <c r="K250" s="93"/>
      <c r="L250" s="54">
        <v>1</v>
      </c>
      <c r="M250" s="136">
        <f t="shared" si="5"/>
        <v>0.5</v>
      </c>
      <c r="N250" s="53">
        <v>123</v>
      </c>
      <c r="O250" s="136">
        <f t="shared" si="6"/>
        <v>0.59134615384615385</v>
      </c>
      <c r="P250" s="25"/>
      <c r="Q250" s="25"/>
      <c r="R250" s="5"/>
    </row>
    <row r="251" spans="1:18" ht="15.6" x14ac:dyDescent="0.3">
      <c r="A251" s="24"/>
      <c r="B251" s="54" t="s">
        <v>231</v>
      </c>
      <c r="C251" s="93"/>
      <c r="D251" s="25"/>
      <c r="E251" s="94"/>
      <c r="F251" s="93"/>
      <c r="G251" s="93"/>
      <c r="H251" s="93"/>
      <c r="I251" s="93"/>
      <c r="J251" s="93"/>
      <c r="K251" s="93"/>
      <c r="L251" s="54">
        <v>1</v>
      </c>
      <c r="M251" s="136">
        <f t="shared" si="5"/>
        <v>0.5</v>
      </c>
      <c r="N251" s="53">
        <v>85</v>
      </c>
      <c r="O251" s="136">
        <f t="shared" si="6"/>
        <v>0.40865384615384615</v>
      </c>
      <c r="P251" s="25"/>
      <c r="Q251" s="25"/>
      <c r="R251" s="5"/>
    </row>
    <row r="252" spans="1:18" ht="15.6" x14ac:dyDescent="0.3">
      <c r="A252" s="24"/>
      <c r="B252" s="25" t="s">
        <v>129</v>
      </c>
      <c r="C252" s="25"/>
      <c r="D252" s="25"/>
      <c r="E252" s="25"/>
      <c r="F252" s="95"/>
      <c r="G252" s="95"/>
      <c r="H252" s="95"/>
      <c r="I252" s="95"/>
      <c r="J252" s="95"/>
      <c r="K252" s="95"/>
      <c r="L252" s="34">
        <f>SUM(L244:L251)</f>
        <v>2</v>
      </c>
      <c r="M252" s="136">
        <f t="shared" si="5"/>
        <v>1</v>
      </c>
      <c r="N252" s="53">
        <f>SUM(N244:N251)</f>
        <v>208</v>
      </c>
      <c r="O252" s="136">
        <f t="shared" si="6"/>
        <v>1</v>
      </c>
      <c r="P252" s="25"/>
      <c r="Q252" s="25"/>
      <c r="R252" s="5"/>
    </row>
    <row r="253" spans="1:18" ht="15.6" x14ac:dyDescent="0.3">
      <c r="A253" s="24"/>
      <c r="B253" s="25"/>
      <c r="C253" s="25"/>
      <c r="D253" s="25"/>
      <c r="E253" s="25"/>
      <c r="F253" s="95"/>
      <c r="G253" s="95"/>
      <c r="H253" s="95"/>
      <c r="I253" s="95"/>
      <c r="J253" s="95"/>
      <c r="K253" s="95"/>
      <c r="L253" s="34"/>
      <c r="M253" s="136"/>
      <c r="N253" s="53"/>
      <c r="O253" s="136"/>
      <c r="P253" s="25"/>
      <c r="Q253" s="25"/>
      <c r="R253" s="5"/>
    </row>
    <row r="254" spans="1:18" ht="15.6" x14ac:dyDescent="0.3">
      <c r="A254" s="24"/>
      <c r="B254" s="152" t="s">
        <v>240</v>
      </c>
      <c r="C254" s="25"/>
      <c r="D254" s="25"/>
      <c r="E254" s="25"/>
      <c r="F254" s="95"/>
      <c r="G254" s="95"/>
      <c r="H254" s="95"/>
      <c r="I254" s="95"/>
      <c r="J254" s="95"/>
      <c r="K254" s="95"/>
      <c r="L254" s="173">
        <f>+L230+L241+L252</f>
        <v>4202</v>
      </c>
      <c r="M254" s="136"/>
      <c r="N254" s="153">
        <f>+N252+N241+N230</f>
        <v>445990</v>
      </c>
      <c r="O254" s="136"/>
      <c r="P254" s="25"/>
      <c r="Q254" s="25"/>
      <c r="R254" s="5"/>
    </row>
    <row r="255" spans="1:18" ht="15.6" x14ac:dyDescent="0.3">
      <c r="A255" s="24"/>
      <c r="B255" s="25"/>
      <c r="C255" s="25"/>
      <c r="D255" s="25"/>
      <c r="E255" s="25"/>
      <c r="F255" s="95"/>
      <c r="G255" s="95"/>
      <c r="H255" s="95"/>
      <c r="I255" s="95"/>
      <c r="J255" s="95"/>
      <c r="K255" s="95"/>
      <c r="L255" s="95"/>
      <c r="M255" s="95"/>
      <c r="N255" s="53"/>
      <c r="O255" s="95"/>
      <c r="P255" s="25"/>
      <c r="Q255" s="25"/>
      <c r="R255" s="5"/>
    </row>
    <row r="256" spans="1:18" ht="15.6" x14ac:dyDescent="0.3">
      <c r="A256" s="6"/>
      <c r="B256" s="8"/>
      <c r="C256" s="8"/>
      <c r="D256" s="8"/>
      <c r="E256" s="8"/>
      <c r="F256" s="96"/>
      <c r="G256" s="96"/>
      <c r="H256" s="96"/>
      <c r="I256" s="96"/>
      <c r="J256" s="96"/>
      <c r="K256" s="96"/>
      <c r="L256" s="96"/>
      <c r="M256" s="96"/>
      <c r="N256" s="97"/>
      <c r="O256" s="96"/>
      <c r="P256" s="8"/>
      <c r="Q256" s="8"/>
      <c r="R256" s="5"/>
    </row>
    <row r="257" spans="1:18" ht="15.6" x14ac:dyDescent="0.3">
      <c r="A257" s="145"/>
      <c r="B257" s="14" t="s">
        <v>102</v>
      </c>
      <c r="C257" s="15"/>
      <c r="D257" s="15"/>
      <c r="E257" s="15"/>
      <c r="F257" s="17" t="s">
        <v>108</v>
      </c>
      <c r="G257" s="15"/>
      <c r="H257" s="14" t="s">
        <v>110</v>
      </c>
      <c r="I257" s="140"/>
      <c r="J257" s="140"/>
      <c r="K257" s="140"/>
      <c r="L257" s="140"/>
      <c r="M257" s="140"/>
      <c r="N257" s="140"/>
      <c r="O257" s="140"/>
      <c r="P257" s="140"/>
      <c r="Q257" s="140"/>
      <c r="R257" s="5"/>
    </row>
    <row r="258" spans="1:18" ht="15.6" x14ac:dyDescent="0.3">
      <c r="A258" s="145"/>
      <c r="B258" s="140"/>
      <c r="C258" s="8"/>
      <c r="D258" s="8"/>
      <c r="E258" s="8"/>
      <c r="F258" s="8"/>
      <c r="G258" s="8"/>
      <c r="H258" s="8"/>
      <c r="I258" s="140"/>
      <c r="J258" s="140"/>
      <c r="K258" s="140"/>
      <c r="L258" s="140"/>
      <c r="M258" s="140"/>
      <c r="N258" s="140"/>
      <c r="O258" s="140"/>
      <c r="P258" s="140"/>
      <c r="Q258" s="140"/>
      <c r="R258" s="5"/>
    </row>
    <row r="259" spans="1:18" ht="15.6" x14ac:dyDescent="0.3">
      <c r="A259" s="145"/>
      <c r="B259" s="13" t="s">
        <v>103</v>
      </c>
      <c r="C259" s="13"/>
      <c r="D259" s="13"/>
      <c r="E259" s="13"/>
      <c r="F259" s="134" t="s">
        <v>212</v>
      </c>
      <c r="G259" s="13"/>
      <c r="H259" s="13" t="s">
        <v>222</v>
      </c>
      <c r="I259" s="140"/>
      <c r="J259" s="140"/>
      <c r="K259" s="140"/>
      <c r="L259" s="140"/>
      <c r="M259" s="140"/>
      <c r="N259" s="140"/>
      <c r="O259" s="140"/>
      <c r="P259" s="140"/>
      <c r="Q259" s="140"/>
      <c r="R259" s="5"/>
    </row>
    <row r="260" spans="1:18" ht="15.6" x14ac:dyDescent="0.3">
      <c r="A260" s="145"/>
      <c r="B260" s="13" t="s">
        <v>263</v>
      </c>
      <c r="C260" s="13"/>
      <c r="D260" s="13"/>
      <c r="E260" s="13"/>
      <c r="F260" s="134" t="s">
        <v>264</v>
      </c>
      <c r="G260" s="13"/>
      <c r="H260" s="13" t="s">
        <v>265</v>
      </c>
      <c r="I260" s="140"/>
      <c r="J260" s="140"/>
      <c r="K260" s="140"/>
      <c r="L260" s="140"/>
      <c r="M260" s="140"/>
      <c r="N260" s="140"/>
      <c r="O260" s="140"/>
      <c r="P260" s="140"/>
      <c r="Q260" s="140"/>
      <c r="R260" s="5"/>
    </row>
    <row r="261" spans="1:18" ht="15.6" x14ac:dyDescent="0.3">
      <c r="A261" s="145"/>
      <c r="B261" s="13" t="s">
        <v>104</v>
      </c>
      <c r="C261" s="13"/>
      <c r="D261" s="13"/>
      <c r="E261" s="13"/>
      <c r="F261" s="134" t="s">
        <v>211</v>
      </c>
      <c r="G261" s="13"/>
      <c r="H261" s="13" t="s">
        <v>223</v>
      </c>
      <c r="I261" s="140"/>
      <c r="J261" s="140"/>
      <c r="K261" s="140"/>
      <c r="L261" s="140"/>
      <c r="M261" s="140"/>
      <c r="N261" s="140"/>
      <c r="O261" s="140"/>
      <c r="P261" s="140"/>
      <c r="Q261" s="140"/>
      <c r="R261" s="5"/>
    </row>
    <row r="262" spans="1:18" ht="15.6" x14ac:dyDescent="0.3">
      <c r="A262" s="145"/>
      <c r="B262" s="13"/>
      <c r="C262" s="13"/>
      <c r="D262" s="13"/>
      <c r="E262" s="99"/>
      <c r="F262" s="140"/>
      <c r="G262" s="140"/>
      <c r="H262" s="140"/>
      <c r="I262" s="140"/>
      <c r="J262" s="140"/>
      <c r="K262" s="140"/>
      <c r="L262" s="140"/>
      <c r="M262" s="140"/>
      <c r="N262" s="140"/>
      <c r="O262" s="140"/>
      <c r="P262" s="140"/>
      <c r="Q262" s="140"/>
      <c r="R262" s="5"/>
    </row>
    <row r="263" spans="1:18" ht="15.6" x14ac:dyDescent="0.3">
      <c r="A263" s="145"/>
      <c r="B263" s="13"/>
      <c r="C263" s="13"/>
      <c r="D263" s="13"/>
      <c r="E263" s="99"/>
      <c r="F263" s="140"/>
      <c r="G263" s="140"/>
      <c r="H263" s="140"/>
      <c r="I263" s="140"/>
      <c r="J263" s="140"/>
      <c r="K263" s="140"/>
      <c r="L263" s="140"/>
      <c r="M263" s="140"/>
      <c r="N263" s="140"/>
      <c r="O263" s="140"/>
      <c r="P263" s="140"/>
      <c r="Q263" s="140"/>
      <c r="R263" s="5"/>
    </row>
    <row r="264" spans="1:18" ht="18" thickBot="1" x14ac:dyDescent="0.35">
      <c r="A264" s="145"/>
      <c r="B264" s="49" t="str">
        <f>B182</f>
        <v>PM7 INVESTOR REPORT QUARTER ENDING JULY 2008</v>
      </c>
      <c r="C264" s="13"/>
      <c r="D264" s="13"/>
      <c r="E264" s="99"/>
      <c r="F264" s="140"/>
      <c r="G264" s="140"/>
      <c r="H264" s="140"/>
      <c r="I264" s="140"/>
      <c r="J264" s="140"/>
      <c r="K264" s="140"/>
      <c r="L264" s="140"/>
      <c r="M264" s="140"/>
      <c r="N264" s="140"/>
      <c r="O264" s="140"/>
      <c r="P264" s="140"/>
      <c r="Q264" s="140"/>
      <c r="R264" s="5"/>
    </row>
    <row r="265" spans="1:18" x14ac:dyDescent="0.25">
      <c r="A265" s="100"/>
      <c r="B265" s="100"/>
      <c r="C265" s="100"/>
      <c r="D265" s="100"/>
      <c r="E265" s="100"/>
      <c r="F265" s="100"/>
      <c r="G265" s="100"/>
      <c r="H265" s="100"/>
      <c r="I265" s="100"/>
      <c r="J265" s="100"/>
      <c r="K265" s="100"/>
      <c r="L265" s="100"/>
      <c r="M265" s="100"/>
      <c r="N265" s="100"/>
      <c r="O265" s="100"/>
      <c r="P265" s="100"/>
      <c r="Q265" s="100"/>
    </row>
  </sheetData>
  <phoneticPr fontId="0" type="noConversion"/>
  <hyperlinks>
    <hyperlink ref="H9" r:id="rId1"/>
    <hyperlink ref="J21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2" max="14" man="1"/>
    <brk id="182" max="14"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S265"/>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0.95530000000000004</v>
      </c>
      <c r="N17" s="17" t="s">
        <v>173</v>
      </c>
      <c r="O17" s="138">
        <v>4.4699999999999997E-2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39776</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197533.35</v>
      </c>
      <c r="E34" s="31"/>
      <c r="F34" s="131">
        <f>+F33*F40</f>
        <v>96546.428</v>
      </c>
      <c r="G34" s="31"/>
      <c r="H34" s="124">
        <f>+H33*H40</f>
        <v>219494.30000000002</v>
      </c>
      <c r="I34" s="31"/>
      <c r="J34" s="130">
        <v>82500</v>
      </c>
      <c r="K34" s="31"/>
      <c r="L34" s="124">
        <v>65000</v>
      </c>
      <c r="M34" s="31"/>
      <c r="N34" s="31"/>
      <c r="O34" s="142"/>
      <c r="P34" s="31"/>
      <c r="Q34" s="34"/>
      <c r="R34" s="5"/>
    </row>
    <row r="35" spans="1:18" ht="15.6" x14ac:dyDescent="0.3">
      <c r="A35" s="28"/>
      <c r="B35" s="29" t="s">
        <v>158</v>
      </c>
      <c r="C35" s="36"/>
      <c r="D35" s="129">
        <f>+D33*D39</f>
        <v>191674.66499999998</v>
      </c>
      <c r="E35" s="35"/>
      <c r="F35" s="132">
        <f>+F33*F39</f>
        <v>93681.588000000003</v>
      </c>
      <c r="G35" s="35"/>
      <c r="H35" s="125">
        <f>+H33*H39</f>
        <v>212984.95</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111036.17200674537</v>
      </c>
      <c r="E37" s="31"/>
      <c r="F37" s="31">
        <f>+F34</f>
        <v>96546.428</v>
      </c>
      <c r="G37" s="31"/>
      <c r="H37" s="31">
        <f>+H34/1.481481</f>
        <v>148158.70065157773</v>
      </c>
      <c r="I37" s="31"/>
      <c r="J37" s="31">
        <v>46374</v>
      </c>
      <c r="K37" s="31"/>
      <c r="L37" s="31">
        <v>43875</v>
      </c>
      <c r="M37" s="31"/>
      <c r="N37" s="31"/>
      <c r="O37" s="142"/>
      <c r="P37" s="31">
        <f>SUM(C37:L37)</f>
        <v>445990.3006583231</v>
      </c>
      <c r="Q37" s="34"/>
      <c r="R37" s="5"/>
    </row>
    <row r="38" spans="1:18" ht="15.6" x14ac:dyDescent="0.3">
      <c r="A38" s="28"/>
      <c r="B38" s="29" t="s">
        <v>281</v>
      </c>
      <c r="C38" s="36"/>
      <c r="D38" s="35">
        <f>D35/1.779</f>
        <v>107742.92580101179</v>
      </c>
      <c r="E38" s="35"/>
      <c r="F38" s="35">
        <f>+F35</f>
        <v>93681.588000000003</v>
      </c>
      <c r="G38" s="35"/>
      <c r="H38" s="35">
        <f>H35/1.481481</f>
        <v>143764.8879735886</v>
      </c>
      <c r="I38" s="35"/>
      <c r="J38" s="35">
        <v>46374</v>
      </c>
      <c r="K38" s="35"/>
      <c r="L38" s="35">
        <v>43875</v>
      </c>
      <c r="M38" s="35"/>
      <c r="N38" s="35"/>
      <c r="O38" s="37"/>
      <c r="P38" s="35">
        <f>SUM(D38:L38)</f>
        <v>435438.40177460038</v>
      </c>
      <c r="Q38" s="34"/>
      <c r="R38" s="5"/>
    </row>
    <row r="39" spans="1:18" ht="15.6" x14ac:dyDescent="0.3">
      <c r="A39" s="28"/>
      <c r="B39" s="122" t="s">
        <v>154</v>
      </c>
      <c r="C39" s="126"/>
      <c r="D39" s="174">
        <v>0.42594369999999998</v>
      </c>
      <c r="E39" s="174"/>
      <c r="F39" s="174">
        <v>0.42582540000000002</v>
      </c>
      <c r="G39" s="174"/>
      <c r="H39" s="174">
        <v>0.42596990000000001</v>
      </c>
      <c r="I39" s="174"/>
      <c r="J39" s="174">
        <v>1</v>
      </c>
      <c r="K39" s="174"/>
      <c r="L39" s="174">
        <v>1</v>
      </c>
      <c r="M39" s="31"/>
      <c r="N39" s="31"/>
      <c r="O39" s="142"/>
      <c r="P39" s="31"/>
      <c r="Q39" s="34"/>
      <c r="R39" s="5"/>
    </row>
    <row r="40" spans="1:18" ht="15.6" x14ac:dyDescent="0.3">
      <c r="A40" s="28"/>
      <c r="B40" s="122" t="s">
        <v>155</v>
      </c>
      <c r="C40" s="126"/>
      <c r="D40" s="174">
        <v>0.43896299999999999</v>
      </c>
      <c r="E40" s="174"/>
      <c r="F40" s="174">
        <v>0.4388474</v>
      </c>
      <c r="G40" s="174"/>
      <c r="H40" s="174">
        <v>0.43898860000000001</v>
      </c>
      <c r="I40" s="174"/>
      <c r="J40" s="174">
        <v>1</v>
      </c>
      <c r="K40" s="174"/>
      <c r="L40" s="174">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3.0143799999999998E-2</v>
      </c>
      <c r="E42" s="39"/>
      <c r="F42" s="38">
        <v>5.9718800000000002E-2</v>
      </c>
      <c r="G42" s="39"/>
      <c r="H42" s="38">
        <v>5.1749999999999997E-2</v>
      </c>
      <c r="I42" s="39"/>
      <c r="J42" s="38">
        <v>3.55438E-2</v>
      </c>
      <c r="K42" s="39"/>
      <c r="L42" s="38">
        <v>5.7149999999999999E-2</v>
      </c>
      <c r="M42" s="39"/>
      <c r="N42" s="38"/>
      <c r="O42" s="141"/>
      <c r="P42" s="39"/>
      <c r="Q42" s="25"/>
      <c r="R42" s="5"/>
    </row>
    <row r="43" spans="1:18" ht="15.6" x14ac:dyDescent="0.3">
      <c r="A43" s="24"/>
      <c r="B43" s="25" t="s">
        <v>14</v>
      </c>
      <c r="C43" s="25"/>
      <c r="D43" s="38">
        <v>2.8856300000000001E-2</v>
      </c>
      <c r="E43" s="39"/>
      <c r="F43" s="38">
        <v>6.0499999999999998E-2</v>
      </c>
      <c r="G43" s="39"/>
      <c r="H43" s="38">
        <v>5.0659999999999997E-2</v>
      </c>
      <c r="I43" s="39"/>
      <c r="J43" s="38">
        <v>3.4256300000000003E-2</v>
      </c>
      <c r="K43" s="39"/>
      <c r="L43" s="38">
        <v>5.6059999999999999E-2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6.0663799999999997E-2</v>
      </c>
      <c r="E45" s="39"/>
      <c r="F45" s="38">
        <f>+F42</f>
        <v>5.9718800000000002E-2</v>
      </c>
      <c r="G45" s="39"/>
      <c r="H45" s="38">
        <v>6.0543800000000002E-2</v>
      </c>
      <c r="I45" s="39"/>
      <c r="J45" s="38">
        <v>6.67938E-2</v>
      </c>
      <c r="K45" s="39"/>
      <c r="L45" s="38">
        <v>6.67938E-2</v>
      </c>
      <c r="M45" s="39"/>
      <c r="N45" s="38"/>
      <c r="O45" s="141"/>
      <c r="P45" s="39">
        <f>SUMPRODUCT(D45:L45,D37:L37)/P37</f>
        <v>6.1659810341045798E-2</v>
      </c>
      <c r="Q45" s="25"/>
      <c r="R45" s="5"/>
    </row>
    <row r="46" spans="1:18" ht="15.6" x14ac:dyDescent="0.3">
      <c r="A46" s="24"/>
      <c r="B46" s="25" t="s">
        <v>283</v>
      </c>
      <c r="C46" s="25"/>
      <c r="D46" s="38">
        <v>6.1445E-2</v>
      </c>
      <c r="E46" s="39"/>
      <c r="F46" s="38">
        <f>+F43</f>
        <v>6.0499999999999998E-2</v>
      </c>
      <c r="G46" s="39"/>
      <c r="H46" s="38">
        <v>6.1324999999999998E-2</v>
      </c>
      <c r="I46" s="39"/>
      <c r="J46" s="38">
        <v>6.7574999999999996E-2</v>
      </c>
      <c r="K46" s="39"/>
      <c r="L46" s="38">
        <v>6.7574999999999996E-2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0.26144777196528829</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39769</v>
      </c>
      <c r="Q57" s="25"/>
      <c r="R57" s="5"/>
    </row>
    <row r="58" spans="1:18" ht="15.6" x14ac:dyDescent="0.3">
      <c r="A58" s="24"/>
      <c r="B58" s="25" t="s">
        <v>142</v>
      </c>
      <c r="C58" s="25"/>
      <c r="D58" s="25"/>
      <c r="E58" s="25"/>
      <c r="F58" s="58"/>
      <c r="G58" s="58"/>
      <c r="H58" s="58"/>
      <c r="I58" s="58"/>
      <c r="J58" s="58"/>
      <c r="K58" s="58"/>
      <c r="L58" s="25">
        <f>+P58-N58+1</f>
        <v>92</v>
      </c>
      <c r="M58" s="58"/>
      <c r="N58" s="45">
        <v>39583</v>
      </c>
      <c r="O58" s="46"/>
      <c r="P58" s="45">
        <v>39674</v>
      </c>
      <c r="Q58" s="25"/>
      <c r="R58" s="5"/>
    </row>
    <row r="59" spans="1:18" ht="15.6" x14ac:dyDescent="0.3">
      <c r="A59" s="24"/>
      <c r="B59" s="25" t="s">
        <v>143</v>
      </c>
      <c r="C59" s="25"/>
      <c r="D59" s="25"/>
      <c r="E59" s="25"/>
      <c r="F59" s="25"/>
      <c r="G59" s="25"/>
      <c r="H59" s="25"/>
      <c r="I59" s="25"/>
      <c r="J59" s="25"/>
      <c r="K59" s="25"/>
      <c r="L59" s="25">
        <f>+P59-N59+1</f>
        <v>94</v>
      </c>
      <c r="M59" s="25"/>
      <c r="N59" s="45">
        <v>39675</v>
      </c>
      <c r="O59" s="46"/>
      <c r="P59" s="45">
        <v>39768</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39755</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271</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445990</v>
      </c>
      <c r="I70" s="34"/>
      <c r="J70" s="34">
        <f>10552+1353+8</f>
        <v>11913</v>
      </c>
      <c r="K70" s="34"/>
      <c r="L70" s="34">
        <f>1353+8</f>
        <v>1361</v>
      </c>
      <c r="M70" s="34"/>
      <c r="N70" s="34">
        <v>0</v>
      </c>
      <c r="O70" s="34"/>
      <c r="P70" s="53">
        <f>+H70-J70+L70-N70</f>
        <v>435438</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445990</v>
      </c>
      <c r="I73" s="34"/>
      <c r="J73" s="34">
        <f>SUM(J70:J72)</f>
        <v>11913</v>
      </c>
      <c r="K73" s="34"/>
      <c r="L73" s="34">
        <f>SUM(L70:L72)</f>
        <v>1361</v>
      </c>
      <c r="M73" s="34"/>
      <c r="N73" s="34">
        <f>SUM(N70:N72)</f>
        <v>0</v>
      </c>
      <c r="O73" s="34"/>
      <c r="P73" s="54">
        <f>SUM(P70:P72)</f>
        <v>435438</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445990</v>
      </c>
      <c r="I86" s="34"/>
      <c r="J86" s="34"/>
      <c r="K86" s="34"/>
      <c r="L86" s="34"/>
      <c r="M86" s="34"/>
      <c r="N86" s="54"/>
      <c r="O86" s="34"/>
      <c r="P86" s="54">
        <f>SUM(P73:P85)</f>
        <v>435438</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39752</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f>11913-96</f>
        <v>11817</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7557+476-808-174+35+9</f>
        <v>7095</v>
      </c>
      <c r="Q92" s="25"/>
      <c r="R92" s="5"/>
    </row>
    <row r="93" spans="1:18" ht="15.6" x14ac:dyDescent="0.3">
      <c r="A93" s="24"/>
      <c r="B93" s="25" t="s">
        <v>249</v>
      </c>
      <c r="C93" s="25"/>
      <c r="D93" s="25"/>
      <c r="E93" s="25"/>
      <c r="F93" s="40"/>
      <c r="G93" s="57"/>
      <c r="H93" s="127"/>
      <c r="I93" s="25"/>
      <c r="J93" s="25"/>
      <c r="K93" s="25"/>
      <c r="L93" s="25"/>
      <c r="M93" s="25"/>
      <c r="N93" s="34"/>
      <c r="O93" s="25"/>
      <c r="P93" s="53">
        <f>112+8</f>
        <v>120</v>
      </c>
      <c r="Q93" s="25"/>
      <c r="R93" s="5"/>
    </row>
    <row r="94" spans="1:18" ht="15.6" x14ac:dyDescent="0.3">
      <c r="A94" s="24"/>
      <c r="B94" s="25" t="s">
        <v>250</v>
      </c>
      <c r="C94" s="25"/>
      <c r="D94" s="25"/>
      <c r="E94" s="25"/>
      <c r="F94" s="40"/>
      <c r="G94" s="57"/>
      <c r="H94" s="127"/>
      <c r="I94" s="25"/>
      <c r="J94" s="25"/>
      <c r="K94" s="25"/>
      <c r="L94" s="25"/>
      <c r="M94" s="25"/>
      <c r="N94" s="34"/>
      <c r="O94" s="25"/>
      <c r="P94" s="53">
        <v>306</v>
      </c>
      <c r="Q94" s="25"/>
      <c r="R94" s="5"/>
    </row>
    <row r="95" spans="1:18" ht="15.6" x14ac:dyDescent="0.3">
      <c r="A95" s="24"/>
      <c r="B95" s="25" t="s">
        <v>259</v>
      </c>
      <c r="C95" s="25"/>
      <c r="D95" s="25"/>
      <c r="E95" s="25"/>
      <c r="F95" s="40"/>
      <c r="G95" s="57"/>
      <c r="H95" s="127"/>
      <c r="I95" s="25"/>
      <c r="J95" s="25"/>
      <c r="K95" s="25"/>
      <c r="L95" s="25"/>
      <c r="M95" s="25"/>
      <c r="N95" s="34"/>
      <c r="O95" s="25"/>
      <c r="P95" s="53">
        <v>172</v>
      </c>
      <c r="Q95" s="25"/>
      <c r="R95" s="5"/>
    </row>
    <row r="96" spans="1:18" ht="15.6" x14ac:dyDescent="0.3">
      <c r="A96" s="24"/>
      <c r="B96" s="25" t="s">
        <v>160</v>
      </c>
      <c r="C96" s="25"/>
      <c r="D96" s="25"/>
      <c r="E96" s="25"/>
      <c r="F96" s="25"/>
      <c r="G96" s="25"/>
      <c r="H96" s="25"/>
      <c r="I96" s="25"/>
      <c r="J96" s="25"/>
      <c r="K96" s="25"/>
      <c r="L96" s="25"/>
      <c r="M96" s="25"/>
      <c r="N96" s="34"/>
      <c r="O96" s="25"/>
      <c r="P96" s="53">
        <v>0</v>
      </c>
      <c r="Q96" s="25"/>
      <c r="R96" s="5"/>
    </row>
    <row r="97" spans="1:19" ht="15.6" x14ac:dyDescent="0.3">
      <c r="A97" s="24"/>
      <c r="B97" s="25" t="s">
        <v>192</v>
      </c>
      <c r="C97" s="25"/>
      <c r="D97" s="25"/>
      <c r="E97" s="25"/>
      <c r="F97" s="25"/>
      <c r="G97" s="25"/>
      <c r="H97" s="25"/>
      <c r="I97" s="25"/>
      <c r="J97" s="25"/>
      <c r="K97" s="25"/>
      <c r="L97" s="25"/>
      <c r="M97" s="25"/>
      <c r="N97" s="34"/>
      <c r="O97" s="25"/>
      <c r="P97" s="53">
        <v>571</v>
      </c>
      <c r="Q97" s="25"/>
      <c r="R97" s="5"/>
    </row>
    <row r="98" spans="1:19" ht="15.6" x14ac:dyDescent="0.3">
      <c r="A98" s="24"/>
      <c r="B98" s="25" t="s">
        <v>35</v>
      </c>
      <c r="C98" s="25"/>
      <c r="D98" s="25"/>
      <c r="E98" s="25"/>
      <c r="F98" s="25"/>
      <c r="G98" s="25"/>
      <c r="H98" s="25"/>
      <c r="I98" s="25"/>
      <c r="J98" s="25"/>
      <c r="K98" s="25"/>
      <c r="L98" s="25"/>
      <c r="M98" s="25"/>
      <c r="N98" s="34">
        <f>SUM(N90:N97)</f>
        <v>11817</v>
      </c>
      <c r="O98" s="25"/>
      <c r="P98" s="54">
        <f>SUM(P90:P97)</f>
        <v>8264</v>
      </c>
      <c r="Q98" s="25"/>
      <c r="R98" s="5"/>
    </row>
    <row r="99" spans="1:19" ht="15.6" x14ac:dyDescent="0.3">
      <c r="A99" s="24"/>
      <c r="B99" s="25" t="s">
        <v>237</v>
      </c>
      <c r="C99" s="25"/>
      <c r="D99" s="25"/>
      <c r="E99" s="25"/>
      <c r="F99" s="25"/>
      <c r="G99" s="25"/>
      <c r="H99" s="25"/>
      <c r="I99" s="25"/>
      <c r="J99" s="25"/>
      <c r="K99" s="25"/>
      <c r="L99" s="25"/>
      <c r="M99" s="25"/>
      <c r="N99" s="34">
        <v>-3</v>
      </c>
      <c r="O99" s="25"/>
      <c r="P99" s="54">
        <f>-N99</f>
        <v>3</v>
      </c>
      <c r="Q99" s="25"/>
      <c r="R99" s="5"/>
    </row>
    <row r="100" spans="1:19" ht="15.6" x14ac:dyDescent="0.3">
      <c r="A100" s="24"/>
      <c r="B100" s="25" t="s">
        <v>36</v>
      </c>
      <c r="C100" s="25"/>
      <c r="D100" s="25"/>
      <c r="E100" s="25"/>
      <c r="F100" s="25"/>
      <c r="G100" s="25"/>
      <c r="H100" s="25"/>
      <c r="I100" s="25"/>
      <c r="J100" s="25"/>
      <c r="K100" s="25"/>
      <c r="L100" s="25"/>
      <c r="M100" s="25"/>
      <c r="N100" s="34">
        <f>-P100</f>
        <v>0</v>
      </c>
      <c r="O100" s="25"/>
      <c r="P100" s="53">
        <v>0</v>
      </c>
      <c r="Q100" s="25"/>
      <c r="R100" s="5"/>
    </row>
    <row r="101" spans="1:19" ht="15.6" x14ac:dyDescent="0.3">
      <c r="A101" s="24"/>
      <c r="B101" s="25" t="s">
        <v>268</v>
      </c>
      <c r="C101" s="25"/>
      <c r="D101" s="25"/>
      <c r="E101" s="25"/>
      <c r="F101" s="25"/>
      <c r="G101" s="25"/>
      <c r="H101" s="25"/>
      <c r="I101" s="25"/>
      <c r="J101" s="25"/>
      <c r="K101" s="25"/>
      <c r="L101" s="25"/>
      <c r="M101" s="25"/>
      <c r="N101" s="34"/>
      <c r="O101" s="25"/>
      <c r="P101" s="53">
        <v>-125</v>
      </c>
      <c r="Q101" s="25"/>
      <c r="R101" s="5"/>
    </row>
    <row r="102" spans="1:19" ht="15.6" x14ac:dyDescent="0.3">
      <c r="A102" s="24"/>
      <c r="B102" s="25" t="s">
        <v>37</v>
      </c>
      <c r="C102" s="25"/>
      <c r="D102" s="25"/>
      <c r="E102" s="25"/>
      <c r="F102" s="25"/>
      <c r="G102" s="25"/>
      <c r="H102" s="25"/>
      <c r="I102" s="25"/>
      <c r="J102" s="25"/>
      <c r="K102" s="25"/>
      <c r="L102" s="25"/>
      <c r="M102" s="25"/>
      <c r="N102" s="34">
        <f>N98+N100+N99</f>
        <v>11814</v>
      </c>
      <c r="O102" s="25"/>
      <c r="P102" s="54">
        <f>P98+P100+P99+P101</f>
        <v>8142</v>
      </c>
      <c r="Q102" s="25"/>
      <c r="R102" s="5"/>
      <c r="S102" s="154"/>
    </row>
    <row r="103" spans="1:19" ht="15.6" x14ac:dyDescent="0.3">
      <c r="A103" s="24"/>
      <c r="B103" s="118" t="s">
        <v>38</v>
      </c>
      <c r="C103" s="25"/>
      <c r="D103" s="25"/>
      <c r="E103" s="25"/>
      <c r="F103" s="25"/>
      <c r="G103" s="25"/>
      <c r="H103" s="25"/>
      <c r="I103" s="25"/>
      <c r="J103" s="25"/>
      <c r="K103" s="25"/>
      <c r="L103" s="25"/>
      <c r="M103" s="25"/>
      <c r="N103" s="34"/>
      <c r="O103" s="25"/>
      <c r="P103" s="53"/>
      <c r="Q103" s="25"/>
      <c r="R103" s="5"/>
    </row>
    <row r="104" spans="1:19" ht="15.6" x14ac:dyDescent="0.3">
      <c r="A104" s="24">
        <v>1</v>
      </c>
      <c r="B104" s="25" t="s">
        <v>39</v>
      </c>
      <c r="C104" s="25"/>
      <c r="D104" s="25"/>
      <c r="E104" s="25"/>
      <c r="F104" s="25"/>
      <c r="G104" s="25"/>
      <c r="H104" s="25"/>
      <c r="I104" s="25"/>
      <c r="J104" s="25"/>
      <c r="K104" s="25"/>
      <c r="L104" s="25"/>
      <c r="M104" s="25"/>
      <c r="N104" s="25"/>
      <c r="O104" s="25"/>
      <c r="P104" s="53">
        <v>0</v>
      </c>
      <c r="Q104" s="25"/>
      <c r="R104" s="5"/>
    </row>
    <row r="105" spans="1:19" ht="15.6" x14ac:dyDescent="0.3">
      <c r="A105" s="24">
        <f>+A104+1</f>
        <v>2</v>
      </c>
      <c r="B105" s="25" t="s">
        <v>40</v>
      </c>
      <c r="C105" s="25"/>
      <c r="D105" s="25"/>
      <c r="E105" s="25"/>
      <c r="F105" s="25"/>
      <c r="G105" s="25"/>
      <c r="H105" s="25"/>
      <c r="I105" s="25"/>
      <c r="J105" s="25"/>
      <c r="K105" s="25"/>
      <c r="L105" s="25"/>
      <c r="M105" s="25"/>
      <c r="N105" s="25"/>
      <c r="O105" s="25"/>
      <c r="P105" s="53">
        <v>-2</v>
      </c>
      <c r="Q105" s="25"/>
      <c r="R105" s="5"/>
    </row>
    <row r="106" spans="1:19" ht="15.6" x14ac:dyDescent="0.3">
      <c r="A106" s="24">
        <f>+A105+1</f>
        <v>3</v>
      </c>
      <c r="B106" s="25" t="s">
        <v>226</v>
      </c>
      <c r="C106" s="25"/>
      <c r="D106" s="25"/>
      <c r="E106" s="25"/>
      <c r="F106" s="25"/>
      <c r="G106" s="25"/>
      <c r="H106" s="25"/>
      <c r="I106" s="25"/>
      <c r="J106" s="25"/>
      <c r="K106" s="25"/>
      <c r="L106" s="25"/>
      <c r="M106" s="25"/>
      <c r="N106" s="25"/>
      <c r="O106" s="25"/>
      <c r="P106" s="53">
        <f>-111-50-5</f>
        <v>-166</v>
      </c>
      <c r="Q106" s="25"/>
      <c r="R106" s="5"/>
    </row>
    <row r="107" spans="1:19" ht="15.6" x14ac:dyDescent="0.3">
      <c r="A107" s="24" t="s">
        <v>151</v>
      </c>
      <c r="B107" s="25" t="s">
        <v>131</v>
      </c>
      <c r="C107" s="25"/>
      <c r="D107" s="25"/>
      <c r="E107" s="25"/>
      <c r="F107" s="25"/>
      <c r="G107" s="25"/>
      <c r="H107" s="25"/>
      <c r="I107" s="25"/>
      <c r="J107" s="25"/>
      <c r="K107" s="25"/>
      <c r="L107" s="25"/>
      <c r="M107" s="25"/>
      <c r="N107" s="25"/>
      <c r="O107" s="25"/>
      <c r="P107" s="53">
        <v>0</v>
      </c>
      <c r="Q107" s="25"/>
      <c r="R107" s="5"/>
    </row>
    <row r="108" spans="1:19" ht="15.6" x14ac:dyDescent="0.3">
      <c r="A108" s="24" t="s">
        <v>152</v>
      </c>
      <c r="B108" s="25" t="s">
        <v>195</v>
      </c>
      <c r="C108" s="25"/>
      <c r="D108" s="25"/>
      <c r="E108" s="25"/>
      <c r="F108" s="25"/>
      <c r="G108" s="25"/>
      <c r="H108" s="25"/>
      <c r="I108" s="25"/>
      <c r="J108" s="25"/>
      <c r="K108" s="25"/>
      <c r="L108" s="25"/>
      <c r="M108" s="25"/>
      <c r="N108" s="25"/>
      <c r="O108" s="25"/>
      <c r="P108" s="53">
        <v>-1730</v>
      </c>
      <c r="Q108" s="25"/>
      <c r="R108" s="5"/>
      <c r="S108" s="109"/>
    </row>
    <row r="109" spans="1:19" ht="15.6" x14ac:dyDescent="0.3">
      <c r="A109" s="24" t="s">
        <v>217</v>
      </c>
      <c r="B109" s="25" t="s">
        <v>196</v>
      </c>
      <c r="C109" s="25"/>
      <c r="D109" s="25"/>
      <c r="E109" s="25"/>
      <c r="F109" s="25"/>
      <c r="G109" s="25"/>
      <c r="H109" s="25"/>
      <c r="I109" s="25"/>
      <c r="J109" s="25"/>
      <c r="K109" s="25"/>
      <c r="L109" s="25"/>
      <c r="M109" s="25"/>
      <c r="N109" s="25"/>
      <c r="O109" s="25"/>
      <c r="P109" s="53">
        <v>-1481</v>
      </c>
      <c r="Q109" s="25"/>
      <c r="R109" s="5"/>
      <c r="S109" s="109"/>
    </row>
    <row r="110" spans="1:19" ht="15.6" x14ac:dyDescent="0.3">
      <c r="A110" s="24" t="s">
        <v>218</v>
      </c>
      <c r="B110" s="25" t="s">
        <v>197</v>
      </c>
      <c r="C110" s="25"/>
      <c r="D110" s="25"/>
      <c r="E110" s="25"/>
      <c r="F110" s="25"/>
      <c r="G110" s="25"/>
      <c r="H110" s="25"/>
      <c r="I110" s="25"/>
      <c r="J110" s="25"/>
      <c r="K110" s="25"/>
      <c r="L110" s="25"/>
      <c r="M110" s="25"/>
      <c r="N110" s="25"/>
      <c r="O110" s="25"/>
      <c r="P110" s="53">
        <v>-2304</v>
      </c>
      <c r="Q110" s="25"/>
      <c r="R110" s="5"/>
      <c r="S110" s="109"/>
    </row>
    <row r="111" spans="1:19" ht="15.6" x14ac:dyDescent="0.3">
      <c r="A111" s="24" t="s">
        <v>147</v>
      </c>
      <c r="B111" s="25" t="s">
        <v>146</v>
      </c>
      <c r="C111" s="25"/>
      <c r="D111" s="25"/>
      <c r="E111" s="25"/>
      <c r="F111" s="25"/>
      <c r="G111" s="25"/>
      <c r="H111" s="25"/>
      <c r="I111" s="25"/>
      <c r="J111" s="25"/>
      <c r="K111" s="25"/>
      <c r="L111" s="25"/>
      <c r="M111" s="25"/>
      <c r="N111" s="25"/>
      <c r="O111" s="25"/>
      <c r="P111" s="53">
        <v>-796</v>
      </c>
      <c r="Q111" s="25"/>
      <c r="R111" s="5"/>
      <c r="S111" s="109"/>
    </row>
    <row r="112" spans="1:19" ht="15.6" x14ac:dyDescent="0.3">
      <c r="A112" s="24" t="s">
        <v>148</v>
      </c>
      <c r="B112" s="25" t="s">
        <v>198</v>
      </c>
      <c r="C112" s="25"/>
      <c r="D112" s="25"/>
      <c r="E112" s="25"/>
      <c r="F112" s="25"/>
      <c r="G112" s="25"/>
      <c r="H112" s="25"/>
      <c r="I112" s="25"/>
      <c r="J112" s="25"/>
      <c r="K112" s="25"/>
      <c r="L112" s="25"/>
      <c r="M112" s="25"/>
      <c r="N112" s="25"/>
      <c r="O112" s="25"/>
      <c r="P112" s="53">
        <v>-753</v>
      </c>
      <c r="Q112" s="25"/>
      <c r="R112" s="5"/>
      <c r="S112" s="109"/>
    </row>
    <row r="113" spans="1:18" ht="15.6" x14ac:dyDescent="0.3">
      <c r="A113" s="24">
        <v>6</v>
      </c>
      <c r="B113" s="25" t="s">
        <v>41</v>
      </c>
      <c r="C113" s="25"/>
      <c r="D113" s="25"/>
      <c r="E113" s="25"/>
      <c r="F113" s="25"/>
      <c r="G113" s="25"/>
      <c r="H113" s="25"/>
      <c r="I113" s="25"/>
      <c r="J113" s="25"/>
      <c r="K113" s="25"/>
      <c r="L113" s="25"/>
      <c r="M113" s="25"/>
      <c r="N113" s="25"/>
      <c r="O113" s="25"/>
      <c r="P113" s="53">
        <v>-10</v>
      </c>
      <c r="Q113" s="25"/>
      <c r="R113" s="5"/>
    </row>
    <row r="114" spans="1:18" ht="15.6" x14ac:dyDescent="0.3">
      <c r="A114" s="24">
        <f t="shared" ref="A114:A119" si="0">+A113+1</f>
        <v>7</v>
      </c>
      <c r="B114" s="25" t="s">
        <v>53</v>
      </c>
      <c r="C114" s="25"/>
      <c r="D114" s="25"/>
      <c r="E114" s="25"/>
      <c r="F114" s="25"/>
      <c r="G114" s="25"/>
      <c r="H114" s="25"/>
      <c r="I114" s="25"/>
      <c r="J114" s="25"/>
      <c r="K114" s="25"/>
      <c r="L114" s="25"/>
      <c r="M114" s="25"/>
      <c r="N114" s="34">
        <f>-P114</f>
        <v>96</v>
      </c>
      <c r="O114" s="25"/>
      <c r="P114" s="53">
        <v>-96</v>
      </c>
      <c r="Q114" s="25"/>
      <c r="R114" s="5"/>
    </row>
    <row r="115" spans="1:18" ht="15.6" x14ac:dyDescent="0.3">
      <c r="A115" s="24">
        <f t="shared" si="0"/>
        <v>8</v>
      </c>
      <c r="B115" s="25" t="s">
        <v>149</v>
      </c>
      <c r="C115" s="25"/>
      <c r="D115" s="25"/>
      <c r="E115" s="25"/>
      <c r="F115" s="25"/>
      <c r="G115" s="25"/>
      <c r="H115" s="25"/>
      <c r="I115" s="25"/>
      <c r="J115" s="25"/>
      <c r="K115" s="25"/>
      <c r="L115" s="25"/>
      <c r="M115" s="25"/>
      <c r="N115" s="25"/>
      <c r="O115" s="25"/>
      <c r="P115" s="53">
        <v>0</v>
      </c>
      <c r="Q115" s="25"/>
      <c r="R115" s="5"/>
    </row>
    <row r="116" spans="1:18" ht="15.6" x14ac:dyDescent="0.3">
      <c r="A116" s="24">
        <f t="shared" si="0"/>
        <v>9</v>
      </c>
      <c r="B116" s="25" t="s">
        <v>42</v>
      </c>
      <c r="C116" s="25"/>
      <c r="D116" s="25"/>
      <c r="E116" s="25"/>
      <c r="F116" s="25"/>
      <c r="G116" s="25"/>
      <c r="H116" s="25"/>
      <c r="I116" s="25"/>
      <c r="J116" s="25"/>
      <c r="K116" s="25"/>
      <c r="L116" s="25"/>
      <c r="M116" s="25"/>
      <c r="N116" s="25"/>
      <c r="O116" s="25"/>
      <c r="P116" s="53">
        <v>0</v>
      </c>
      <c r="Q116" s="25"/>
      <c r="R116" s="5"/>
    </row>
    <row r="117" spans="1:18" ht="15.6" x14ac:dyDescent="0.3">
      <c r="A117" s="24">
        <f t="shared" si="0"/>
        <v>10</v>
      </c>
      <c r="B117" s="25" t="s">
        <v>43</v>
      </c>
      <c r="C117" s="25"/>
      <c r="D117" s="25"/>
      <c r="E117" s="25"/>
      <c r="F117" s="25"/>
      <c r="G117" s="25"/>
      <c r="H117" s="25"/>
      <c r="I117" s="25"/>
      <c r="J117" s="25"/>
      <c r="K117" s="25"/>
      <c r="L117" s="25"/>
      <c r="M117" s="25"/>
      <c r="N117" s="25"/>
      <c r="O117" s="25"/>
      <c r="P117" s="53">
        <v>0</v>
      </c>
      <c r="Q117" s="25"/>
      <c r="R117" s="5"/>
    </row>
    <row r="118" spans="1:18" ht="15.6" x14ac:dyDescent="0.3">
      <c r="A118" s="24">
        <f t="shared" si="0"/>
        <v>11</v>
      </c>
      <c r="B118" s="25" t="s">
        <v>215</v>
      </c>
      <c r="C118" s="25"/>
      <c r="D118" s="25"/>
      <c r="E118" s="25"/>
      <c r="F118" s="25"/>
      <c r="G118" s="25"/>
      <c r="H118" s="25"/>
      <c r="I118" s="25"/>
      <c r="J118" s="25"/>
      <c r="K118" s="25"/>
      <c r="L118" s="25"/>
      <c r="M118" s="25"/>
      <c r="N118" s="25"/>
      <c r="O118" s="25"/>
      <c r="P118" s="53">
        <v>-226</v>
      </c>
      <c r="Q118" s="25"/>
      <c r="R118" s="5"/>
    </row>
    <row r="119" spans="1:18" ht="15.6" x14ac:dyDescent="0.3">
      <c r="A119" s="24">
        <f t="shared" si="0"/>
        <v>12</v>
      </c>
      <c r="B119" s="25" t="s">
        <v>150</v>
      </c>
      <c r="C119" s="25"/>
      <c r="D119" s="25"/>
      <c r="E119" s="25"/>
      <c r="F119" s="25"/>
      <c r="G119" s="25"/>
      <c r="H119" s="25"/>
      <c r="I119" s="25"/>
      <c r="J119" s="25"/>
      <c r="K119" s="25"/>
      <c r="L119" s="25"/>
      <c r="M119" s="25"/>
      <c r="N119" s="25"/>
      <c r="O119" s="25"/>
      <c r="P119" s="53">
        <f>-P102-SUM(P104:P118)</f>
        <v>-578</v>
      </c>
      <c r="Q119" s="25"/>
      <c r="R119" s="5"/>
    </row>
    <row r="120" spans="1:18" ht="15.6" x14ac:dyDescent="0.3">
      <c r="A120" s="24"/>
      <c r="B120" s="118" t="s">
        <v>44</v>
      </c>
      <c r="C120" s="25"/>
      <c r="D120" s="25"/>
      <c r="E120" s="25"/>
      <c r="F120" s="25"/>
      <c r="G120" s="25"/>
      <c r="H120" s="25"/>
      <c r="I120" s="25"/>
      <c r="J120" s="25"/>
      <c r="K120" s="25"/>
      <c r="L120" s="25"/>
      <c r="M120" s="25"/>
      <c r="N120" s="25"/>
      <c r="O120" s="25"/>
      <c r="P120" s="59"/>
      <c r="Q120" s="25"/>
      <c r="R120" s="5"/>
    </row>
    <row r="121" spans="1:18" ht="15.6" x14ac:dyDescent="0.3">
      <c r="A121" s="24"/>
      <c r="B121" s="25" t="s">
        <v>45</v>
      </c>
      <c r="C121" s="25"/>
      <c r="D121" s="25"/>
      <c r="E121" s="25"/>
      <c r="F121" s="25"/>
      <c r="G121" s="25"/>
      <c r="H121" s="25"/>
      <c r="I121" s="25"/>
      <c r="J121" s="25"/>
      <c r="K121" s="25"/>
      <c r="L121" s="25"/>
      <c r="M121" s="25"/>
      <c r="N121" s="34">
        <v>-97</v>
      </c>
      <c r="O121" s="34"/>
      <c r="P121" s="53"/>
      <c r="Q121" s="25"/>
      <c r="R121" s="5"/>
    </row>
    <row r="122" spans="1:18" ht="15.6" x14ac:dyDescent="0.3">
      <c r="A122" s="24"/>
      <c r="B122" s="25" t="s">
        <v>46</v>
      </c>
      <c r="C122" s="25"/>
      <c r="D122" s="25"/>
      <c r="E122" s="25"/>
      <c r="F122" s="25"/>
      <c r="G122" s="25"/>
      <c r="H122" s="25"/>
      <c r="I122" s="25"/>
      <c r="J122" s="25"/>
      <c r="K122" s="25"/>
      <c r="L122" s="25"/>
      <c r="M122" s="25"/>
      <c r="N122" s="34">
        <f>-M169</f>
        <v>-1261</v>
      </c>
      <c r="O122" s="34"/>
      <c r="P122" s="53"/>
      <c r="Q122" s="25"/>
      <c r="R122" s="5"/>
    </row>
    <row r="123" spans="1:18" ht="15.6" x14ac:dyDescent="0.3">
      <c r="A123" s="24"/>
      <c r="B123" s="25" t="s">
        <v>199</v>
      </c>
      <c r="C123" s="25"/>
      <c r="D123" s="25"/>
      <c r="E123" s="25"/>
      <c r="F123" s="25"/>
      <c r="G123" s="25"/>
      <c r="H123" s="25"/>
      <c r="I123" s="25"/>
      <c r="J123" s="25"/>
      <c r="K123" s="25"/>
      <c r="L123" s="25"/>
      <c r="M123" s="25"/>
      <c r="N123" s="34">
        <v>-3293</v>
      </c>
      <c r="O123" s="34"/>
      <c r="P123" s="53"/>
      <c r="Q123" s="25"/>
      <c r="R123" s="5"/>
    </row>
    <row r="124" spans="1:18" ht="15.6" x14ac:dyDescent="0.3">
      <c r="A124" s="24"/>
      <c r="B124" s="25" t="s">
        <v>200</v>
      </c>
      <c r="C124" s="25"/>
      <c r="D124" s="25"/>
      <c r="E124" s="25"/>
      <c r="F124" s="25"/>
      <c r="G124" s="25"/>
      <c r="H124" s="25"/>
      <c r="I124" s="25"/>
      <c r="J124" s="25"/>
      <c r="K124" s="25"/>
      <c r="L124" s="25"/>
      <c r="M124" s="25"/>
      <c r="N124" s="34">
        <v>-2865</v>
      </c>
      <c r="O124" s="34"/>
      <c r="P124" s="53"/>
      <c r="Q124" s="25"/>
      <c r="R124" s="5"/>
    </row>
    <row r="125" spans="1:18" ht="15.6" x14ac:dyDescent="0.3">
      <c r="A125" s="24"/>
      <c r="B125" s="25" t="s">
        <v>201</v>
      </c>
      <c r="C125" s="25"/>
      <c r="D125" s="25"/>
      <c r="E125" s="25"/>
      <c r="F125" s="25"/>
      <c r="G125" s="25"/>
      <c r="H125" s="25"/>
      <c r="I125" s="25"/>
      <c r="J125" s="25"/>
      <c r="K125" s="25"/>
      <c r="L125" s="25"/>
      <c r="M125" s="25"/>
      <c r="N125" s="34">
        <v>-4394</v>
      </c>
      <c r="O125" s="34"/>
      <c r="P125" s="53"/>
      <c r="Q125" s="25"/>
      <c r="R125" s="5"/>
    </row>
    <row r="126" spans="1:18" ht="15.6" x14ac:dyDescent="0.3">
      <c r="A126" s="24"/>
      <c r="B126" s="25" t="s">
        <v>159</v>
      </c>
      <c r="C126" s="25"/>
      <c r="D126" s="25"/>
      <c r="E126" s="25"/>
      <c r="F126" s="25"/>
      <c r="G126" s="25"/>
      <c r="H126" s="25"/>
      <c r="I126" s="25"/>
      <c r="J126" s="25"/>
      <c r="K126" s="25"/>
      <c r="L126" s="25"/>
      <c r="M126" s="25"/>
      <c r="N126" s="34">
        <v>0</v>
      </c>
      <c r="O126" s="34"/>
      <c r="P126" s="53"/>
      <c r="Q126" s="25"/>
      <c r="R126" s="5"/>
    </row>
    <row r="127" spans="1:18" ht="15.6" x14ac:dyDescent="0.3">
      <c r="A127" s="24"/>
      <c r="B127" s="25" t="s">
        <v>214</v>
      </c>
      <c r="C127" s="25"/>
      <c r="D127" s="25"/>
      <c r="E127" s="25"/>
      <c r="F127" s="25"/>
      <c r="G127" s="25"/>
      <c r="H127" s="25"/>
      <c r="I127" s="25"/>
      <c r="J127" s="25"/>
      <c r="K127" s="25"/>
      <c r="L127" s="25"/>
      <c r="M127" s="25"/>
      <c r="N127" s="34">
        <v>0</v>
      </c>
      <c r="O127" s="34"/>
      <c r="P127" s="53"/>
      <c r="Q127" s="25"/>
      <c r="R127" s="5"/>
    </row>
    <row r="128" spans="1:18" ht="15.6" x14ac:dyDescent="0.3">
      <c r="A128" s="24"/>
      <c r="B128" s="25" t="s">
        <v>47</v>
      </c>
      <c r="C128" s="25"/>
      <c r="D128" s="25"/>
      <c r="E128" s="25"/>
      <c r="F128" s="25"/>
      <c r="G128" s="25"/>
      <c r="H128" s="25"/>
      <c r="I128" s="25"/>
      <c r="J128" s="25"/>
      <c r="K128" s="25"/>
      <c r="L128" s="25"/>
      <c r="M128" s="25"/>
      <c r="N128" s="34">
        <f>SUM(N121:N127)</f>
        <v>-11910</v>
      </c>
      <c r="O128" s="34"/>
      <c r="P128" s="34">
        <f>SUM(P103:P127)</f>
        <v>-8142</v>
      </c>
      <c r="Q128" s="25"/>
      <c r="R128" s="5"/>
    </row>
    <row r="129" spans="1:19" ht="15.6" x14ac:dyDescent="0.3">
      <c r="A129" s="24"/>
      <c r="B129" s="25" t="s">
        <v>48</v>
      </c>
      <c r="C129" s="25"/>
      <c r="D129" s="25"/>
      <c r="E129" s="25"/>
      <c r="F129" s="25"/>
      <c r="G129" s="25"/>
      <c r="H129" s="25"/>
      <c r="I129" s="25"/>
      <c r="J129" s="25"/>
      <c r="K129" s="25"/>
      <c r="L129" s="25"/>
      <c r="M129" s="25"/>
      <c r="N129" s="34">
        <f>N102+N128+N114</f>
        <v>0</v>
      </c>
      <c r="O129" s="34"/>
      <c r="P129" s="34">
        <f>P102+P128</f>
        <v>0</v>
      </c>
      <c r="Q129" s="25"/>
      <c r="R129" s="5"/>
    </row>
    <row r="130" spans="1:19" ht="15.6" x14ac:dyDescent="0.3">
      <c r="A130" s="24"/>
      <c r="B130" s="25"/>
      <c r="C130" s="25"/>
      <c r="D130" s="25"/>
      <c r="E130" s="25"/>
      <c r="F130" s="25"/>
      <c r="G130" s="25"/>
      <c r="H130" s="25"/>
      <c r="I130" s="25"/>
      <c r="J130" s="25"/>
      <c r="K130" s="25"/>
      <c r="L130" s="25"/>
      <c r="M130" s="25"/>
      <c r="N130" s="34"/>
      <c r="O130" s="34"/>
      <c r="P130" s="34"/>
      <c r="Q130" s="25"/>
      <c r="R130" s="5"/>
    </row>
    <row r="131" spans="1:19" ht="15.6" x14ac:dyDescent="0.3">
      <c r="A131" s="6"/>
      <c r="B131" s="146"/>
      <c r="C131" s="146"/>
      <c r="D131" s="146"/>
      <c r="E131" s="146"/>
      <c r="F131" s="146"/>
      <c r="G131" s="146"/>
      <c r="H131" s="146"/>
      <c r="I131" s="146"/>
      <c r="J131" s="146"/>
      <c r="K131" s="146"/>
      <c r="L131" s="146"/>
      <c r="M131" s="146"/>
      <c r="N131" s="147"/>
      <c r="O131" s="147"/>
      <c r="P131" s="147"/>
      <c r="Q131" s="146"/>
      <c r="R131" s="5"/>
    </row>
    <row r="132" spans="1:19" ht="18" thickBot="1" x14ac:dyDescent="0.35">
      <c r="A132" s="101"/>
      <c r="B132" s="102" t="str">
        <f>B65</f>
        <v>PM7 INVESTOR REPORT QUARTER ENDING OCTOBER 2008</v>
      </c>
      <c r="C132" s="103"/>
      <c r="D132" s="103"/>
      <c r="E132" s="103"/>
      <c r="F132" s="103"/>
      <c r="G132" s="103"/>
      <c r="H132" s="103"/>
      <c r="I132" s="103"/>
      <c r="J132" s="103"/>
      <c r="K132" s="103"/>
      <c r="L132" s="103"/>
      <c r="M132" s="103"/>
      <c r="N132" s="103"/>
      <c r="O132" s="103"/>
      <c r="P132" s="106"/>
      <c r="Q132" s="105"/>
      <c r="R132" s="5"/>
    </row>
    <row r="133" spans="1:19" ht="15.6" x14ac:dyDescent="0.3">
      <c r="A133" s="2"/>
      <c r="B133" s="60" t="s">
        <v>49</v>
      </c>
      <c r="C133" s="4"/>
      <c r="D133" s="4"/>
      <c r="E133" s="4"/>
      <c r="F133" s="4"/>
      <c r="G133" s="4"/>
      <c r="H133" s="4"/>
      <c r="I133" s="4"/>
      <c r="J133" s="4"/>
      <c r="K133" s="4"/>
      <c r="L133" s="4"/>
      <c r="M133" s="4"/>
      <c r="N133" s="4"/>
      <c r="O133" s="4"/>
      <c r="P133" s="50"/>
      <c r="Q133" s="4"/>
      <c r="R133" s="5"/>
    </row>
    <row r="134" spans="1:19" ht="15.6" x14ac:dyDescent="0.3">
      <c r="A134" s="6"/>
      <c r="B134" s="21"/>
      <c r="C134" s="8"/>
      <c r="D134" s="8"/>
      <c r="E134" s="8"/>
      <c r="F134" s="8"/>
      <c r="G134" s="8"/>
      <c r="H134" s="8"/>
      <c r="I134" s="8"/>
      <c r="J134" s="8"/>
      <c r="K134" s="8"/>
      <c r="L134" s="8"/>
      <c r="M134" s="8"/>
      <c r="N134" s="8"/>
      <c r="O134" s="8"/>
      <c r="P134" s="52"/>
      <c r="Q134" s="8"/>
      <c r="R134" s="5"/>
    </row>
    <row r="135" spans="1:19" ht="15.6" x14ac:dyDescent="0.3">
      <c r="A135" s="6"/>
      <c r="B135" s="119" t="s">
        <v>50</v>
      </c>
      <c r="C135" s="8"/>
      <c r="D135" s="8"/>
      <c r="E135" s="8"/>
      <c r="F135" s="8"/>
      <c r="G135" s="8"/>
      <c r="H135" s="8"/>
      <c r="I135" s="8"/>
      <c r="J135" s="8"/>
      <c r="K135" s="8"/>
      <c r="L135" s="8"/>
      <c r="M135" s="8"/>
      <c r="N135" s="8"/>
      <c r="O135" s="8"/>
      <c r="P135" s="52"/>
      <c r="Q135" s="8"/>
      <c r="R135" s="5"/>
    </row>
    <row r="136" spans="1:19" ht="15.6" x14ac:dyDescent="0.3">
      <c r="A136" s="24"/>
      <c r="B136" s="25" t="s">
        <v>51</v>
      </c>
      <c r="C136" s="25"/>
      <c r="D136" s="25"/>
      <c r="E136" s="25"/>
      <c r="F136" s="25"/>
      <c r="G136" s="25"/>
      <c r="H136" s="25"/>
      <c r="I136" s="25"/>
      <c r="J136" s="25"/>
      <c r="K136" s="25"/>
      <c r="L136" s="25"/>
      <c r="M136" s="25"/>
      <c r="N136" s="25"/>
      <c r="O136" s="25"/>
      <c r="P136" s="53">
        <f>+P36*0.022</f>
        <v>19815.399999999998</v>
      </c>
      <c r="Q136" s="25"/>
      <c r="R136" s="5"/>
    </row>
    <row r="137" spans="1:19" ht="15.6" x14ac:dyDescent="0.3">
      <c r="A137" s="24"/>
      <c r="B137" s="25" t="s">
        <v>52</v>
      </c>
      <c r="C137" s="25"/>
      <c r="D137" s="25"/>
      <c r="E137" s="25"/>
      <c r="F137" s="25"/>
      <c r="G137" s="25"/>
      <c r="H137" s="25"/>
      <c r="I137" s="25"/>
      <c r="J137" s="25"/>
      <c r="K137" s="25"/>
      <c r="L137" s="25"/>
      <c r="M137" s="25"/>
      <c r="N137" s="25"/>
      <c r="O137" s="25"/>
      <c r="P137" s="53">
        <v>19815</v>
      </c>
      <c r="Q137" s="25"/>
      <c r="R137" s="5"/>
    </row>
    <row r="138" spans="1:19" ht="15.6" x14ac:dyDescent="0.3">
      <c r="A138" s="24"/>
      <c r="B138" s="25" t="s">
        <v>161</v>
      </c>
      <c r="C138" s="25"/>
      <c r="D138" s="25"/>
      <c r="E138" s="25"/>
      <c r="F138" s="25"/>
      <c r="G138" s="25"/>
      <c r="H138" s="25"/>
      <c r="I138" s="25"/>
      <c r="J138" s="25"/>
      <c r="K138" s="25"/>
      <c r="L138" s="25"/>
      <c r="M138" s="25"/>
      <c r="N138" s="25"/>
      <c r="O138" s="25"/>
      <c r="P138" s="53">
        <v>0</v>
      </c>
      <c r="Q138" s="25"/>
      <c r="R138" s="5"/>
    </row>
    <row r="139" spans="1:19" ht="15.6" x14ac:dyDescent="0.3">
      <c r="A139" s="24"/>
      <c r="B139" s="25" t="s">
        <v>144</v>
      </c>
      <c r="C139" s="25"/>
      <c r="D139" s="25"/>
      <c r="E139" s="25"/>
      <c r="F139" s="25"/>
      <c r="G139" s="25"/>
      <c r="H139" s="25"/>
      <c r="I139" s="25"/>
      <c r="J139" s="25"/>
      <c r="K139" s="25"/>
      <c r="L139" s="25"/>
      <c r="M139" s="25"/>
      <c r="N139" s="25"/>
      <c r="O139" s="25"/>
      <c r="P139" s="53">
        <v>0</v>
      </c>
      <c r="Q139" s="25"/>
      <c r="R139" s="5"/>
    </row>
    <row r="140" spans="1:19" ht="15.6" x14ac:dyDescent="0.3">
      <c r="A140" s="24"/>
      <c r="B140" s="25" t="s">
        <v>145</v>
      </c>
      <c r="C140" s="25"/>
      <c r="D140" s="25"/>
      <c r="E140" s="25"/>
      <c r="F140" s="25"/>
      <c r="G140" s="25"/>
      <c r="H140" s="25"/>
      <c r="I140" s="25"/>
      <c r="J140" s="25"/>
      <c r="K140" s="25"/>
      <c r="L140" s="25"/>
      <c r="M140" s="25"/>
      <c r="N140" s="25"/>
      <c r="O140" s="25"/>
      <c r="P140" s="53">
        <v>0</v>
      </c>
      <c r="Q140" s="25"/>
      <c r="R140" s="5"/>
    </row>
    <row r="141" spans="1:19" ht="15.6" x14ac:dyDescent="0.3">
      <c r="A141" s="24"/>
      <c r="B141" s="25" t="s">
        <v>53</v>
      </c>
      <c r="C141" s="25"/>
      <c r="D141" s="25"/>
      <c r="E141" s="25"/>
      <c r="F141" s="25"/>
      <c r="G141" s="25"/>
      <c r="H141" s="25"/>
      <c r="I141" s="25"/>
      <c r="J141" s="25"/>
      <c r="K141" s="25"/>
      <c r="L141" s="25"/>
      <c r="M141" s="25"/>
      <c r="N141" s="25"/>
      <c r="O141" s="25"/>
      <c r="P141" s="53">
        <v>0</v>
      </c>
      <c r="Q141" s="25"/>
      <c r="R141" s="5"/>
    </row>
    <row r="142" spans="1:19" ht="15.6" x14ac:dyDescent="0.3">
      <c r="A142" s="24"/>
      <c r="B142" s="25" t="s">
        <v>153</v>
      </c>
      <c r="C142" s="25"/>
      <c r="D142" s="25"/>
      <c r="E142" s="25"/>
      <c r="F142" s="25"/>
      <c r="G142" s="25"/>
      <c r="H142" s="25"/>
      <c r="I142" s="25"/>
      <c r="J142" s="25"/>
      <c r="K142" s="25"/>
      <c r="L142" s="25"/>
      <c r="M142" s="25"/>
      <c r="N142" s="25"/>
      <c r="O142" s="25"/>
      <c r="P142" s="53">
        <v>0</v>
      </c>
      <c r="Q142" s="25"/>
      <c r="R142" s="5"/>
    </row>
    <row r="143" spans="1:19" ht="15.6" x14ac:dyDescent="0.3">
      <c r="A143" s="24"/>
      <c r="B143" s="25" t="s">
        <v>202</v>
      </c>
      <c r="C143" s="25"/>
      <c r="D143" s="25"/>
      <c r="E143" s="25"/>
      <c r="F143" s="25"/>
      <c r="G143" s="25"/>
      <c r="H143" s="25"/>
      <c r="I143" s="25"/>
      <c r="J143" s="25"/>
      <c r="K143" s="25"/>
      <c r="L143" s="25"/>
      <c r="M143" s="25"/>
      <c r="N143" s="25"/>
      <c r="O143" s="25"/>
      <c r="P143" s="53">
        <v>0</v>
      </c>
      <c r="Q143" s="25"/>
      <c r="R143" s="5"/>
      <c r="S143" s="109"/>
    </row>
    <row r="144" spans="1:19" ht="15.6" x14ac:dyDescent="0.3">
      <c r="A144" s="24"/>
      <c r="B144" s="25" t="s">
        <v>54</v>
      </c>
      <c r="C144" s="25"/>
      <c r="D144" s="25"/>
      <c r="E144" s="25"/>
      <c r="F144" s="25"/>
      <c r="G144" s="25"/>
      <c r="H144" s="25"/>
      <c r="I144" s="25"/>
      <c r="J144" s="25"/>
      <c r="K144" s="25"/>
      <c r="L144" s="25"/>
      <c r="M144" s="25"/>
      <c r="N144" s="25"/>
      <c r="O144" s="25"/>
      <c r="P144" s="53">
        <f>SUM(P137:P143)</f>
        <v>19815</v>
      </c>
      <c r="Q144" s="25"/>
      <c r="R144" s="5"/>
    </row>
    <row r="145" spans="1:18" ht="15.6" x14ac:dyDescent="0.3">
      <c r="A145" s="24"/>
      <c r="B145" s="25"/>
      <c r="C145" s="25"/>
      <c r="D145" s="25"/>
      <c r="E145" s="25"/>
      <c r="F145" s="25"/>
      <c r="G145" s="25"/>
      <c r="H145" s="25"/>
      <c r="I145" s="25"/>
      <c r="J145" s="25"/>
      <c r="K145" s="25"/>
      <c r="L145" s="25"/>
      <c r="M145" s="25"/>
      <c r="N145" s="25"/>
      <c r="O145" s="25"/>
      <c r="P145" s="61"/>
      <c r="Q145" s="25"/>
      <c r="R145" s="5"/>
    </row>
    <row r="146" spans="1:18" ht="15.6" x14ac:dyDescent="0.3">
      <c r="A146" s="6"/>
      <c r="B146" s="119" t="s">
        <v>28</v>
      </c>
      <c r="C146" s="8"/>
      <c r="D146" s="8"/>
      <c r="E146" s="8"/>
      <c r="F146" s="8"/>
      <c r="G146" s="8"/>
      <c r="H146" s="8"/>
      <c r="I146" s="8"/>
      <c r="J146" s="8"/>
      <c r="K146" s="8"/>
      <c r="L146" s="8"/>
      <c r="M146" s="8"/>
      <c r="N146" s="8"/>
      <c r="O146" s="8"/>
      <c r="P146" s="52"/>
      <c r="Q146" s="8"/>
      <c r="R146" s="5"/>
    </row>
    <row r="147" spans="1:18" ht="15.6" x14ac:dyDescent="0.3">
      <c r="A147" s="24"/>
      <c r="B147" s="25" t="s">
        <v>55</v>
      </c>
      <c r="C147" s="25"/>
      <c r="D147" s="25"/>
      <c r="E147" s="25"/>
      <c r="F147" s="25"/>
      <c r="G147" s="25"/>
      <c r="H147" s="25"/>
      <c r="I147" s="25"/>
      <c r="J147" s="25"/>
      <c r="K147" s="25"/>
      <c r="L147" s="25"/>
      <c r="M147" s="25"/>
      <c r="N147" s="25"/>
      <c r="O147" s="25"/>
      <c r="P147" s="59" t="s">
        <v>137</v>
      </c>
      <c r="Q147" s="25"/>
      <c r="R147" s="5"/>
    </row>
    <row r="148" spans="1:18" ht="15.6" x14ac:dyDescent="0.3">
      <c r="A148" s="24"/>
      <c r="B148" s="25" t="s">
        <v>56</v>
      </c>
      <c r="C148" s="141"/>
      <c r="D148" s="141"/>
      <c r="E148" s="141"/>
      <c r="F148" s="141"/>
      <c r="G148" s="141"/>
      <c r="H148" s="141"/>
      <c r="I148" s="141"/>
      <c r="J148" s="141"/>
      <c r="K148" s="141"/>
      <c r="L148" s="141"/>
      <c r="M148" s="141"/>
      <c r="N148" s="141"/>
      <c r="O148" s="141"/>
      <c r="P148" s="59" t="s">
        <v>137</v>
      </c>
      <c r="Q148" s="25"/>
      <c r="R148" s="5"/>
    </row>
    <row r="149" spans="1:18" ht="15.6" x14ac:dyDescent="0.3">
      <c r="A149" s="24"/>
      <c r="B149" s="25" t="s">
        <v>57</v>
      </c>
      <c r="C149" s="25"/>
      <c r="D149" s="25"/>
      <c r="E149" s="25"/>
      <c r="F149" s="25"/>
      <c r="G149" s="25"/>
      <c r="H149" s="25"/>
      <c r="I149" s="25"/>
      <c r="J149" s="25"/>
      <c r="K149" s="25"/>
      <c r="L149" s="25"/>
      <c r="M149" s="25"/>
      <c r="N149" s="25"/>
      <c r="O149" s="25"/>
      <c r="P149" s="59" t="s">
        <v>137</v>
      </c>
      <c r="Q149" s="25"/>
      <c r="R149" s="5"/>
    </row>
    <row r="150" spans="1:18" ht="15.6" x14ac:dyDescent="0.3">
      <c r="A150" s="24"/>
      <c r="B150" s="25" t="s">
        <v>58</v>
      </c>
      <c r="C150" s="25"/>
      <c r="D150" s="25"/>
      <c r="E150" s="25"/>
      <c r="F150" s="25"/>
      <c r="G150" s="25"/>
      <c r="H150" s="25"/>
      <c r="I150" s="25"/>
      <c r="J150" s="25"/>
      <c r="K150" s="25"/>
      <c r="L150" s="25"/>
      <c r="M150" s="25"/>
      <c r="N150" s="25"/>
      <c r="O150" s="25"/>
      <c r="P150" s="59" t="s">
        <v>137</v>
      </c>
      <c r="Q150" s="25"/>
      <c r="R150" s="5"/>
    </row>
    <row r="151" spans="1:18" ht="15.6" x14ac:dyDescent="0.3">
      <c r="A151" s="24"/>
      <c r="B151" s="25"/>
      <c r="C151" s="25"/>
      <c r="D151" s="25"/>
      <c r="E151" s="25"/>
      <c r="F151" s="25"/>
      <c r="G151" s="25"/>
      <c r="H151" s="25"/>
      <c r="I151" s="25"/>
      <c r="J151" s="25"/>
      <c r="K151" s="25"/>
      <c r="L151" s="25"/>
      <c r="M151" s="25"/>
      <c r="N151" s="25"/>
      <c r="O151" s="25"/>
      <c r="P151" s="61"/>
      <c r="Q151" s="25"/>
      <c r="R151" s="5"/>
    </row>
    <row r="152" spans="1:18" ht="15.6" x14ac:dyDescent="0.3">
      <c r="A152" s="6"/>
      <c r="B152" s="119" t="s">
        <v>59</v>
      </c>
      <c r="C152" s="8"/>
      <c r="D152" s="8"/>
      <c r="E152" s="8"/>
      <c r="F152" s="8"/>
      <c r="G152" s="8"/>
      <c r="H152" s="8"/>
      <c r="I152" s="8"/>
      <c r="J152" s="8"/>
      <c r="K152" s="8"/>
      <c r="L152" s="8"/>
      <c r="M152" s="8"/>
      <c r="N152" s="8"/>
      <c r="O152" s="8"/>
      <c r="P152" s="63"/>
      <c r="Q152" s="8"/>
      <c r="R152" s="5"/>
    </row>
    <row r="153" spans="1:18" ht="15.6" x14ac:dyDescent="0.3">
      <c r="A153" s="24"/>
      <c r="B153" s="25" t="s">
        <v>60</v>
      </c>
      <c r="C153" s="25"/>
      <c r="D153" s="25"/>
      <c r="E153" s="25"/>
      <c r="F153" s="25"/>
      <c r="G153" s="25"/>
      <c r="H153" s="25"/>
      <c r="I153" s="25"/>
      <c r="J153" s="25"/>
      <c r="K153" s="25"/>
      <c r="L153" s="25"/>
      <c r="M153" s="25"/>
      <c r="N153" s="25"/>
      <c r="O153" s="25"/>
      <c r="P153" s="53">
        <v>0</v>
      </c>
      <c r="Q153" s="25"/>
      <c r="R153" s="5"/>
    </row>
    <row r="154" spans="1:18" ht="15.6" x14ac:dyDescent="0.3">
      <c r="A154" s="24"/>
      <c r="B154" s="25" t="s">
        <v>61</v>
      </c>
      <c r="C154" s="25"/>
      <c r="D154" s="25"/>
      <c r="E154" s="25"/>
      <c r="F154" s="25"/>
      <c r="G154" s="25"/>
      <c r="H154" s="25"/>
      <c r="I154" s="25"/>
      <c r="J154" s="25"/>
      <c r="K154" s="25"/>
      <c r="L154" s="25"/>
      <c r="M154" s="25"/>
      <c r="N154" s="25"/>
      <c r="O154" s="25"/>
      <c r="P154" s="53">
        <f>-P114</f>
        <v>96</v>
      </c>
      <c r="Q154" s="25"/>
      <c r="R154" s="5"/>
    </row>
    <row r="155" spans="1:18" ht="15.6" x14ac:dyDescent="0.3">
      <c r="A155" s="24"/>
      <c r="B155" s="25" t="s">
        <v>62</v>
      </c>
      <c r="C155" s="25"/>
      <c r="D155" s="25"/>
      <c r="E155" s="25"/>
      <c r="F155" s="25"/>
      <c r="G155" s="25"/>
      <c r="H155" s="25"/>
      <c r="I155" s="25"/>
      <c r="J155" s="25"/>
      <c r="K155" s="25"/>
      <c r="L155" s="25"/>
      <c r="M155" s="25"/>
      <c r="N155" s="25"/>
      <c r="O155" s="25"/>
      <c r="P155" s="53">
        <f>P154+P153</f>
        <v>96</v>
      </c>
      <c r="Q155" s="25"/>
      <c r="R155" s="5"/>
    </row>
    <row r="156" spans="1:18" ht="15.6" x14ac:dyDescent="0.3">
      <c r="A156" s="24"/>
      <c r="B156" s="403" t="s">
        <v>297</v>
      </c>
      <c r="C156" s="25"/>
      <c r="D156" s="25"/>
      <c r="E156" s="25"/>
      <c r="F156" s="25"/>
      <c r="G156" s="25"/>
      <c r="H156" s="25"/>
      <c r="I156" s="25"/>
      <c r="J156" s="25"/>
      <c r="K156" s="25"/>
      <c r="L156" s="25"/>
      <c r="M156" s="25"/>
      <c r="N156" s="25"/>
      <c r="O156" s="25"/>
      <c r="P156" s="53">
        <f>P114</f>
        <v>-96</v>
      </c>
      <c r="Q156" s="25"/>
      <c r="R156" s="5"/>
    </row>
    <row r="157" spans="1:18" ht="15.6" x14ac:dyDescent="0.3">
      <c r="A157" s="24"/>
      <c r="B157" s="25" t="s">
        <v>63</v>
      </c>
      <c r="C157" s="25"/>
      <c r="D157" s="25"/>
      <c r="E157" s="25"/>
      <c r="F157" s="25"/>
      <c r="G157" s="25"/>
      <c r="H157" s="25"/>
      <c r="I157" s="25"/>
      <c r="J157" s="25"/>
      <c r="K157" s="25"/>
      <c r="L157" s="25"/>
      <c r="M157" s="25"/>
      <c r="N157" s="25"/>
      <c r="O157" s="25"/>
      <c r="P157" s="53">
        <f>P155+P156</f>
        <v>0</v>
      </c>
      <c r="Q157" s="25"/>
      <c r="R157" s="5"/>
    </row>
    <row r="158" spans="1:18" ht="16.2" thickBot="1" x14ac:dyDescent="0.35">
      <c r="A158" s="24"/>
      <c r="B158" s="25"/>
      <c r="C158" s="25"/>
      <c r="D158" s="25"/>
      <c r="E158" s="25"/>
      <c r="F158" s="25"/>
      <c r="G158" s="25"/>
      <c r="H158" s="25"/>
      <c r="I158" s="25"/>
      <c r="J158" s="25"/>
      <c r="K158" s="25"/>
      <c r="L158" s="25"/>
      <c r="M158" s="25"/>
      <c r="N158" s="25"/>
      <c r="O158" s="25"/>
      <c r="P158" s="61"/>
      <c r="Q158" s="25"/>
      <c r="R158" s="5"/>
    </row>
    <row r="159" spans="1:18" ht="15.6" x14ac:dyDescent="0.3">
      <c r="A159" s="2"/>
      <c r="B159" s="4"/>
      <c r="C159" s="4"/>
      <c r="D159" s="4"/>
      <c r="E159" s="4"/>
      <c r="F159" s="4"/>
      <c r="G159" s="4"/>
      <c r="H159" s="4"/>
      <c r="I159" s="4"/>
      <c r="J159" s="4"/>
      <c r="K159" s="4"/>
      <c r="L159" s="4"/>
      <c r="M159" s="4"/>
      <c r="N159" s="4"/>
      <c r="O159" s="4"/>
      <c r="P159" s="50"/>
      <c r="Q159" s="4"/>
      <c r="R159" s="5"/>
    </row>
    <row r="160" spans="1:18" ht="15.6" x14ac:dyDescent="0.3">
      <c r="A160" s="6"/>
      <c r="B160" s="119" t="s">
        <v>64</v>
      </c>
      <c r="C160" s="8"/>
      <c r="D160" s="8"/>
      <c r="E160" s="8"/>
      <c r="F160" s="8"/>
      <c r="G160" s="8"/>
      <c r="H160" s="8"/>
      <c r="I160" s="8"/>
      <c r="J160" s="8"/>
      <c r="K160" s="8"/>
      <c r="L160" s="8"/>
      <c r="M160" s="8"/>
      <c r="N160" s="8"/>
      <c r="O160" s="8"/>
      <c r="P160" s="52"/>
      <c r="Q160" s="8"/>
      <c r="R160" s="5"/>
    </row>
    <row r="161" spans="1:18" ht="15.6" x14ac:dyDescent="0.3">
      <c r="A161" s="6"/>
      <c r="B161" s="21"/>
      <c r="C161" s="8"/>
      <c r="D161" s="8"/>
      <c r="E161" s="8"/>
      <c r="F161" s="8"/>
      <c r="G161" s="8"/>
      <c r="H161" s="8"/>
      <c r="I161" s="8"/>
      <c r="J161" s="8"/>
      <c r="K161" s="8"/>
      <c r="L161" s="8"/>
      <c r="M161" s="8"/>
      <c r="N161" s="8"/>
      <c r="O161" s="8"/>
      <c r="P161" s="52"/>
      <c r="Q161" s="8"/>
      <c r="R161" s="5"/>
    </row>
    <row r="162" spans="1:18" ht="15.6" x14ac:dyDescent="0.3">
      <c r="A162" s="24"/>
      <c r="B162" s="25" t="s">
        <v>221</v>
      </c>
      <c r="C162" s="25"/>
      <c r="D162" s="25"/>
      <c r="E162" s="25"/>
      <c r="F162" s="25"/>
      <c r="G162" s="25"/>
      <c r="H162" s="25"/>
      <c r="I162" s="25"/>
      <c r="J162" s="25"/>
      <c r="K162" s="25"/>
      <c r="L162" s="25"/>
      <c r="M162" s="25"/>
      <c r="N162" s="25"/>
      <c r="O162" s="25"/>
      <c r="P162" s="53">
        <f>P73</f>
        <v>435438</v>
      </c>
      <c r="Q162" s="25"/>
      <c r="R162" s="5"/>
    </row>
    <row r="163" spans="1:18" ht="15.6" x14ac:dyDescent="0.3">
      <c r="A163" s="24"/>
      <c r="B163" s="25" t="s">
        <v>65</v>
      </c>
      <c r="C163" s="25"/>
      <c r="D163" s="25"/>
      <c r="E163" s="25"/>
      <c r="F163" s="25"/>
      <c r="G163" s="25"/>
      <c r="H163" s="25"/>
      <c r="I163" s="25"/>
      <c r="J163" s="25"/>
      <c r="K163" s="25"/>
      <c r="L163" s="25"/>
      <c r="M163" s="25"/>
      <c r="N163" s="25"/>
      <c r="O163" s="25"/>
      <c r="P163" s="53">
        <f>P86</f>
        <v>435438</v>
      </c>
      <c r="Q163" s="25"/>
      <c r="R163" s="5"/>
    </row>
    <row r="164" spans="1:18" ht="16.2" thickBot="1" x14ac:dyDescent="0.35">
      <c r="A164" s="24"/>
      <c r="B164" s="25"/>
      <c r="C164" s="25"/>
      <c r="D164" s="25"/>
      <c r="E164" s="25"/>
      <c r="F164" s="25"/>
      <c r="G164" s="25"/>
      <c r="H164" s="25"/>
      <c r="I164" s="25"/>
      <c r="J164" s="25"/>
      <c r="K164" s="25"/>
      <c r="L164" s="25"/>
      <c r="M164" s="25"/>
      <c r="N164" s="25"/>
      <c r="O164" s="25"/>
      <c r="P164" s="61"/>
      <c r="Q164" s="25"/>
      <c r="R164" s="5"/>
    </row>
    <row r="165" spans="1:18" ht="15.6" x14ac:dyDescent="0.3">
      <c r="A165" s="2"/>
      <c r="B165" s="4"/>
      <c r="C165" s="4"/>
      <c r="D165" s="4"/>
      <c r="E165" s="4"/>
      <c r="F165" s="4"/>
      <c r="G165" s="4"/>
      <c r="H165" s="4"/>
      <c r="I165" s="4"/>
      <c r="J165" s="4"/>
      <c r="K165" s="4"/>
      <c r="L165" s="4"/>
      <c r="M165" s="4"/>
      <c r="N165" s="4"/>
      <c r="O165" s="4"/>
      <c r="P165" s="50"/>
      <c r="Q165" s="4"/>
      <c r="R165" s="5"/>
    </row>
    <row r="166" spans="1:18" ht="15.6" x14ac:dyDescent="0.3">
      <c r="A166" s="6"/>
      <c r="B166" s="119" t="s">
        <v>66</v>
      </c>
      <c r="C166" s="117"/>
      <c r="D166" s="117"/>
      <c r="E166" s="117"/>
      <c r="F166" s="120"/>
      <c r="G166" s="120"/>
      <c r="H166" s="120"/>
      <c r="I166" s="120"/>
      <c r="J166" s="120"/>
      <c r="K166" s="120"/>
      <c r="L166" s="120"/>
      <c r="M166" s="120" t="s">
        <v>112</v>
      </c>
      <c r="N166" s="120" t="s">
        <v>120</v>
      </c>
      <c r="O166" s="111"/>
      <c r="P166" s="121" t="s">
        <v>129</v>
      </c>
      <c r="Q166" s="10"/>
      <c r="R166" s="5"/>
    </row>
    <row r="167" spans="1:18" ht="15.6" x14ac:dyDescent="0.3">
      <c r="A167" s="24"/>
      <c r="B167" s="25" t="s">
        <v>67</v>
      </c>
      <c r="C167" s="25"/>
      <c r="D167" s="25"/>
      <c r="E167" s="25"/>
      <c r="F167" s="25"/>
      <c r="G167" s="25"/>
      <c r="H167" s="25"/>
      <c r="I167" s="25"/>
      <c r="J167" s="25"/>
      <c r="K167" s="25"/>
      <c r="L167" s="25"/>
      <c r="M167" s="53">
        <v>144000</v>
      </c>
      <c r="N167" s="40">
        <v>0</v>
      </c>
      <c r="O167" s="25"/>
      <c r="P167" s="53"/>
      <c r="Q167" s="25"/>
      <c r="R167" s="5"/>
    </row>
    <row r="168" spans="1:18" ht="15.6" x14ac:dyDescent="0.3">
      <c r="A168" s="24"/>
      <c r="B168" s="25" t="s">
        <v>68</v>
      </c>
      <c r="C168" s="25"/>
      <c r="D168" s="25"/>
      <c r="E168" s="25"/>
      <c r="F168" s="25"/>
      <c r="G168" s="25"/>
      <c r="H168" s="25"/>
      <c r="I168" s="25"/>
      <c r="J168" s="25"/>
      <c r="K168" s="25"/>
      <c r="L168" s="25"/>
      <c r="M168" s="53">
        <f>+'July 08'!M170</f>
        <v>81212</v>
      </c>
      <c r="N168" s="53">
        <f>+'July 08'!N170</f>
        <v>9993</v>
      </c>
      <c r="O168" s="25"/>
      <c r="P168" s="53">
        <f>M168+N168</f>
        <v>91205</v>
      </c>
      <c r="Q168" s="25"/>
      <c r="R168" s="5"/>
    </row>
    <row r="169" spans="1:18" ht="15.6" x14ac:dyDescent="0.3">
      <c r="A169" s="24"/>
      <c r="B169" s="25" t="s">
        <v>69</v>
      </c>
      <c r="C169" s="25"/>
      <c r="D169" s="25"/>
      <c r="E169" s="25"/>
      <c r="F169" s="25"/>
      <c r="G169" s="25"/>
      <c r="H169" s="25"/>
      <c r="I169" s="25"/>
      <c r="J169" s="25"/>
      <c r="K169" s="25"/>
      <c r="L169" s="25"/>
      <c r="M169" s="34">
        <f>1256+5</f>
        <v>1261</v>
      </c>
      <c r="N169" s="34">
        <f>-N99-N121</f>
        <v>100</v>
      </c>
      <c r="O169" s="25"/>
      <c r="P169" s="53">
        <f>M169+N169</f>
        <v>1361</v>
      </c>
      <c r="Q169" s="25"/>
      <c r="R169" s="5"/>
    </row>
    <row r="170" spans="1:18" ht="15.6" x14ac:dyDescent="0.3">
      <c r="A170" s="24"/>
      <c r="B170" s="25" t="s">
        <v>70</v>
      </c>
      <c r="C170" s="25"/>
      <c r="D170" s="25"/>
      <c r="E170" s="25"/>
      <c r="F170" s="25"/>
      <c r="G170" s="25"/>
      <c r="H170" s="25"/>
      <c r="I170" s="25"/>
      <c r="J170" s="25"/>
      <c r="K170" s="25"/>
      <c r="L170" s="25"/>
      <c r="M170" s="53">
        <f>M168+M169</f>
        <v>82473</v>
      </c>
      <c r="N170" s="53">
        <f>N169+N168</f>
        <v>10093</v>
      </c>
      <c r="O170" s="25"/>
      <c r="P170" s="53">
        <f>M170+N170</f>
        <v>92566</v>
      </c>
      <c r="Q170" s="25"/>
      <c r="R170" s="5"/>
    </row>
    <row r="171" spans="1:18" ht="15.6" x14ac:dyDescent="0.3">
      <c r="A171" s="24"/>
      <c r="B171" s="25" t="s">
        <v>71</v>
      </c>
      <c r="C171" s="25"/>
      <c r="D171" s="25"/>
      <c r="E171" s="25"/>
      <c r="F171" s="25"/>
      <c r="G171" s="25"/>
      <c r="H171" s="25"/>
      <c r="I171" s="25"/>
      <c r="J171" s="25"/>
      <c r="K171" s="25"/>
      <c r="L171" s="25"/>
      <c r="M171" s="53">
        <f>M167-M170-N170</f>
        <v>51434</v>
      </c>
      <c r="N171" s="40"/>
      <c r="O171" s="25"/>
      <c r="P171" s="53"/>
      <c r="Q171" s="25"/>
      <c r="R171" s="5"/>
    </row>
    <row r="172" spans="1:18" ht="16.2" thickBot="1" x14ac:dyDescent="0.35">
      <c r="A172" s="24"/>
      <c r="B172" s="25"/>
      <c r="C172" s="25"/>
      <c r="D172" s="25"/>
      <c r="E172" s="25"/>
      <c r="F172" s="25"/>
      <c r="G172" s="25"/>
      <c r="H172" s="25"/>
      <c r="I172" s="25"/>
      <c r="J172" s="25"/>
      <c r="K172" s="25"/>
      <c r="L172" s="25"/>
      <c r="M172" s="25"/>
      <c r="N172" s="25"/>
      <c r="O172" s="25"/>
      <c r="P172" s="61"/>
      <c r="Q172" s="25"/>
      <c r="R172" s="5"/>
    </row>
    <row r="173" spans="1:18" ht="15.6" x14ac:dyDescent="0.3">
      <c r="A173" s="2"/>
      <c r="B173" s="4"/>
      <c r="C173" s="4"/>
      <c r="D173" s="4"/>
      <c r="E173" s="4"/>
      <c r="F173" s="4"/>
      <c r="G173" s="4"/>
      <c r="H173" s="4"/>
      <c r="I173" s="4"/>
      <c r="J173" s="4"/>
      <c r="K173" s="4"/>
      <c r="L173" s="4"/>
      <c r="M173" s="4"/>
      <c r="N173" s="4"/>
      <c r="O173" s="4"/>
      <c r="P173" s="50"/>
      <c r="Q173" s="4"/>
      <c r="R173" s="5"/>
    </row>
    <row r="174" spans="1:18" ht="15.6" x14ac:dyDescent="0.3">
      <c r="A174" s="6"/>
      <c r="B174" s="119" t="s">
        <v>72</v>
      </c>
      <c r="C174" s="8"/>
      <c r="D174" s="8"/>
      <c r="E174" s="8"/>
      <c r="F174" s="8"/>
      <c r="G174" s="8"/>
      <c r="H174" s="8"/>
      <c r="I174" s="8"/>
      <c r="J174" s="8"/>
      <c r="K174" s="8"/>
      <c r="L174" s="8"/>
      <c r="M174" s="8"/>
      <c r="N174" s="8"/>
      <c r="O174" s="8"/>
      <c r="P174" s="65"/>
      <c r="Q174" s="8"/>
      <c r="R174" s="5"/>
    </row>
    <row r="175" spans="1:18" ht="15.6" x14ac:dyDescent="0.3">
      <c r="A175" s="24"/>
      <c r="B175" s="25" t="s">
        <v>73</v>
      </c>
      <c r="C175" s="25"/>
      <c r="D175" s="25"/>
      <c r="E175" s="25"/>
      <c r="F175" s="25"/>
      <c r="G175" s="25"/>
      <c r="H175" s="25"/>
      <c r="I175" s="25"/>
      <c r="J175" s="25"/>
      <c r="K175" s="25"/>
      <c r="L175" s="25"/>
      <c r="M175" s="25"/>
      <c r="N175" s="25"/>
      <c r="O175" s="25"/>
      <c r="P175" s="66">
        <f>(P102+P104+P105+P106+P107)/-(P108+P109+P110)</f>
        <v>1.4458748866727107</v>
      </c>
      <c r="Q175" s="25" t="s">
        <v>130</v>
      </c>
      <c r="R175" s="5"/>
    </row>
    <row r="176" spans="1:18" ht="15.6" x14ac:dyDescent="0.3">
      <c r="A176" s="24"/>
      <c r="B176" s="25" t="s">
        <v>74</v>
      </c>
      <c r="C176" s="25"/>
      <c r="D176" s="25"/>
      <c r="E176" s="25"/>
      <c r="F176" s="25"/>
      <c r="G176" s="25"/>
      <c r="H176" s="25"/>
      <c r="I176" s="25"/>
      <c r="J176" s="25"/>
      <c r="K176" s="25"/>
      <c r="L176" s="25"/>
      <c r="M176" s="25"/>
      <c r="N176" s="25"/>
      <c r="O176" s="25"/>
      <c r="P176" s="66">
        <v>1.4</v>
      </c>
      <c r="Q176" s="25" t="s">
        <v>130</v>
      </c>
      <c r="R176" s="5"/>
    </row>
    <row r="177" spans="1:18" ht="15.6" x14ac:dyDescent="0.3">
      <c r="A177" s="24"/>
      <c r="B177" s="25" t="s">
        <v>75</v>
      </c>
      <c r="C177" s="25"/>
      <c r="D177" s="25"/>
      <c r="E177" s="25"/>
      <c r="F177" s="25"/>
      <c r="G177" s="25"/>
      <c r="H177" s="25"/>
      <c r="I177" s="25"/>
      <c r="J177" s="25"/>
      <c r="K177" s="25"/>
      <c r="L177" s="25"/>
      <c r="M177" s="25"/>
      <c r="N177" s="25"/>
      <c r="O177" s="25"/>
      <c r="P177" s="59">
        <f>(P102+P104+P105+P106+P107+P108+P109+P110)/-(P111+P112)</f>
        <v>1.5874757908327954</v>
      </c>
      <c r="Q177" s="25" t="s">
        <v>130</v>
      </c>
      <c r="R177" s="5"/>
    </row>
    <row r="178" spans="1:18" ht="15.6" x14ac:dyDescent="0.3">
      <c r="A178" s="24"/>
      <c r="B178" s="25" t="s">
        <v>76</v>
      </c>
      <c r="C178" s="25"/>
      <c r="D178" s="25"/>
      <c r="E178" s="25"/>
      <c r="F178" s="25"/>
      <c r="G178" s="25"/>
      <c r="H178" s="25"/>
      <c r="I178" s="25"/>
      <c r="J178" s="25"/>
      <c r="K178" s="25"/>
      <c r="L178" s="25"/>
      <c r="M178" s="25"/>
      <c r="N178" s="25"/>
      <c r="O178" s="25"/>
      <c r="P178" s="66">
        <v>2.3199999999999998</v>
      </c>
      <c r="Q178" s="25" t="s">
        <v>130</v>
      </c>
      <c r="R178" s="5"/>
    </row>
    <row r="179" spans="1:18" ht="15.6" x14ac:dyDescent="0.3">
      <c r="A179" s="24"/>
      <c r="B179" s="25"/>
      <c r="C179" s="25"/>
      <c r="D179" s="25"/>
      <c r="E179" s="25"/>
      <c r="F179" s="25"/>
      <c r="G179" s="25"/>
      <c r="H179" s="25"/>
      <c r="I179" s="25"/>
      <c r="J179" s="25"/>
      <c r="K179" s="25"/>
      <c r="L179" s="25"/>
      <c r="M179" s="25"/>
      <c r="N179" s="25"/>
      <c r="O179" s="25"/>
      <c r="P179" s="25"/>
      <c r="Q179" s="25"/>
      <c r="R179" s="5"/>
    </row>
    <row r="180" spans="1:18" ht="15.6" x14ac:dyDescent="0.3">
      <c r="A180" s="24"/>
      <c r="B180" s="25"/>
      <c r="C180" s="25"/>
      <c r="D180" s="25"/>
      <c r="E180" s="25"/>
      <c r="F180" s="25"/>
      <c r="G180" s="25"/>
      <c r="H180" s="25"/>
      <c r="I180" s="25"/>
      <c r="J180" s="25"/>
      <c r="K180" s="25"/>
      <c r="L180" s="25"/>
      <c r="M180" s="25"/>
      <c r="N180" s="25"/>
      <c r="O180" s="25"/>
      <c r="P180" s="25"/>
      <c r="Q180" s="25"/>
      <c r="R180" s="5"/>
    </row>
    <row r="181" spans="1:18" ht="15.6" x14ac:dyDescent="0.3">
      <c r="A181" s="6"/>
      <c r="B181" s="8"/>
      <c r="C181" s="8"/>
      <c r="D181" s="8"/>
      <c r="E181" s="8"/>
      <c r="F181" s="8"/>
      <c r="G181" s="8"/>
      <c r="H181" s="8"/>
      <c r="I181" s="8"/>
      <c r="J181" s="8"/>
      <c r="K181" s="8"/>
      <c r="L181" s="8"/>
      <c r="M181" s="8"/>
      <c r="N181" s="8"/>
      <c r="O181" s="8"/>
      <c r="P181" s="8"/>
      <c r="Q181" s="8"/>
      <c r="R181" s="5"/>
    </row>
    <row r="182" spans="1:18" ht="18" thickBot="1" x14ac:dyDescent="0.35">
      <c r="A182" s="101"/>
      <c r="B182" s="102" t="str">
        <f>B132</f>
        <v>PM7 INVESTOR REPORT QUARTER ENDING OCTOBER 2008</v>
      </c>
      <c r="C182" s="143"/>
      <c r="D182" s="143"/>
      <c r="E182" s="143"/>
      <c r="F182" s="143"/>
      <c r="G182" s="143"/>
      <c r="H182" s="143"/>
      <c r="I182" s="143"/>
      <c r="J182" s="143"/>
      <c r="K182" s="143"/>
      <c r="L182" s="143"/>
      <c r="M182" s="143"/>
      <c r="N182" s="143"/>
      <c r="O182" s="143"/>
      <c r="P182" s="143"/>
      <c r="Q182" s="144"/>
      <c r="R182" s="5"/>
    </row>
    <row r="183" spans="1:18" ht="15.6" x14ac:dyDescent="0.3">
      <c r="A183" s="67"/>
      <c r="B183" s="60" t="s">
        <v>77</v>
      </c>
      <c r="C183" s="68"/>
      <c r="D183" s="68"/>
      <c r="E183" s="69"/>
      <c r="F183" s="69"/>
      <c r="G183" s="69"/>
      <c r="H183" s="69"/>
      <c r="I183" s="69"/>
      <c r="J183" s="69"/>
      <c r="K183" s="69"/>
      <c r="L183" s="69"/>
      <c r="M183" s="69"/>
      <c r="N183" s="70">
        <f>H89</f>
        <v>39752</v>
      </c>
      <c r="O183" s="4"/>
      <c r="P183" s="4"/>
      <c r="Q183" s="4"/>
      <c r="R183" s="5"/>
    </row>
    <row r="184" spans="1:18" ht="15.6" x14ac:dyDescent="0.3">
      <c r="A184" s="71"/>
      <c r="B184" s="72"/>
      <c r="C184" s="73"/>
      <c r="D184" s="73"/>
      <c r="E184" s="74"/>
      <c r="F184" s="74"/>
      <c r="G184" s="74"/>
      <c r="H184" s="74"/>
      <c r="I184" s="74"/>
      <c r="J184" s="74"/>
      <c r="K184" s="74"/>
      <c r="L184" s="74"/>
      <c r="M184" s="74"/>
      <c r="N184" s="74"/>
      <c r="O184" s="8"/>
      <c r="P184" s="8"/>
      <c r="Q184" s="8"/>
      <c r="R184" s="5"/>
    </row>
    <row r="185" spans="1:18" ht="15.6" x14ac:dyDescent="0.3">
      <c r="A185" s="75"/>
      <c r="B185" s="76" t="s">
        <v>78</v>
      </c>
      <c r="C185" s="77"/>
      <c r="D185" s="77"/>
      <c r="E185" s="64"/>
      <c r="F185" s="64"/>
      <c r="G185" s="64"/>
      <c r="H185" s="64"/>
      <c r="I185" s="64"/>
      <c r="J185" s="64"/>
      <c r="K185" s="64"/>
      <c r="L185" s="64"/>
      <c r="M185" s="64"/>
      <c r="N185" s="78">
        <v>5.8069999999999997E-2</v>
      </c>
      <c r="O185" s="25"/>
      <c r="P185" s="25"/>
      <c r="Q185" s="25"/>
      <c r="R185" s="5"/>
    </row>
    <row r="186" spans="1:18" ht="15.6" x14ac:dyDescent="0.3">
      <c r="A186" s="75"/>
      <c r="B186" s="76" t="s">
        <v>219</v>
      </c>
      <c r="C186" s="77"/>
      <c r="D186" s="77"/>
      <c r="E186" s="64"/>
      <c r="F186" s="64"/>
      <c r="G186" s="64"/>
      <c r="H186" s="64"/>
      <c r="I186" s="64"/>
      <c r="J186" s="64"/>
      <c r="K186" s="64"/>
      <c r="L186" s="64"/>
      <c r="M186" s="64"/>
      <c r="N186" s="39">
        <v>5.1499999999999997E-2</v>
      </c>
      <c r="O186" s="25"/>
      <c r="P186" s="25"/>
      <c r="Q186" s="25"/>
      <c r="R186" s="5"/>
    </row>
    <row r="187" spans="1:18" ht="15.6" x14ac:dyDescent="0.3">
      <c r="A187" s="75"/>
      <c r="B187" s="76" t="s">
        <v>79</v>
      </c>
      <c r="C187" s="77"/>
      <c r="D187" s="77"/>
      <c r="E187" s="64"/>
      <c r="F187" s="64"/>
      <c r="G187" s="64"/>
      <c r="H187" s="64"/>
      <c r="I187" s="64"/>
      <c r="J187" s="64"/>
      <c r="K187" s="64"/>
      <c r="L187" s="64"/>
      <c r="M187" s="64"/>
      <c r="N187" s="78">
        <f>N185-N186</f>
        <v>6.5699999999999995E-3</v>
      </c>
      <c r="O187" s="25"/>
      <c r="P187" s="25"/>
      <c r="Q187" s="25"/>
      <c r="R187" s="5"/>
    </row>
    <row r="188" spans="1:18" ht="15.6" x14ac:dyDescent="0.3">
      <c r="A188" s="75"/>
      <c r="B188" s="76" t="s">
        <v>80</v>
      </c>
      <c r="C188" s="77"/>
      <c r="D188" s="77"/>
      <c r="E188" s="64"/>
      <c r="F188" s="64"/>
      <c r="G188" s="64"/>
      <c r="H188" s="64"/>
      <c r="I188" s="64"/>
      <c r="J188" s="64"/>
      <c r="K188" s="64"/>
      <c r="L188" s="64"/>
      <c r="M188" s="64"/>
      <c r="N188" s="78">
        <v>6.6369999999999998E-2</v>
      </c>
      <c r="O188" s="25"/>
      <c r="P188" s="25"/>
      <c r="Q188" s="25"/>
      <c r="R188" s="5"/>
    </row>
    <row r="189" spans="1:18" ht="15.6" x14ac:dyDescent="0.3">
      <c r="A189" s="75"/>
      <c r="B189" s="76" t="s">
        <v>241</v>
      </c>
      <c r="C189" s="77"/>
      <c r="D189" s="77"/>
      <c r="E189" s="64"/>
      <c r="F189" s="64"/>
      <c r="G189" s="64"/>
      <c r="H189" s="64"/>
      <c r="I189" s="64"/>
      <c r="J189" s="64"/>
      <c r="K189" s="64"/>
      <c r="L189" s="64"/>
      <c r="M189" s="64"/>
      <c r="N189" s="78">
        <f>+P45</f>
        <v>6.1659810341045798E-2</v>
      </c>
      <c r="O189" s="25"/>
      <c r="P189" s="25"/>
      <c r="Q189" s="25"/>
      <c r="R189" s="5"/>
    </row>
    <row r="190" spans="1:18" ht="15.6" x14ac:dyDescent="0.3">
      <c r="A190" s="75"/>
      <c r="B190" s="76" t="s">
        <v>81</v>
      </c>
      <c r="C190" s="77"/>
      <c r="D190" s="77"/>
      <c r="E190" s="64"/>
      <c r="F190" s="64"/>
      <c r="G190" s="64"/>
      <c r="H190" s="64"/>
      <c r="I190" s="64"/>
      <c r="J190" s="64"/>
      <c r="K190" s="64"/>
      <c r="L190" s="64"/>
      <c r="M190" s="64"/>
      <c r="N190" s="78">
        <f>N188-N189</f>
        <v>4.7101896589542003E-3</v>
      </c>
      <c r="O190" s="25"/>
      <c r="P190" s="25"/>
      <c r="Q190" s="25"/>
      <c r="R190" s="5"/>
    </row>
    <row r="191" spans="1:18" ht="15.6" x14ac:dyDescent="0.3">
      <c r="A191" s="75"/>
      <c r="B191" s="76" t="s">
        <v>257</v>
      </c>
      <c r="C191" s="77"/>
      <c r="D191" s="77"/>
      <c r="E191" s="64"/>
      <c r="F191" s="64"/>
      <c r="G191" s="64"/>
      <c r="H191" s="64"/>
      <c r="I191" s="64"/>
      <c r="J191" s="64"/>
      <c r="K191" s="64"/>
      <c r="L191" s="64"/>
      <c r="M191" s="64"/>
      <c r="N191" s="78">
        <f>+P102/H73</f>
        <v>1.8256014708849973E-2</v>
      </c>
      <c r="O191" s="25"/>
      <c r="P191" s="25"/>
      <c r="Q191" s="25"/>
      <c r="R191" s="5"/>
    </row>
    <row r="192" spans="1:18" ht="15.6" x14ac:dyDescent="0.3">
      <c r="A192" s="75"/>
      <c r="B192" s="76" t="s">
        <v>170</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171</v>
      </c>
      <c r="C193" s="77"/>
      <c r="D193" s="77"/>
      <c r="E193" s="64"/>
      <c r="F193" s="64"/>
      <c r="G193" s="64"/>
      <c r="H193" s="64"/>
      <c r="I193" s="64"/>
      <c r="J193" s="64"/>
      <c r="K193" s="64"/>
      <c r="L193" s="64"/>
      <c r="M193" s="64"/>
      <c r="N193" s="133">
        <v>49065</v>
      </c>
      <c r="O193" s="25"/>
      <c r="P193" s="25"/>
      <c r="Q193" s="25"/>
      <c r="R193" s="5"/>
    </row>
    <row r="194" spans="1:18" ht="15.6" x14ac:dyDescent="0.3">
      <c r="A194" s="75"/>
      <c r="B194" s="76" t="s">
        <v>172</v>
      </c>
      <c r="C194" s="77"/>
      <c r="D194" s="77"/>
      <c r="E194" s="64"/>
      <c r="F194" s="64"/>
      <c r="G194" s="64"/>
      <c r="H194" s="64"/>
      <c r="I194" s="64"/>
      <c r="J194" s="64"/>
      <c r="K194" s="64"/>
      <c r="L194" s="64"/>
      <c r="M194" s="64"/>
      <c r="N194" s="133">
        <v>49065</v>
      </c>
      <c r="O194" s="25"/>
      <c r="P194" s="25"/>
      <c r="Q194" s="25"/>
      <c r="R194" s="5"/>
    </row>
    <row r="195" spans="1:18" ht="15.6" x14ac:dyDescent="0.3">
      <c r="A195" s="75"/>
      <c r="B195" s="76" t="s">
        <v>138</v>
      </c>
      <c r="C195" s="77"/>
      <c r="D195" s="77"/>
      <c r="E195" s="64"/>
      <c r="F195" s="64"/>
      <c r="G195" s="64"/>
      <c r="H195" s="64"/>
      <c r="I195" s="64"/>
      <c r="J195" s="64"/>
      <c r="K195" s="64"/>
      <c r="L195" s="64"/>
      <c r="M195" s="64"/>
      <c r="N195" s="133">
        <v>52352</v>
      </c>
      <c r="O195" s="25"/>
      <c r="P195" s="25"/>
      <c r="Q195" s="25"/>
      <c r="R195" s="5"/>
    </row>
    <row r="196" spans="1:18" ht="15.6" x14ac:dyDescent="0.3">
      <c r="A196" s="75"/>
      <c r="B196" s="76" t="s">
        <v>139</v>
      </c>
      <c r="C196" s="77"/>
      <c r="D196" s="77"/>
      <c r="E196" s="64"/>
      <c r="F196" s="64"/>
      <c r="G196" s="64"/>
      <c r="H196" s="64"/>
      <c r="I196" s="64"/>
      <c r="J196" s="64"/>
      <c r="K196" s="64"/>
      <c r="L196" s="64"/>
      <c r="M196" s="64"/>
      <c r="N196" s="133">
        <v>52352</v>
      </c>
      <c r="O196" s="25"/>
      <c r="P196" s="25"/>
      <c r="Q196" s="25"/>
      <c r="R196" s="5"/>
    </row>
    <row r="197" spans="1:18" ht="15.6" x14ac:dyDescent="0.3">
      <c r="A197" s="75"/>
      <c r="B197" s="76" t="s">
        <v>82</v>
      </c>
      <c r="C197" s="77"/>
      <c r="D197" s="77"/>
      <c r="E197" s="64"/>
      <c r="F197" s="64"/>
      <c r="G197" s="64"/>
      <c r="H197" s="64"/>
      <c r="I197" s="64"/>
      <c r="J197" s="64"/>
      <c r="K197" s="64"/>
      <c r="L197" s="64"/>
      <c r="M197" s="64"/>
      <c r="N197" s="137">
        <v>20.45</v>
      </c>
      <c r="O197" s="25" t="s">
        <v>125</v>
      </c>
      <c r="P197" s="25"/>
      <c r="Q197" s="25"/>
      <c r="R197" s="5"/>
    </row>
    <row r="198" spans="1:18" ht="15.6" x14ac:dyDescent="0.3">
      <c r="A198" s="75"/>
      <c r="B198" s="76" t="s">
        <v>83</v>
      </c>
      <c r="C198" s="77"/>
      <c r="D198" s="77"/>
      <c r="E198" s="64"/>
      <c r="F198" s="64"/>
      <c r="G198" s="64"/>
      <c r="H198" s="64"/>
      <c r="I198" s="64"/>
      <c r="J198" s="64"/>
      <c r="K198" s="64"/>
      <c r="L198" s="64"/>
      <c r="M198" s="64"/>
      <c r="N198" s="137">
        <v>17.32</v>
      </c>
      <c r="O198" s="25" t="s">
        <v>125</v>
      </c>
      <c r="P198" s="25"/>
      <c r="Q198" s="25"/>
      <c r="R198" s="5"/>
    </row>
    <row r="199" spans="1:18" ht="15.6" x14ac:dyDescent="0.3">
      <c r="A199" s="75"/>
      <c r="B199" s="76" t="s">
        <v>84</v>
      </c>
      <c r="C199" s="77"/>
      <c r="D199" s="77"/>
      <c r="E199" s="64"/>
      <c r="F199" s="64"/>
      <c r="G199" s="64"/>
      <c r="H199" s="64"/>
      <c r="I199" s="64"/>
      <c r="J199" s="64"/>
      <c r="K199" s="64"/>
      <c r="L199" s="64"/>
      <c r="M199" s="64"/>
      <c r="N199" s="78">
        <f>J70/H70</f>
        <v>2.6711361241283437E-2</v>
      </c>
      <c r="O199" s="25"/>
      <c r="P199" s="25"/>
      <c r="Q199" s="25"/>
      <c r="R199" s="5"/>
    </row>
    <row r="200" spans="1:18" ht="15.6" x14ac:dyDescent="0.3">
      <c r="A200" s="75"/>
      <c r="B200" s="76" t="s">
        <v>85</v>
      </c>
      <c r="C200" s="77"/>
      <c r="D200" s="77"/>
      <c r="E200" s="64"/>
      <c r="F200" s="64"/>
      <c r="G200" s="64"/>
      <c r="H200" s="64"/>
      <c r="I200" s="64"/>
      <c r="J200" s="64"/>
      <c r="K200" s="64"/>
      <c r="L200" s="64"/>
      <c r="M200" s="64"/>
      <c r="N200" s="78">
        <v>0.17979999999999999</v>
      </c>
      <c r="O200" s="25"/>
      <c r="P200" s="25"/>
      <c r="Q200" s="25"/>
      <c r="R200" s="5"/>
    </row>
    <row r="201" spans="1:18" ht="15.6" x14ac:dyDescent="0.3">
      <c r="A201" s="75"/>
      <c r="B201" s="76"/>
      <c r="C201" s="76"/>
      <c r="D201" s="76"/>
      <c r="E201" s="25"/>
      <c r="F201" s="25"/>
      <c r="G201" s="25"/>
      <c r="H201" s="25"/>
      <c r="I201" s="25"/>
      <c r="J201" s="25"/>
      <c r="K201" s="25"/>
      <c r="L201" s="25"/>
      <c r="M201" s="25"/>
      <c r="N201" s="61"/>
      <c r="O201" s="25"/>
      <c r="P201" s="79"/>
      <c r="Q201" s="25"/>
      <c r="R201" s="5"/>
    </row>
    <row r="202" spans="1:18" ht="15.6" x14ac:dyDescent="0.3">
      <c r="A202" s="80"/>
      <c r="B202" s="14" t="s">
        <v>86</v>
      </c>
      <c r="C202" s="81"/>
      <c r="D202" s="82"/>
      <c r="E202" s="81"/>
      <c r="F202" s="17"/>
      <c r="G202" s="17"/>
      <c r="H202" s="17"/>
      <c r="I202" s="17"/>
      <c r="J202" s="17"/>
      <c r="K202" s="17"/>
      <c r="L202" s="17"/>
      <c r="M202" s="17" t="s">
        <v>113</v>
      </c>
      <c r="N202" s="83" t="s">
        <v>121</v>
      </c>
      <c r="O202" s="8"/>
      <c r="P202" s="8"/>
      <c r="Q202" s="8"/>
      <c r="R202" s="5"/>
    </row>
    <row r="203" spans="1:18" ht="15.6" x14ac:dyDescent="0.3">
      <c r="A203" s="84"/>
      <c r="B203" s="76" t="s">
        <v>87</v>
      </c>
      <c r="C203" s="54"/>
      <c r="D203" s="25"/>
      <c r="E203" s="25"/>
      <c r="F203" s="30"/>
      <c r="G203" s="30"/>
      <c r="H203" s="30"/>
      <c r="I203" s="30"/>
      <c r="J203" s="30"/>
      <c r="K203" s="30"/>
      <c r="L203" s="30"/>
      <c r="M203" s="30">
        <v>3</v>
      </c>
      <c r="N203" s="85">
        <v>146</v>
      </c>
      <c r="O203" s="25"/>
      <c r="P203" s="79"/>
      <c r="Q203" s="86"/>
      <c r="R203" s="5"/>
    </row>
    <row r="204" spans="1:18" ht="15.6" x14ac:dyDescent="0.3">
      <c r="A204" s="84"/>
      <c r="B204" s="76" t="s">
        <v>203</v>
      </c>
      <c r="C204" s="54"/>
      <c r="D204" s="25"/>
      <c r="E204" s="25"/>
      <c r="F204" s="30"/>
      <c r="G204" s="30"/>
      <c r="H204" s="30"/>
      <c r="I204" s="30"/>
      <c r="J204" s="30"/>
      <c r="K204" s="30"/>
      <c r="L204" s="30"/>
      <c r="M204" s="151">
        <f>+L241</f>
        <v>42</v>
      </c>
      <c r="N204" s="85">
        <f>+N241</f>
        <v>6794</v>
      </c>
      <c r="O204" s="25"/>
      <c r="P204" s="79"/>
      <c r="Q204" s="86"/>
      <c r="R204" s="5"/>
    </row>
    <row r="205" spans="1:18" ht="15.6" x14ac:dyDescent="0.3">
      <c r="A205" s="84"/>
      <c r="B205" s="76" t="s">
        <v>88</v>
      </c>
      <c r="C205" s="54"/>
      <c r="D205" s="25"/>
      <c r="E205" s="25"/>
      <c r="F205" s="30"/>
      <c r="G205" s="30"/>
      <c r="H205" s="30"/>
      <c r="I205" s="30"/>
      <c r="J205" s="30"/>
      <c r="K205" s="30"/>
      <c r="L205" s="30"/>
      <c r="M205" s="151">
        <f>+L252</f>
        <v>2</v>
      </c>
      <c r="N205" s="85">
        <f>+N252</f>
        <v>208</v>
      </c>
      <c r="O205" s="25"/>
      <c r="P205" s="79"/>
      <c r="Q205" s="86"/>
      <c r="R205" s="5"/>
    </row>
    <row r="206" spans="1:18" ht="15.6" x14ac:dyDescent="0.3">
      <c r="A206" s="84"/>
      <c r="B206" s="122" t="s">
        <v>89</v>
      </c>
      <c r="C206" s="54"/>
      <c r="D206" s="25"/>
      <c r="E206" s="25"/>
      <c r="F206" s="25"/>
      <c r="G206" s="25"/>
      <c r="H206" s="25"/>
      <c r="I206" s="25"/>
      <c r="J206" s="25"/>
      <c r="K206" s="25"/>
      <c r="L206" s="25"/>
      <c r="M206" s="25"/>
      <c r="N206" s="85">
        <v>0</v>
      </c>
      <c r="O206" s="25"/>
      <c r="P206" s="79"/>
      <c r="Q206" s="86"/>
      <c r="R206" s="5"/>
    </row>
    <row r="207" spans="1:18" ht="15.6" x14ac:dyDescent="0.3">
      <c r="A207" s="84"/>
      <c r="B207" s="122" t="s">
        <v>90</v>
      </c>
      <c r="C207" s="54"/>
      <c r="D207" s="25"/>
      <c r="E207" s="25"/>
      <c r="F207" s="25"/>
      <c r="G207" s="25"/>
      <c r="H207" s="25"/>
      <c r="I207" s="25"/>
      <c r="J207" s="25"/>
      <c r="K207" s="25"/>
      <c r="L207" s="25"/>
      <c r="M207" s="25"/>
      <c r="N207" s="62" t="s">
        <v>122</v>
      </c>
      <c r="O207" s="25"/>
      <c r="P207" s="79"/>
      <c r="Q207" s="86"/>
      <c r="R207" s="5"/>
    </row>
    <row r="208" spans="1:18" ht="15.6" x14ac:dyDescent="0.3">
      <c r="A208" s="87"/>
      <c r="B208" s="122" t="s">
        <v>91</v>
      </c>
      <c r="C208" s="76"/>
      <c r="D208" s="76"/>
      <c r="E208" s="25"/>
      <c r="F208" s="25"/>
      <c r="G208" s="25"/>
      <c r="H208" s="25"/>
      <c r="I208" s="25"/>
      <c r="J208" s="167"/>
      <c r="K208" s="25"/>
      <c r="L208" s="25"/>
      <c r="M208" s="25"/>
      <c r="N208" s="85"/>
      <c r="O208" s="25"/>
      <c r="P208" s="79"/>
      <c r="Q208" s="88"/>
      <c r="R208" s="5"/>
    </row>
    <row r="209" spans="1:18" ht="15.6" x14ac:dyDescent="0.3">
      <c r="A209" s="87"/>
      <c r="B209" s="135" t="s">
        <v>92</v>
      </c>
      <c r="C209" s="76"/>
      <c r="D209" s="76"/>
      <c r="E209" s="25"/>
      <c r="F209" s="25"/>
      <c r="G209" s="25"/>
      <c r="H209" s="25"/>
      <c r="I209" s="25"/>
      <c r="J209" s="25"/>
      <c r="K209" s="25"/>
      <c r="L209" s="25"/>
      <c r="M209" s="25"/>
      <c r="N209" s="85">
        <f>P154</f>
        <v>96</v>
      </c>
      <c r="O209" s="25"/>
      <c r="P209" s="79"/>
      <c r="Q209" s="88"/>
      <c r="R209" s="5"/>
    </row>
    <row r="210" spans="1:18" ht="15.6" x14ac:dyDescent="0.3">
      <c r="A210" s="84"/>
      <c r="B210" s="76" t="s">
        <v>93</v>
      </c>
      <c r="C210" s="54"/>
      <c r="D210" s="54"/>
      <c r="E210" s="25"/>
      <c r="F210" s="25"/>
      <c r="G210" s="25"/>
      <c r="H210" s="25"/>
      <c r="I210" s="25"/>
      <c r="J210" s="25"/>
      <c r="K210" s="25"/>
      <c r="L210" s="25"/>
      <c r="M210" s="25"/>
      <c r="N210" s="85">
        <f>'July 08'!N210+'Oct 08'!N209</f>
        <v>1262</v>
      </c>
      <c r="O210" s="25"/>
      <c r="P210" s="79"/>
      <c r="Q210" s="88"/>
      <c r="R210" s="5"/>
    </row>
    <row r="211" spans="1:18" ht="15.6" x14ac:dyDescent="0.3">
      <c r="A211" s="87"/>
      <c r="B211" s="122" t="s">
        <v>278</v>
      </c>
      <c r="C211" s="76"/>
      <c r="D211" s="76"/>
      <c r="E211" s="25"/>
      <c r="F211" s="25"/>
      <c r="G211" s="25"/>
      <c r="H211" s="25"/>
      <c r="I211" s="25"/>
      <c r="J211" s="25"/>
      <c r="K211" s="25"/>
      <c r="L211" s="25"/>
      <c r="M211" s="25"/>
      <c r="N211" s="85"/>
      <c r="O211" s="25"/>
      <c r="P211" s="79"/>
      <c r="Q211" s="88"/>
      <c r="R211" s="5"/>
    </row>
    <row r="212" spans="1:18" ht="15.6" x14ac:dyDescent="0.3">
      <c r="A212" s="87"/>
      <c r="B212" s="76" t="s">
        <v>276</v>
      </c>
      <c r="C212" s="76"/>
      <c r="D212" s="76"/>
      <c r="E212" s="25"/>
      <c r="F212" s="25"/>
      <c r="G212" s="25"/>
      <c r="H212" s="25"/>
      <c r="I212" s="25"/>
      <c r="J212" s="25"/>
      <c r="K212" s="25"/>
      <c r="L212" s="25"/>
      <c r="M212" s="30">
        <v>0</v>
      </c>
      <c r="N212" s="85">
        <v>0</v>
      </c>
      <c r="O212" s="25"/>
      <c r="P212" s="79"/>
      <c r="Q212" s="88"/>
      <c r="R212" s="5"/>
    </row>
    <row r="213" spans="1:18" ht="15.6" x14ac:dyDescent="0.3">
      <c r="A213" s="84"/>
      <c r="B213" s="76" t="s">
        <v>95</v>
      </c>
      <c r="C213" s="89"/>
      <c r="D213" s="90"/>
      <c r="E213" s="25"/>
      <c r="F213" s="25"/>
      <c r="G213" s="25"/>
      <c r="H213" s="25"/>
      <c r="I213" s="25"/>
      <c r="J213" s="25"/>
      <c r="K213" s="25"/>
      <c r="L213" s="25"/>
      <c r="M213" s="25"/>
      <c r="N213" s="62">
        <v>0</v>
      </c>
      <c r="O213" s="25"/>
      <c r="P213" s="79"/>
      <c r="Q213" s="88"/>
      <c r="R213" s="5"/>
    </row>
    <row r="214" spans="1:18" ht="15.6" x14ac:dyDescent="0.3">
      <c r="A214" s="84"/>
      <c r="B214" s="76" t="s">
        <v>96</v>
      </c>
      <c r="C214" s="89"/>
      <c r="D214" s="90"/>
      <c r="E214" s="25"/>
      <c r="F214" s="25"/>
      <c r="G214" s="25"/>
      <c r="H214" s="25"/>
      <c r="I214" s="25"/>
      <c r="J214" s="25"/>
      <c r="K214" s="25"/>
      <c r="L214" s="25"/>
      <c r="M214" s="25"/>
      <c r="N214" s="62">
        <v>0</v>
      </c>
      <c r="O214" s="25"/>
      <c r="P214" s="79"/>
      <c r="Q214" s="88"/>
      <c r="R214" s="5"/>
    </row>
    <row r="215" spans="1:18" ht="15.6" x14ac:dyDescent="0.3">
      <c r="A215" s="84"/>
      <c r="B215" s="122" t="s">
        <v>251</v>
      </c>
      <c r="C215" s="89"/>
      <c r="D215" s="90"/>
      <c r="E215" s="25"/>
      <c r="F215" s="25"/>
      <c r="G215" s="25"/>
      <c r="H215" s="25"/>
      <c r="I215" s="25"/>
      <c r="J215" s="25"/>
      <c r="K215" s="25"/>
      <c r="L215" s="25"/>
      <c r="M215" s="25"/>
      <c r="N215" s="91"/>
      <c r="O215" s="25"/>
      <c r="P215" s="79"/>
      <c r="Q215" s="88"/>
      <c r="R215" s="5"/>
    </row>
    <row r="216" spans="1:18" ht="15.6" x14ac:dyDescent="0.3">
      <c r="A216" s="84"/>
      <c r="B216" s="76" t="s">
        <v>276</v>
      </c>
      <c r="C216" s="89"/>
      <c r="D216" s="90"/>
      <c r="E216" s="25"/>
      <c r="F216" s="25"/>
      <c r="G216" s="25"/>
      <c r="H216" s="25"/>
      <c r="I216" s="25"/>
      <c r="J216" s="25"/>
      <c r="K216" s="25"/>
      <c r="L216" s="25"/>
      <c r="M216" s="30">
        <v>1</v>
      </c>
      <c r="N216" s="85">
        <v>138</v>
      </c>
      <c r="O216" s="25"/>
      <c r="P216" s="79"/>
      <c r="Q216" s="88"/>
      <c r="R216" s="5"/>
    </row>
    <row r="217" spans="1:18" ht="15.6" x14ac:dyDescent="0.3">
      <c r="A217" s="84"/>
      <c r="B217" s="76" t="s">
        <v>252</v>
      </c>
      <c r="C217" s="89"/>
      <c r="D217" s="90"/>
      <c r="E217" s="25"/>
      <c r="F217" s="25"/>
      <c r="G217" s="25"/>
      <c r="H217" s="25"/>
      <c r="I217" s="25"/>
      <c r="J217" s="25"/>
      <c r="K217" s="25"/>
      <c r="L217" s="25"/>
      <c r="M217" s="25"/>
      <c r="N217" s="62">
        <v>25.45</v>
      </c>
      <c r="O217" s="25"/>
      <c r="P217" s="79"/>
      <c r="Q217" s="88"/>
      <c r="R217" s="5"/>
    </row>
    <row r="218" spans="1:18" ht="15.6" x14ac:dyDescent="0.3">
      <c r="A218" s="84"/>
      <c r="B218" s="76"/>
      <c r="C218" s="89"/>
      <c r="D218" s="90"/>
      <c r="E218" s="25"/>
      <c r="F218" s="25"/>
      <c r="G218" s="25"/>
      <c r="H218" s="25"/>
      <c r="I218" s="25"/>
      <c r="J218" s="25"/>
      <c r="K218" s="25"/>
      <c r="L218" s="25"/>
      <c r="M218" s="25"/>
      <c r="N218" s="91"/>
      <c r="O218" s="25"/>
      <c r="P218" s="79"/>
      <c r="Q218" s="88"/>
      <c r="R218" s="5"/>
    </row>
    <row r="219" spans="1:18" ht="17.399999999999999" x14ac:dyDescent="0.3">
      <c r="A219" s="84"/>
      <c r="B219" s="160" t="s">
        <v>244</v>
      </c>
      <c r="C219" s="161"/>
      <c r="D219" s="162"/>
      <c r="E219" s="163"/>
      <c r="F219" s="163"/>
      <c r="G219" s="163"/>
      <c r="H219" s="163"/>
      <c r="I219" s="166"/>
      <c r="J219" s="169" t="s">
        <v>243</v>
      </c>
      <c r="K219" s="163"/>
      <c r="L219" s="163"/>
      <c r="M219" s="25"/>
      <c r="N219" s="91"/>
      <c r="O219" s="25"/>
      <c r="P219" s="79"/>
      <c r="Q219" s="88"/>
      <c r="R219" s="5"/>
    </row>
    <row r="220" spans="1:18" ht="15.6" x14ac:dyDescent="0.3">
      <c r="A220" s="84"/>
      <c r="B220" s="156"/>
      <c r="C220" s="157"/>
      <c r="D220" s="158"/>
      <c r="E220" s="146"/>
      <c r="F220" s="146"/>
      <c r="G220" s="146"/>
      <c r="H220" s="146"/>
      <c r="I220" s="146"/>
      <c r="J220" s="146"/>
      <c r="K220" s="146"/>
      <c r="L220" s="146"/>
      <c r="M220" s="25"/>
      <c r="N220" s="91"/>
      <c r="O220" s="25"/>
      <c r="P220" s="79"/>
      <c r="Q220" s="88"/>
      <c r="R220" s="5"/>
    </row>
    <row r="221" spans="1:18" ht="15.6" x14ac:dyDescent="0.3">
      <c r="A221" s="6"/>
      <c r="B221" s="14" t="s">
        <v>236</v>
      </c>
      <c r="C221" s="81"/>
      <c r="D221" s="82"/>
      <c r="E221" s="81"/>
      <c r="F221" s="17"/>
      <c r="G221" s="17"/>
      <c r="H221" s="17"/>
      <c r="I221" s="17"/>
      <c r="J221" s="17"/>
      <c r="K221" s="17"/>
      <c r="L221" s="83" t="s">
        <v>113</v>
      </c>
      <c r="M221" s="17" t="s">
        <v>114</v>
      </c>
      <c r="N221" s="83" t="s">
        <v>123</v>
      </c>
      <c r="O221" s="17" t="s">
        <v>114</v>
      </c>
      <c r="P221" s="8"/>
      <c r="Q221" s="92"/>
      <c r="R221" s="5"/>
    </row>
    <row r="222" spans="1:18" ht="15.6" x14ac:dyDescent="0.3">
      <c r="A222" s="24"/>
      <c r="B222" s="54" t="s">
        <v>98</v>
      </c>
      <c r="C222" s="93"/>
      <c r="D222" s="25"/>
      <c r="E222" s="93"/>
      <c r="F222" s="93"/>
      <c r="G222" s="93"/>
      <c r="H222" s="93"/>
      <c r="I222" s="93"/>
      <c r="J222" s="93"/>
      <c r="K222" s="93"/>
      <c r="L222" s="54">
        <v>3918</v>
      </c>
      <c r="M222" s="94">
        <f t="shared" ref="M222:M229" si="1">L222/$L$230</f>
        <v>0.97974493623405856</v>
      </c>
      <c r="N222" s="53">
        <v>418244</v>
      </c>
      <c r="O222" s="136">
        <f t="shared" ref="O222:O229" si="2">N222/$N$230</f>
        <v>0.97621114938987386</v>
      </c>
      <c r="P222" s="79"/>
      <c r="Q222" s="88"/>
      <c r="R222" s="5"/>
    </row>
    <row r="223" spans="1:18" ht="15.6" x14ac:dyDescent="0.3">
      <c r="A223" s="24"/>
      <c r="B223" s="54" t="s">
        <v>99</v>
      </c>
      <c r="C223" s="93"/>
      <c r="D223" s="25"/>
      <c r="E223" s="94"/>
      <c r="F223" s="93"/>
      <c r="G223" s="93"/>
      <c r="H223" s="93"/>
      <c r="I223" s="93"/>
      <c r="J223" s="93"/>
      <c r="K223" s="93"/>
      <c r="L223" s="54">
        <v>61</v>
      </c>
      <c r="M223" s="94">
        <f t="shared" si="1"/>
        <v>1.5253813453363341E-2</v>
      </c>
      <c r="N223" s="53">
        <v>7997</v>
      </c>
      <c r="O223" s="136">
        <f t="shared" si="2"/>
        <v>1.8665564985201992E-2</v>
      </c>
      <c r="P223" s="79"/>
      <c r="Q223" s="88"/>
      <c r="R223" s="5"/>
    </row>
    <row r="224" spans="1:18" ht="15.6" x14ac:dyDescent="0.3">
      <c r="A224" s="24"/>
      <c r="B224" s="54" t="s">
        <v>100</v>
      </c>
      <c r="C224" s="93"/>
      <c r="D224" s="25"/>
      <c r="E224" s="94"/>
      <c r="F224" s="93"/>
      <c r="G224" s="93"/>
      <c r="H224" s="93"/>
      <c r="I224" s="93"/>
      <c r="J224" s="93"/>
      <c r="K224" s="93"/>
      <c r="L224" s="54">
        <v>13</v>
      </c>
      <c r="M224" s="94">
        <f t="shared" si="1"/>
        <v>3.2508127031757941E-3</v>
      </c>
      <c r="N224" s="53">
        <v>1347</v>
      </c>
      <c r="O224" s="136">
        <f t="shared" si="2"/>
        <v>3.1439935019466152E-3</v>
      </c>
      <c r="P224" s="79"/>
      <c r="Q224" s="88"/>
      <c r="R224" s="5"/>
    </row>
    <row r="225" spans="1:18" ht="15.6" x14ac:dyDescent="0.3">
      <c r="A225" s="24"/>
      <c r="B225" s="54" t="s">
        <v>227</v>
      </c>
      <c r="C225" s="93"/>
      <c r="D225" s="25"/>
      <c r="E225" s="94"/>
      <c r="F225" s="93"/>
      <c r="G225" s="93"/>
      <c r="H225" s="93"/>
      <c r="I225" s="93"/>
      <c r="J225" s="93"/>
      <c r="K225" s="93"/>
      <c r="L225" s="54">
        <v>3</v>
      </c>
      <c r="M225" s="94">
        <f t="shared" si="1"/>
        <v>7.501875468867217E-4</v>
      </c>
      <c r="N225" s="53">
        <v>667</v>
      </c>
      <c r="O225" s="136">
        <f t="shared" si="2"/>
        <v>1.5568252901250127E-3</v>
      </c>
      <c r="P225" s="79"/>
      <c r="Q225" s="88"/>
      <c r="R225" s="5"/>
    </row>
    <row r="226" spans="1:18" ht="15.6" x14ac:dyDescent="0.3">
      <c r="A226" s="24"/>
      <c r="B226" s="54" t="s">
        <v>228</v>
      </c>
      <c r="C226" s="93"/>
      <c r="D226" s="25"/>
      <c r="E226" s="94"/>
      <c r="F226" s="93"/>
      <c r="G226" s="93"/>
      <c r="H226" s="93"/>
      <c r="I226" s="93"/>
      <c r="J226" s="93"/>
      <c r="K226" s="93"/>
      <c r="L226" s="54">
        <v>0</v>
      </c>
      <c r="M226" s="94">
        <f t="shared" si="1"/>
        <v>0</v>
      </c>
      <c r="N226" s="53">
        <v>0</v>
      </c>
      <c r="O226" s="136">
        <f t="shared" si="2"/>
        <v>0</v>
      </c>
      <c r="P226" s="79"/>
      <c r="Q226" s="88"/>
      <c r="R226" s="5"/>
    </row>
    <row r="227" spans="1:18" ht="15.6" x14ac:dyDescent="0.3">
      <c r="A227" s="24"/>
      <c r="B227" s="54" t="s">
        <v>229</v>
      </c>
      <c r="C227" s="93"/>
      <c r="D227" s="25"/>
      <c r="E227" s="94"/>
      <c r="F227" s="93"/>
      <c r="G227" s="93"/>
      <c r="H227" s="93"/>
      <c r="I227" s="93"/>
      <c r="J227" s="93"/>
      <c r="K227" s="93"/>
      <c r="L227" s="54">
        <v>3</v>
      </c>
      <c r="M227" s="94">
        <f t="shared" si="1"/>
        <v>7.501875468867217E-4</v>
      </c>
      <c r="N227" s="53">
        <v>89</v>
      </c>
      <c r="O227" s="136">
        <f t="shared" si="2"/>
        <v>2.0773231007665087E-4</v>
      </c>
      <c r="P227" s="79"/>
      <c r="Q227" s="88"/>
      <c r="R227" s="5"/>
    </row>
    <row r="228" spans="1:18" ht="15.6" x14ac:dyDescent="0.3">
      <c r="A228" s="24"/>
      <c r="B228" s="54" t="s">
        <v>230</v>
      </c>
      <c r="C228" s="93"/>
      <c r="D228" s="25"/>
      <c r="E228" s="94"/>
      <c r="F228" s="93"/>
      <c r="G228" s="93"/>
      <c r="H228" s="93"/>
      <c r="I228" s="93"/>
      <c r="J228" s="93"/>
      <c r="K228" s="93"/>
      <c r="L228" s="54">
        <v>0</v>
      </c>
      <c r="M228" s="94">
        <f t="shared" si="1"/>
        <v>0</v>
      </c>
      <c r="N228" s="53">
        <v>0</v>
      </c>
      <c r="O228" s="136">
        <f t="shared" si="2"/>
        <v>0</v>
      </c>
      <c r="P228" s="79"/>
      <c r="Q228" s="88"/>
      <c r="R228" s="5"/>
    </row>
    <row r="229" spans="1:18" ht="15.6" x14ac:dyDescent="0.3">
      <c r="A229" s="24"/>
      <c r="B229" s="54" t="s">
        <v>231</v>
      </c>
      <c r="C229" s="93"/>
      <c r="D229" s="25"/>
      <c r="E229" s="94"/>
      <c r="F229" s="93"/>
      <c r="G229" s="93"/>
      <c r="H229" s="93"/>
      <c r="I229" s="93"/>
      <c r="J229" s="93"/>
      <c r="K229" s="93"/>
      <c r="L229" s="54">
        <v>1</v>
      </c>
      <c r="M229" s="94">
        <f t="shared" si="1"/>
        <v>2.5006251562890725E-4</v>
      </c>
      <c r="N229" s="53">
        <v>92</v>
      </c>
      <c r="O229" s="136">
        <f t="shared" si="2"/>
        <v>2.1473452277586384E-4</v>
      </c>
      <c r="P229" s="79"/>
      <c r="Q229" s="88"/>
      <c r="R229" s="5"/>
    </row>
    <row r="230" spans="1:18" ht="15.6" x14ac:dyDescent="0.3">
      <c r="A230" s="24"/>
      <c r="B230" s="25" t="s">
        <v>129</v>
      </c>
      <c r="C230" s="25"/>
      <c r="D230" s="25"/>
      <c r="E230" s="25"/>
      <c r="F230" s="95"/>
      <c r="G230" s="95"/>
      <c r="H230" s="95"/>
      <c r="I230" s="95"/>
      <c r="J230" s="95"/>
      <c r="K230" s="95"/>
      <c r="L230" s="34">
        <f>SUM(L222:L229)</f>
        <v>3999</v>
      </c>
      <c r="M230" s="136">
        <f>SUM(M222:M229)</f>
        <v>1</v>
      </c>
      <c r="N230" s="53">
        <f>SUM(N222:N229)</f>
        <v>428436</v>
      </c>
      <c r="O230" s="136">
        <f>SUM(O222:O229)</f>
        <v>1</v>
      </c>
      <c r="P230" s="25"/>
      <c r="Q230" s="25"/>
      <c r="R230" s="5"/>
    </row>
    <row r="231" spans="1:18" ht="15.6" x14ac:dyDescent="0.3">
      <c r="A231" s="24"/>
      <c r="B231" s="25"/>
      <c r="C231" s="25"/>
      <c r="D231" s="25"/>
      <c r="E231" s="25"/>
      <c r="F231" s="95"/>
      <c r="G231" s="95"/>
      <c r="H231" s="95"/>
      <c r="I231" s="95"/>
      <c r="J231" s="95"/>
      <c r="K231" s="95"/>
      <c r="L231" s="34"/>
      <c r="M231" s="136"/>
      <c r="N231" s="53"/>
      <c r="O231" s="136"/>
      <c r="P231" s="25"/>
      <c r="Q231" s="25"/>
      <c r="R231" s="5"/>
    </row>
    <row r="232" spans="1:18" ht="15.6" x14ac:dyDescent="0.3">
      <c r="A232" s="148"/>
      <c r="B232" s="14" t="s">
        <v>238</v>
      </c>
      <c r="C232" s="81"/>
      <c r="D232" s="82"/>
      <c r="E232" s="81"/>
      <c r="F232" s="17"/>
      <c r="G232" s="17"/>
      <c r="H232" s="17"/>
      <c r="I232" s="17"/>
      <c r="J232" s="17"/>
      <c r="K232" s="17"/>
      <c r="L232" s="83" t="s">
        <v>113</v>
      </c>
      <c r="M232" s="17" t="s">
        <v>114</v>
      </c>
      <c r="N232" s="83" t="s">
        <v>123</v>
      </c>
      <c r="O232" s="17" t="s">
        <v>114</v>
      </c>
      <c r="P232" s="8"/>
      <c r="Q232" s="149"/>
      <c r="R232" s="5"/>
    </row>
    <row r="233" spans="1:18" ht="15.6" x14ac:dyDescent="0.3">
      <c r="A233" s="24"/>
      <c r="B233" s="54" t="s">
        <v>98</v>
      </c>
      <c r="C233" s="93"/>
      <c r="D233" s="25"/>
      <c r="E233" s="93"/>
      <c r="F233" s="93"/>
      <c r="G233" s="93"/>
      <c r="H233" s="93"/>
      <c r="I233" s="93"/>
      <c r="J233" s="93"/>
      <c r="K233" s="93"/>
      <c r="L233" s="54">
        <v>1</v>
      </c>
      <c r="M233" s="94">
        <f t="shared" ref="M233:M240" si="3">L233/$L$241</f>
        <v>2.3809523809523808E-2</v>
      </c>
      <c r="N233" s="53">
        <v>321</v>
      </c>
      <c r="O233" s="136">
        <f t="shared" ref="O233:O240" si="4">N233/$N$241</f>
        <v>4.7247571386517515E-2</v>
      </c>
      <c r="P233" s="79"/>
      <c r="Q233" s="25"/>
      <c r="R233" s="5"/>
    </row>
    <row r="234" spans="1:18" ht="15.6" x14ac:dyDescent="0.3">
      <c r="A234" s="24"/>
      <c r="B234" s="54" t="s">
        <v>99</v>
      </c>
      <c r="C234" s="93"/>
      <c r="D234" s="25"/>
      <c r="E234" s="94"/>
      <c r="F234" s="93"/>
      <c r="G234" s="93"/>
      <c r="H234" s="93"/>
      <c r="I234" s="93"/>
      <c r="J234" s="93"/>
      <c r="K234" s="93"/>
      <c r="L234" s="54">
        <v>13</v>
      </c>
      <c r="M234" s="94">
        <f t="shared" si="3"/>
        <v>0.30952380952380953</v>
      </c>
      <c r="N234" s="53">
        <v>2425</v>
      </c>
      <c r="O234" s="136">
        <f t="shared" si="4"/>
        <v>0.35693258757727409</v>
      </c>
      <c r="P234" s="79"/>
      <c r="Q234" s="25"/>
      <c r="R234" s="5"/>
    </row>
    <row r="235" spans="1:18" ht="15.6" x14ac:dyDescent="0.3">
      <c r="A235" s="24"/>
      <c r="B235" s="54" t="s">
        <v>100</v>
      </c>
      <c r="C235" s="93"/>
      <c r="D235" s="25"/>
      <c r="E235" s="94"/>
      <c r="F235" s="93"/>
      <c r="G235" s="93"/>
      <c r="H235" s="93"/>
      <c r="I235" s="93"/>
      <c r="J235" s="93"/>
      <c r="K235" s="93"/>
      <c r="L235" s="54">
        <v>1</v>
      </c>
      <c r="M235" s="94">
        <f t="shared" si="3"/>
        <v>2.3809523809523808E-2</v>
      </c>
      <c r="N235" s="53">
        <v>171</v>
      </c>
      <c r="O235" s="136">
        <f t="shared" si="4"/>
        <v>2.5169267000294378E-2</v>
      </c>
      <c r="P235" s="79"/>
      <c r="Q235" s="25"/>
      <c r="R235" s="5"/>
    </row>
    <row r="236" spans="1:18" ht="15.6" x14ac:dyDescent="0.3">
      <c r="A236" s="24"/>
      <c r="B236" s="54" t="s">
        <v>227</v>
      </c>
      <c r="C236" s="93"/>
      <c r="D236" s="25"/>
      <c r="E236" s="94"/>
      <c r="F236" s="93"/>
      <c r="G236" s="93"/>
      <c r="H236" s="93"/>
      <c r="I236" s="93"/>
      <c r="J236" s="93"/>
      <c r="K236" s="93"/>
      <c r="L236" s="54">
        <v>4</v>
      </c>
      <c r="M236" s="94">
        <f t="shared" si="3"/>
        <v>9.5238095238095233E-2</v>
      </c>
      <c r="N236" s="53">
        <v>657</v>
      </c>
      <c r="O236" s="136">
        <f t="shared" si="4"/>
        <v>9.6702973211657342E-2</v>
      </c>
      <c r="P236" s="79"/>
      <c r="Q236" s="25"/>
      <c r="R236" s="5"/>
    </row>
    <row r="237" spans="1:18" ht="15.6" x14ac:dyDescent="0.3">
      <c r="A237" s="24"/>
      <c r="B237" s="54" t="s">
        <v>228</v>
      </c>
      <c r="C237" s="93"/>
      <c r="D237" s="25"/>
      <c r="E237" s="94"/>
      <c r="F237" s="93"/>
      <c r="G237" s="93"/>
      <c r="H237" s="93"/>
      <c r="I237" s="93"/>
      <c r="J237" s="93"/>
      <c r="K237" s="93"/>
      <c r="L237" s="54">
        <v>2</v>
      </c>
      <c r="M237" s="94">
        <f t="shared" si="3"/>
        <v>4.7619047619047616E-2</v>
      </c>
      <c r="N237" s="53">
        <v>438</v>
      </c>
      <c r="O237" s="136">
        <f t="shared" si="4"/>
        <v>6.4468648807771561E-2</v>
      </c>
      <c r="P237" s="79"/>
      <c r="Q237" s="25"/>
      <c r="R237" s="5"/>
    </row>
    <row r="238" spans="1:18" ht="15.6" x14ac:dyDescent="0.3">
      <c r="A238" s="24"/>
      <c r="B238" s="54" t="s">
        <v>229</v>
      </c>
      <c r="C238" s="93"/>
      <c r="D238" s="25"/>
      <c r="E238" s="94"/>
      <c r="F238" s="93"/>
      <c r="G238" s="93"/>
      <c r="H238" s="93"/>
      <c r="I238" s="93"/>
      <c r="J238" s="93"/>
      <c r="K238" s="93"/>
      <c r="L238" s="54">
        <v>5</v>
      </c>
      <c r="M238" s="94">
        <f t="shared" si="3"/>
        <v>0.11904761904761904</v>
      </c>
      <c r="N238" s="53">
        <v>589</v>
      </c>
      <c r="O238" s="136">
        <f t="shared" si="4"/>
        <v>8.6694141889902862E-2</v>
      </c>
      <c r="P238" s="79"/>
      <c r="Q238" s="25"/>
      <c r="R238" s="5"/>
    </row>
    <row r="239" spans="1:18" ht="15.6" x14ac:dyDescent="0.3">
      <c r="A239" s="24"/>
      <c r="B239" s="54" t="s">
        <v>230</v>
      </c>
      <c r="C239" s="93"/>
      <c r="D239" s="25"/>
      <c r="E239" s="94"/>
      <c r="F239" s="93"/>
      <c r="G239" s="93"/>
      <c r="H239" s="93"/>
      <c r="I239" s="93"/>
      <c r="J239" s="93"/>
      <c r="K239" s="93"/>
      <c r="L239" s="54">
        <v>10</v>
      </c>
      <c r="M239" s="94">
        <f t="shared" si="3"/>
        <v>0.23809523809523808</v>
      </c>
      <c r="N239" s="53">
        <v>1415</v>
      </c>
      <c r="O239" s="136">
        <f t="shared" si="4"/>
        <v>0.20827200471003826</v>
      </c>
      <c r="P239" s="79"/>
      <c r="Q239" s="25"/>
      <c r="R239" s="5"/>
    </row>
    <row r="240" spans="1:18" ht="15.6" x14ac:dyDescent="0.3">
      <c r="A240" s="24"/>
      <c r="B240" s="54" t="s">
        <v>231</v>
      </c>
      <c r="C240" s="93"/>
      <c r="D240" s="25"/>
      <c r="E240" s="94"/>
      <c r="F240" s="93"/>
      <c r="G240" s="93"/>
      <c r="H240" s="93"/>
      <c r="I240" s="93"/>
      <c r="J240" s="93"/>
      <c r="K240" s="93"/>
      <c r="L240" s="54">
        <v>6</v>
      </c>
      <c r="M240" s="94">
        <f t="shared" si="3"/>
        <v>0.14285714285714285</v>
      </c>
      <c r="N240" s="53">
        <v>778</v>
      </c>
      <c r="O240" s="136">
        <f t="shared" si="4"/>
        <v>0.114512805416544</v>
      </c>
      <c r="P240" s="79"/>
      <c r="Q240" s="25"/>
      <c r="R240" s="5"/>
    </row>
    <row r="241" spans="1:18" ht="15.6" x14ac:dyDescent="0.3">
      <c r="A241" s="24"/>
      <c r="B241" s="25" t="s">
        <v>129</v>
      </c>
      <c r="C241" s="25"/>
      <c r="D241" s="25"/>
      <c r="E241" s="25"/>
      <c r="F241" s="95"/>
      <c r="G241" s="95"/>
      <c r="H241" s="95"/>
      <c r="I241" s="95"/>
      <c r="J241" s="95"/>
      <c r="K241" s="95"/>
      <c r="L241" s="34">
        <f>SUM(L233:L240)</f>
        <v>42</v>
      </c>
      <c r="M241" s="136">
        <f>SUM(M233:M240)</f>
        <v>1</v>
      </c>
      <c r="N241" s="53">
        <f>SUM(N233:N240)</f>
        <v>6794</v>
      </c>
      <c r="O241" s="136">
        <f>SUM(O233:O240)</f>
        <v>1</v>
      </c>
      <c r="P241" s="25"/>
      <c r="Q241" s="25"/>
      <c r="R241" s="5"/>
    </row>
    <row r="242" spans="1:18" ht="15.6" x14ac:dyDescent="0.3">
      <c r="A242" s="24"/>
      <c r="B242" s="25"/>
      <c r="C242" s="25"/>
      <c r="D242" s="25"/>
      <c r="E242" s="25"/>
      <c r="F242" s="95"/>
      <c r="G242" s="95"/>
      <c r="H242" s="95"/>
      <c r="I242" s="95"/>
      <c r="J242" s="95"/>
      <c r="K242" s="95"/>
      <c r="L242" s="34"/>
      <c r="M242" s="136"/>
      <c r="N242" s="53"/>
      <c r="O242" s="136"/>
      <c r="P242" s="25"/>
      <c r="Q242" s="25"/>
      <c r="R242" s="5"/>
    </row>
    <row r="243" spans="1:18" ht="15.6" x14ac:dyDescent="0.3">
      <c r="A243" s="148"/>
      <c r="B243" s="14" t="s">
        <v>239</v>
      </c>
      <c r="C243" s="81"/>
      <c r="D243" s="82"/>
      <c r="E243" s="81"/>
      <c r="F243" s="17"/>
      <c r="G243" s="17"/>
      <c r="H243" s="17"/>
      <c r="I243" s="17"/>
      <c r="J243" s="17"/>
      <c r="K243" s="17"/>
      <c r="L243" s="83" t="s">
        <v>113</v>
      </c>
      <c r="M243" s="17" t="s">
        <v>114</v>
      </c>
      <c r="N243" s="83" t="s">
        <v>123</v>
      </c>
      <c r="O243" s="17" t="s">
        <v>114</v>
      </c>
      <c r="P243" s="150"/>
      <c r="Q243" s="149"/>
      <c r="R243" s="5"/>
    </row>
    <row r="244" spans="1:18" ht="15.6" x14ac:dyDescent="0.3">
      <c r="A244" s="24"/>
      <c r="B244" s="54" t="s">
        <v>98</v>
      </c>
      <c r="C244" s="93"/>
      <c r="D244" s="25"/>
      <c r="E244" s="93"/>
      <c r="F244" s="93"/>
      <c r="G244" s="93"/>
      <c r="H244" s="93"/>
      <c r="I244" s="93"/>
      <c r="J244" s="93"/>
      <c r="K244" s="93"/>
      <c r="L244" s="54">
        <v>0</v>
      </c>
      <c r="M244" s="136">
        <f t="shared" ref="M244:M252" si="5">L244/$L$252</f>
        <v>0</v>
      </c>
      <c r="N244" s="53">
        <v>0</v>
      </c>
      <c r="O244" s="136">
        <f t="shared" ref="O244:O252" si="6">N244/$N$252</f>
        <v>0</v>
      </c>
      <c r="P244" s="25"/>
      <c r="Q244" s="25"/>
      <c r="R244" s="5"/>
    </row>
    <row r="245" spans="1:18" ht="15.6" x14ac:dyDescent="0.3">
      <c r="A245" s="24"/>
      <c r="B245" s="54" t="s">
        <v>99</v>
      </c>
      <c r="C245" s="93"/>
      <c r="D245" s="25"/>
      <c r="E245" s="94"/>
      <c r="F245" s="93"/>
      <c r="G245" s="93"/>
      <c r="H245" s="93"/>
      <c r="I245" s="93"/>
      <c r="J245" s="93"/>
      <c r="K245" s="93"/>
      <c r="L245" s="54">
        <v>0</v>
      </c>
      <c r="M245" s="136">
        <f t="shared" si="5"/>
        <v>0</v>
      </c>
      <c r="N245" s="53">
        <v>0</v>
      </c>
      <c r="O245" s="136">
        <f t="shared" si="6"/>
        <v>0</v>
      </c>
      <c r="P245" s="25"/>
      <c r="Q245" s="25"/>
      <c r="R245" s="5"/>
    </row>
    <row r="246" spans="1:18" ht="15.6" x14ac:dyDescent="0.3">
      <c r="A246" s="24"/>
      <c r="B246" s="54" t="s">
        <v>100</v>
      </c>
      <c r="C246" s="93"/>
      <c r="D246" s="25"/>
      <c r="E246" s="94"/>
      <c r="F246" s="93"/>
      <c r="G246" s="93"/>
      <c r="H246" s="93"/>
      <c r="I246" s="93"/>
      <c r="J246" s="93"/>
      <c r="K246" s="93"/>
      <c r="L246" s="54">
        <v>0</v>
      </c>
      <c r="M246" s="136">
        <f t="shared" si="5"/>
        <v>0</v>
      </c>
      <c r="N246" s="53">
        <v>0</v>
      </c>
      <c r="O246" s="136">
        <f t="shared" si="6"/>
        <v>0</v>
      </c>
      <c r="P246" s="25"/>
      <c r="Q246" s="25"/>
      <c r="R246" s="5"/>
    </row>
    <row r="247" spans="1:18" ht="15.6" x14ac:dyDescent="0.3">
      <c r="A247" s="24"/>
      <c r="B247" s="54" t="s">
        <v>227</v>
      </c>
      <c r="C247" s="93"/>
      <c r="D247" s="25"/>
      <c r="E247" s="94"/>
      <c r="F247" s="93"/>
      <c r="G247" s="93"/>
      <c r="H247" s="93"/>
      <c r="I247" s="93"/>
      <c r="J247" s="93"/>
      <c r="K247" s="93"/>
      <c r="L247" s="54">
        <v>0</v>
      </c>
      <c r="M247" s="136">
        <f t="shared" si="5"/>
        <v>0</v>
      </c>
      <c r="N247" s="53">
        <v>0</v>
      </c>
      <c r="O247" s="136">
        <f t="shared" si="6"/>
        <v>0</v>
      </c>
      <c r="P247" s="25"/>
      <c r="Q247" s="25"/>
      <c r="R247" s="5"/>
    </row>
    <row r="248" spans="1:18" ht="15.6" x14ac:dyDescent="0.3">
      <c r="A248" s="24"/>
      <c r="B248" s="54" t="s">
        <v>228</v>
      </c>
      <c r="C248" s="93"/>
      <c r="D248" s="25"/>
      <c r="E248" s="94"/>
      <c r="F248" s="93"/>
      <c r="G248" s="93"/>
      <c r="H248" s="93"/>
      <c r="I248" s="93"/>
      <c r="J248" s="93"/>
      <c r="K248" s="93"/>
      <c r="L248" s="54">
        <v>0</v>
      </c>
      <c r="M248" s="136">
        <f t="shared" si="5"/>
        <v>0</v>
      </c>
      <c r="N248" s="53">
        <v>0</v>
      </c>
      <c r="O248" s="136">
        <f t="shared" si="6"/>
        <v>0</v>
      </c>
      <c r="P248" s="25"/>
      <c r="Q248" s="25"/>
      <c r="R248" s="5"/>
    </row>
    <row r="249" spans="1:18" ht="15.6" x14ac:dyDescent="0.3">
      <c r="A249" s="24"/>
      <c r="B249" s="54" t="s">
        <v>229</v>
      </c>
      <c r="C249" s="93"/>
      <c r="D249" s="25"/>
      <c r="E249" s="94"/>
      <c r="F249" s="93"/>
      <c r="G249" s="93"/>
      <c r="H249" s="93"/>
      <c r="I249" s="93"/>
      <c r="J249" s="93"/>
      <c r="K249" s="93"/>
      <c r="L249" s="54">
        <v>0</v>
      </c>
      <c r="M249" s="136">
        <f t="shared" si="5"/>
        <v>0</v>
      </c>
      <c r="N249" s="53">
        <v>0</v>
      </c>
      <c r="O249" s="136">
        <f t="shared" si="6"/>
        <v>0</v>
      </c>
      <c r="P249" s="25"/>
      <c r="Q249" s="25"/>
      <c r="R249" s="5"/>
    </row>
    <row r="250" spans="1:18" ht="15.6" x14ac:dyDescent="0.3">
      <c r="A250" s="24"/>
      <c r="B250" s="54" t="s">
        <v>230</v>
      </c>
      <c r="C250" s="93"/>
      <c r="D250" s="25"/>
      <c r="E250" s="94"/>
      <c r="F250" s="93"/>
      <c r="G250" s="93"/>
      <c r="H250" s="93"/>
      <c r="I250" s="93"/>
      <c r="J250" s="93"/>
      <c r="K250" s="93"/>
      <c r="L250" s="54">
        <v>1</v>
      </c>
      <c r="M250" s="136">
        <f t="shared" si="5"/>
        <v>0.5</v>
      </c>
      <c r="N250" s="53">
        <v>123</v>
      </c>
      <c r="O250" s="136">
        <f t="shared" si="6"/>
        <v>0.59134615384615385</v>
      </c>
      <c r="P250" s="25"/>
      <c r="Q250" s="25"/>
      <c r="R250" s="5"/>
    </row>
    <row r="251" spans="1:18" ht="15.6" x14ac:dyDescent="0.3">
      <c r="A251" s="24"/>
      <c r="B251" s="54" t="s">
        <v>231</v>
      </c>
      <c r="C251" s="93"/>
      <c r="D251" s="25"/>
      <c r="E251" s="94"/>
      <c r="F251" s="93"/>
      <c r="G251" s="93"/>
      <c r="H251" s="93"/>
      <c r="I251" s="93"/>
      <c r="J251" s="93"/>
      <c r="K251" s="93"/>
      <c r="L251" s="54">
        <v>1</v>
      </c>
      <c r="M251" s="136">
        <f t="shared" si="5"/>
        <v>0.5</v>
      </c>
      <c r="N251" s="53">
        <v>85</v>
      </c>
      <c r="O251" s="136">
        <f t="shared" si="6"/>
        <v>0.40865384615384615</v>
      </c>
      <c r="P251" s="25"/>
      <c r="Q251" s="25"/>
      <c r="R251" s="5"/>
    </row>
    <row r="252" spans="1:18" ht="15.6" x14ac:dyDescent="0.3">
      <c r="A252" s="24"/>
      <c r="B252" s="25" t="s">
        <v>129</v>
      </c>
      <c r="C252" s="25"/>
      <c r="D252" s="25"/>
      <c r="E252" s="25"/>
      <c r="F252" s="95"/>
      <c r="G252" s="95"/>
      <c r="H252" s="95"/>
      <c r="I252" s="95"/>
      <c r="J252" s="95"/>
      <c r="K252" s="95"/>
      <c r="L252" s="34">
        <f>SUM(L244:L251)</f>
        <v>2</v>
      </c>
      <c r="M252" s="136">
        <f t="shared" si="5"/>
        <v>1</v>
      </c>
      <c r="N252" s="53">
        <f>SUM(N244:N251)</f>
        <v>208</v>
      </c>
      <c r="O252" s="136">
        <f t="shared" si="6"/>
        <v>1</v>
      </c>
      <c r="P252" s="25"/>
      <c r="Q252" s="25"/>
      <c r="R252" s="5"/>
    </row>
    <row r="253" spans="1:18" ht="15.6" x14ac:dyDescent="0.3">
      <c r="A253" s="24"/>
      <c r="B253" s="25"/>
      <c r="C253" s="25"/>
      <c r="D253" s="25"/>
      <c r="E253" s="25"/>
      <c r="F253" s="95"/>
      <c r="G253" s="95"/>
      <c r="H253" s="95"/>
      <c r="I253" s="95"/>
      <c r="J253" s="95"/>
      <c r="K253" s="95"/>
      <c r="L253" s="34"/>
      <c r="M253" s="136"/>
      <c r="N253" s="53"/>
      <c r="O253" s="136"/>
      <c r="P253" s="25"/>
      <c r="Q253" s="25"/>
      <c r="R253" s="5"/>
    </row>
    <row r="254" spans="1:18" ht="15.6" x14ac:dyDescent="0.3">
      <c r="A254" s="24"/>
      <c r="B254" s="152" t="s">
        <v>240</v>
      </c>
      <c r="C254" s="25"/>
      <c r="D254" s="25"/>
      <c r="E254" s="25"/>
      <c r="F254" s="95"/>
      <c r="G254" s="95"/>
      <c r="H254" s="95"/>
      <c r="I254" s="95"/>
      <c r="J254" s="95"/>
      <c r="K254" s="95"/>
      <c r="L254" s="173">
        <f>+L230+L241+L252</f>
        <v>4043</v>
      </c>
      <c r="M254" s="136"/>
      <c r="N254" s="153">
        <f>+N252+N241+N230</f>
        <v>435438</v>
      </c>
      <c r="O254" s="136"/>
      <c r="P254" s="25"/>
      <c r="Q254" s="25"/>
      <c r="R254" s="5"/>
    </row>
    <row r="255" spans="1:18" ht="15.6" x14ac:dyDescent="0.3">
      <c r="A255" s="24"/>
      <c r="B255" s="25"/>
      <c r="C255" s="25"/>
      <c r="D255" s="25"/>
      <c r="E255" s="25"/>
      <c r="F255" s="95"/>
      <c r="G255" s="95"/>
      <c r="H255" s="95"/>
      <c r="I255" s="95"/>
      <c r="J255" s="95"/>
      <c r="K255" s="95"/>
      <c r="L255" s="95"/>
      <c r="M255" s="95"/>
      <c r="N255" s="53"/>
      <c r="O255" s="95"/>
      <c r="P255" s="25"/>
      <c r="Q255" s="25"/>
      <c r="R255" s="5"/>
    </row>
    <row r="256" spans="1:18" ht="15.6" x14ac:dyDescent="0.3">
      <c r="A256" s="6"/>
      <c r="B256" s="8"/>
      <c r="C256" s="8"/>
      <c r="D256" s="8"/>
      <c r="E256" s="8"/>
      <c r="F256" s="96"/>
      <c r="G256" s="96"/>
      <c r="H256" s="96"/>
      <c r="I256" s="96"/>
      <c r="J256" s="96"/>
      <c r="K256" s="96"/>
      <c r="L256" s="96"/>
      <c r="M256" s="96"/>
      <c r="N256" s="97"/>
      <c r="O256" s="96"/>
      <c r="P256" s="8"/>
      <c r="Q256" s="8"/>
      <c r="R256" s="5"/>
    </row>
    <row r="257" spans="1:18" ht="15.6" x14ac:dyDescent="0.3">
      <c r="A257" s="145"/>
      <c r="B257" s="14" t="s">
        <v>102</v>
      </c>
      <c r="C257" s="15"/>
      <c r="D257" s="15"/>
      <c r="E257" s="15"/>
      <c r="F257" s="17" t="s">
        <v>108</v>
      </c>
      <c r="G257" s="15"/>
      <c r="H257" s="14" t="s">
        <v>110</v>
      </c>
      <c r="I257" s="140"/>
      <c r="J257" s="140"/>
      <c r="K257" s="140"/>
      <c r="L257" s="140"/>
      <c r="M257" s="140"/>
      <c r="N257" s="140"/>
      <c r="O257" s="140"/>
      <c r="P257" s="140"/>
      <c r="Q257" s="140"/>
      <c r="R257" s="5"/>
    </row>
    <row r="258" spans="1:18" ht="15.6" x14ac:dyDescent="0.3">
      <c r="A258" s="145"/>
      <c r="B258" s="140"/>
      <c r="C258" s="8"/>
      <c r="D258" s="8"/>
      <c r="E258" s="8"/>
      <c r="F258" s="8"/>
      <c r="G258" s="8"/>
      <c r="H258" s="8"/>
      <c r="I258" s="140"/>
      <c r="J258" s="140"/>
      <c r="K258" s="140"/>
      <c r="L258" s="140"/>
      <c r="M258" s="140"/>
      <c r="N258" s="140"/>
      <c r="O258" s="140"/>
      <c r="P258" s="140"/>
      <c r="Q258" s="140"/>
      <c r="R258" s="5"/>
    </row>
    <row r="259" spans="1:18" ht="15.6" x14ac:dyDescent="0.3">
      <c r="A259" s="145"/>
      <c r="B259" s="13" t="s">
        <v>103</v>
      </c>
      <c r="C259" s="13"/>
      <c r="D259" s="13"/>
      <c r="E259" s="13"/>
      <c r="F259" s="134" t="s">
        <v>212</v>
      </c>
      <c r="G259" s="13"/>
      <c r="H259" s="13" t="s">
        <v>222</v>
      </c>
      <c r="I259" s="140"/>
      <c r="J259" s="140"/>
      <c r="K259" s="140"/>
      <c r="L259" s="140"/>
      <c r="M259" s="140"/>
      <c r="N259" s="140"/>
      <c r="O259" s="140"/>
      <c r="P259" s="140"/>
      <c r="Q259" s="140"/>
      <c r="R259" s="5"/>
    </row>
    <row r="260" spans="1:18" ht="15.6" x14ac:dyDescent="0.3">
      <c r="A260" s="145"/>
      <c r="B260" s="13" t="s">
        <v>263</v>
      </c>
      <c r="C260" s="13"/>
      <c r="D260" s="13"/>
      <c r="E260" s="13"/>
      <c r="F260" s="134" t="s">
        <v>264</v>
      </c>
      <c r="G260" s="13"/>
      <c r="H260" s="13" t="s">
        <v>265</v>
      </c>
      <c r="I260" s="140"/>
      <c r="J260" s="140"/>
      <c r="K260" s="140"/>
      <c r="L260" s="140"/>
      <c r="M260" s="140"/>
      <c r="N260" s="140"/>
      <c r="O260" s="140"/>
      <c r="P260" s="140"/>
      <c r="Q260" s="140"/>
      <c r="R260" s="5"/>
    </row>
    <row r="261" spans="1:18" ht="15.6" x14ac:dyDescent="0.3">
      <c r="A261" s="145"/>
      <c r="B261" s="13" t="s">
        <v>104</v>
      </c>
      <c r="C261" s="13"/>
      <c r="D261" s="13"/>
      <c r="E261" s="13"/>
      <c r="F261" s="134" t="s">
        <v>211</v>
      </c>
      <c r="G261" s="13"/>
      <c r="H261" s="13" t="s">
        <v>223</v>
      </c>
      <c r="I261" s="140"/>
      <c r="J261" s="140"/>
      <c r="K261" s="140"/>
      <c r="L261" s="140"/>
      <c r="M261" s="140"/>
      <c r="N261" s="140"/>
      <c r="O261" s="140"/>
      <c r="P261" s="140"/>
      <c r="Q261" s="140"/>
      <c r="R261" s="5"/>
    </row>
    <row r="262" spans="1:18" ht="15.6" x14ac:dyDescent="0.3">
      <c r="A262" s="145"/>
      <c r="B262" s="13"/>
      <c r="C262" s="13"/>
      <c r="D262" s="13"/>
      <c r="E262" s="99"/>
      <c r="F262" s="140"/>
      <c r="G262" s="140"/>
      <c r="H262" s="140"/>
      <c r="I262" s="140"/>
      <c r="J262" s="140"/>
      <c r="K262" s="140"/>
      <c r="L262" s="140"/>
      <c r="M262" s="140"/>
      <c r="N262" s="140"/>
      <c r="O262" s="140"/>
      <c r="P262" s="140"/>
      <c r="Q262" s="140"/>
      <c r="R262" s="5"/>
    </row>
    <row r="263" spans="1:18" ht="15.6" x14ac:dyDescent="0.3">
      <c r="A263" s="145"/>
      <c r="B263" s="13"/>
      <c r="C263" s="13"/>
      <c r="D263" s="13"/>
      <c r="E263" s="99"/>
      <c r="F263" s="140"/>
      <c r="G263" s="140"/>
      <c r="H263" s="140"/>
      <c r="I263" s="140"/>
      <c r="J263" s="140"/>
      <c r="K263" s="140"/>
      <c r="L263" s="140"/>
      <c r="M263" s="140"/>
      <c r="N263" s="140"/>
      <c r="O263" s="140"/>
      <c r="P263" s="140"/>
      <c r="Q263" s="140"/>
      <c r="R263" s="5"/>
    </row>
    <row r="264" spans="1:18" ht="18" thickBot="1" x14ac:dyDescent="0.35">
      <c r="A264" s="145"/>
      <c r="B264" s="49" t="str">
        <f>B182</f>
        <v>PM7 INVESTOR REPORT QUARTER ENDING OCTOBER 2008</v>
      </c>
      <c r="C264" s="13"/>
      <c r="D264" s="13"/>
      <c r="E264" s="99"/>
      <c r="F264" s="140"/>
      <c r="G264" s="140"/>
      <c r="H264" s="140"/>
      <c r="I264" s="140"/>
      <c r="J264" s="140"/>
      <c r="K264" s="140"/>
      <c r="L264" s="140"/>
      <c r="M264" s="140"/>
      <c r="N264" s="140"/>
      <c r="O264" s="140"/>
      <c r="P264" s="140"/>
      <c r="Q264" s="140"/>
      <c r="R264" s="5"/>
    </row>
    <row r="265" spans="1:18" x14ac:dyDescent="0.25">
      <c r="A265" s="100"/>
      <c r="B265" s="100"/>
      <c r="C265" s="100"/>
      <c r="D265" s="100"/>
      <c r="E265" s="100"/>
      <c r="F265" s="100"/>
      <c r="G265" s="100"/>
      <c r="H265" s="100"/>
      <c r="I265" s="100"/>
      <c r="J265" s="100"/>
      <c r="K265" s="100"/>
      <c r="L265" s="100"/>
      <c r="M265" s="100"/>
      <c r="N265" s="100"/>
      <c r="O265" s="100"/>
      <c r="P265" s="100"/>
      <c r="Q265" s="100"/>
    </row>
  </sheetData>
  <phoneticPr fontId="0" type="noConversion"/>
  <hyperlinks>
    <hyperlink ref="H9" r:id="rId1"/>
    <hyperlink ref="J219"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2" max="14" man="1"/>
    <brk id="182" max="1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S267"/>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0.95599999999999996</v>
      </c>
      <c r="N17" s="17" t="s">
        <v>173</v>
      </c>
      <c r="O17" s="138">
        <v>4.3999999999999997E-2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39867</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191674.66499999998</v>
      </c>
      <c r="E34" s="31"/>
      <c r="F34" s="131">
        <f>+F33*F40</f>
        <v>93681.588000000003</v>
      </c>
      <c r="G34" s="31"/>
      <c r="H34" s="124">
        <f>+H33*H40</f>
        <v>212984.95</v>
      </c>
      <c r="I34" s="31"/>
      <c r="J34" s="130">
        <v>82500</v>
      </c>
      <c r="K34" s="31"/>
      <c r="L34" s="124">
        <v>65000</v>
      </c>
      <c r="M34" s="31"/>
      <c r="N34" s="31"/>
      <c r="O34" s="142"/>
      <c r="P34" s="31"/>
      <c r="Q34" s="34"/>
      <c r="R34" s="5"/>
    </row>
    <row r="35" spans="1:18" ht="15.6" x14ac:dyDescent="0.3">
      <c r="A35" s="28"/>
      <c r="B35" s="29" t="s">
        <v>158</v>
      </c>
      <c r="C35" s="36"/>
      <c r="D35" s="129">
        <f>+D33*D39</f>
        <v>187737.88500000001</v>
      </c>
      <c r="E35" s="35"/>
      <c r="F35" s="132">
        <f>+F33*F39</f>
        <v>91756.543999999994</v>
      </c>
      <c r="G35" s="35"/>
      <c r="H35" s="125">
        <f>+H33*H39</f>
        <v>208610.94999999998</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107742.92580101179</v>
      </c>
      <c r="E37" s="31"/>
      <c r="F37" s="31">
        <f>+F34</f>
        <v>93681.588000000003</v>
      </c>
      <c r="G37" s="31"/>
      <c r="H37" s="31">
        <f>+H34/1.481481</f>
        <v>143764.8879735886</v>
      </c>
      <c r="I37" s="31"/>
      <c r="J37" s="31">
        <v>46374</v>
      </c>
      <c r="K37" s="31"/>
      <c r="L37" s="31">
        <v>43875</v>
      </c>
      <c r="M37" s="31"/>
      <c r="N37" s="31"/>
      <c r="O37" s="142"/>
      <c r="P37" s="31">
        <f>SUM(C37:L37)</f>
        <v>435438.40177460038</v>
      </c>
      <c r="Q37" s="34"/>
      <c r="R37" s="5"/>
    </row>
    <row r="38" spans="1:18" ht="15.6" x14ac:dyDescent="0.3">
      <c r="A38" s="28"/>
      <c r="B38" s="29" t="s">
        <v>281</v>
      </c>
      <c r="C38" s="36"/>
      <c r="D38" s="35">
        <f>D35/1.779</f>
        <v>105530.00843170322</v>
      </c>
      <c r="E38" s="35"/>
      <c r="F38" s="35">
        <f>+F35</f>
        <v>91756.543999999994</v>
      </c>
      <c r="G38" s="35"/>
      <c r="H38" s="35">
        <f>H35/1.481481</f>
        <v>140812.43701404202</v>
      </c>
      <c r="I38" s="35"/>
      <c r="J38" s="35">
        <v>46374</v>
      </c>
      <c r="K38" s="35"/>
      <c r="L38" s="35">
        <v>43875</v>
      </c>
      <c r="M38" s="35"/>
      <c r="N38" s="35"/>
      <c r="O38" s="37"/>
      <c r="P38" s="35">
        <f>SUM(D38:L38)</f>
        <v>428347.98944574525</v>
      </c>
      <c r="Q38" s="34"/>
      <c r="R38" s="5"/>
    </row>
    <row r="39" spans="1:18" ht="15.6" x14ac:dyDescent="0.3">
      <c r="A39" s="28"/>
      <c r="B39" s="122" t="s">
        <v>154</v>
      </c>
      <c r="C39" s="126"/>
      <c r="D39" s="174">
        <v>0.41719529999999999</v>
      </c>
      <c r="E39" s="174"/>
      <c r="F39" s="174">
        <v>0.41707519999999998</v>
      </c>
      <c r="G39" s="174"/>
      <c r="H39" s="174">
        <v>0.41722189999999998</v>
      </c>
      <c r="I39" s="174"/>
      <c r="J39" s="174">
        <v>1</v>
      </c>
      <c r="K39" s="174"/>
      <c r="L39" s="174">
        <v>1</v>
      </c>
      <c r="M39" s="31"/>
      <c r="N39" s="31"/>
      <c r="O39" s="142"/>
      <c r="P39" s="31"/>
      <c r="Q39" s="34"/>
      <c r="R39" s="5"/>
    </row>
    <row r="40" spans="1:18" ht="15.6" x14ac:dyDescent="0.3">
      <c r="A40" s="28"/>
      <c r="B40" s="122" t="s">
        <v>155</v>
      </c>
      <c r="C40" s="126"/>
      <c r="D40" s="174">
        <v>0.42594369999999998</v>
      </c>
      <c r="E40" s="174"/>
      <c r="F40" s="174">
        <v>0.42582540000000002</v>
      </c>
      <c r="G40" s="174"/>
      <c r="H40" s="174">
        <v>0.42596990000000001</v>
      </c>
      <c r="I40" s="174"/>
      <c r="J40" s="174">
        <v>1</v>
      </c>
      <c r="K40" s="174"/>
      <c r="L40" s="174">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2.3587500000000001E-2</v>
      </c>
      <c r="E42" s="39"/>
      <c r="F42" s="38">
        <v>4.3587500000000001E-2</v>
      </c>
      <c r="G42" s="39"/>
      <c r="H42" s="38">
        <v>4.4549999999999999E-2</v>
      </c>
      <c r="I42" s="39"/>
      <c r="J42" s="38">
        <v>2.8987499999999999E-2</v>
      </c>
      <c r="K42" s="39"/>
      <c r="L42" s="38">
        <v>4.9950000000000001E-2</v>
      </c>
      <c r="M42" s="39"/>
      <c r="N42" s="38"/>
      <c r="O42" s="141"/>
      <c r="P42" s="39"/>
      <c r="Q42" s="25"/>
      <c r="R42" s="5"/>
    </row>
    <row r="43" spans="1:18" ht="15.6" x14ac:dyDescent="0.3">
      <c r="A43" s="24"/>
      <c r="B43" s="25" t="s">
        <v>14</v>
      </c>
      <c r="C43" s="25"/>
      <c r="D43" s="38">
        <v>3.0143799999999998E-2</v>
      </c>
      <c r="E43" s="39"/>
      <c r="F43" s="38">
        <v>5.9718800000000002E-2</v>
      </c>
      <c r="G43" s="39"/>
      <c r="H43" s="38">
        <v>5.1749999999999997E-2</v>
      </c>
      <c r="I43" s="39"/>
      <c r="J43" s="38">
        <v>3.55438E-2</v>
      </c>
      <c r="K43" s="39"/>
      <c r="L43" s="38">
        <v>5.7149999999999999E-2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4.4532500000000003E-2</v>
      </c>
      <c r="E45" s="39"/>
      <c r="F45" s="38">
        <f>+F42</f>
        <v>4.3587500000000001E-2</v>
      </c>
      <c r="G45" s="39"/>
      <c r="H45" s="38">
        <v>4.4412500000000001E-2</v>
      </c>
      <c r="I45" s="39"/>
      <c r="J45" s="38">
        <v>5.0662499999999999E-2</v>
      </c>
      <c r="K45" s="39"/>
      <c r="L45" s="38">
        <v>5.0662499999999999E-2</v>
      </c>
      <c r="M45" s="39"/>
      <c r="N45" s="38"/>
      <c r="O45" s="141"/>
      <c r="P45" s="39">
        <f>SUMPRODUCT(D45:L45,D37:L37)/P37</f>
        <v>4.5560074694743581E-2</v>
      </c>
      <c r="Q45" s="25"/>
      <c r="R45" s="5"/>
    </row>
    <row r="46" spans="1:18" ht="15.6" x14ac:dyDescent="0.3">
      <c r="A46" s="24"/>
      <c r="B46" s="25" t="s">
        <v>283</v>
      </c>
      <c r="C46" s="25"/>
      <c r="D46" s="38">
        <v>6.0663799999999997E-2</v>
      </c>
      <c r="E46" s="39"/>
      <c r="F46" s="38">
        <f>+F43</f>
        <v>5.9718800000000002E-2</v>
      </c>
      <c r="G46" s="39"/>
      <c r="H46" s="38">
        <v>6.0543800000000002E-2</v>
      </c>
      <c r="I46" s="39"/>
      <c r="J46" s="38">
        <v>6.67938E-2</v>
      </c>
      <c r="K46" s="39"/>
      <c r="L46" s="38">
        <v>6.67938E-2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0.26693070023056742</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39861</v>
      </c>
      <c r="Q57" s="25"/>
      <c r="R57" s="5"/>
    </row>
    <row r="58" spans="1:18" ht="15.6" x14ac:dyDescent="0.3">
      <c r="A58" s="24"/>
      <c r="B58" s="25" t="s">
        <v>142</v>
      </c>
      <c r="C58" s="25"/>
      <c r="D58" s="25"/>
      <c r="E58" s="25"/>
      <c r="F58" s="58"/>
      <c r="G58" s="58"/>
      <c r="H58" s="58"/>
      <c r="I58" s="58"/>
      <c r="J58" s="58"/>
      <c r="K58" s="58"/>
      <c r="L58" s="25">
        <f>+P58-N58+1</f>
        <v>94</v>
      </c>
      <c r="M58" s="58"/>
      <c r="N58" s="45">
        <v>39675</v>
      </c>
      <c r="O58" s="46"/>
      <c r="P58" s="45">
        <v>39768</v>
      </c>
      <c r="Q58" s="25"/>
      <c r="R58" s="5"/>
    </row>
    <row r="59" spans="1:18" ht="15.6" x14ac:dyDescent="0.3">
      <c r="A59" s="24"/>
      <c r="B59" s="25" t="s">
        <v>143</v>
      </c>
      <c r="C59" s="25"/>
      <c r="D59" s="25"/>
      <c r="E59" s="25"/>
      <c r="F59" s="25"/>
      <c r="G59" s="25"/>
      <c r="H59" s="25"/>
      <c r="I59" s="25"/>
      <c r="J59" s="25"/>
      <c r="K59" s="25"/>
      <c r="L59" s="25">
        <f>+P59-N59+1</f>
        <v>92</v>
      </c>
      <c r="M59" s="25"/>
      <c r="N59" s="45">
        <v>39769</v>
      </c>
      <c r="O59" s="46"/>
      <c r="P59" s="45">
        <v>39860</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39846</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272</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435438</v>
      </c>
      <c r="I70" s="34"/>
      <c r="J70" s="34">
        <f>7090+438+12+88</f>
        <v>7628</v>
      </c>
      <c r="K70" s="34"/>
      <c r="L70" s="34">
        <f>438+12</f>
        <v>450</v>
      </c>
      <c r="M70" s="34"/>
      <c r="N70" s="34">
        <v>0</v>
      </c>
      <c r="O70" s="34"/>
      <c r="P70" s="53">
        <f>+H70-J70+L70-N70</f>
        <v>428260</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435438</v>
      </c>
      <c r="I73" s="34"/>
      <c r="J73" s="34">
        <f>SUM(J70:J72)</f>
        <v>7628</v>
      </c>
      <c r="K73" s="34"/>
      <c r="L73" s="34">
        <f>SUM(L70:L72)</f>
        <v>450</v>
      </c>
      <c r="M73" s="34"/>
      <c r="N73" s="34">
        <f>SUM(N70:N72)</f>
        <v>0</v>
      </c>
      <c r="O73" s="34"/>
      <c r="P73" s="54">
        <f>SUM(P70:P72)</f>
        <v>428260</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273</v>
      </c>
      <c r="C86" s="34"/>
      <c r="D86" s="34"/>
      <c r="E86" s="34"/>
      <c r="F86" s="34">
        <v>0</v>
      </c>
      <c r="G86" s="34"/>
      <c r="H86" s="53">
        <v>0</v>
      </c>
      <c r="I86" s="34"/>
      <c r="J86" s="34">
        <v>0</v>
      </c>
      <c r="K86" s="34"/>
      <c r="L86" s="34">
        <v>0</v>
      </c>
      <c r="M86" s="34"/>
      <c r="N86" s="34"/>
      <c r="O86" s="34"/>
      <c r="P86" s="54">
        <f>+N130</f>
        <v>88</v>
      </c>
      <c r="Q86" s="25"/>
      <c r="R86" s="5"/>
    </row>
    <row r="87" spans="1:18" ht="15.6" x14ac:dyDescent="0.3">
      <c r="A87" s="24"/>
      <c r="B87" s="25" t="s">
        <v>30</v>
      </c>
      <c r="C87" s="34"/>
      <c r="D87" s="54"/>
      <c r="E87" s="34"/>
      <c r="F87" s="54">
        <f>SUM(F73:F86)</f>
        <v>900700</v>
      </c>
      <c r="G87" s="54"/>
      <c r="H87" s="54">
        <f>SUM(H73:H86)</f>
        <v>435438</v>
      </c>
      <c r="I87" s="34"/>
      <c r="J87" s="54">
        <f>SUM(J73:J86)</f>
        <v>7628</v>
      </c>
      <c r="K87" s="34"/>
      <c r="L87" s="54">
        <f>SUM(L73:L86)</f>
        <v>450</v>
      </c>
      <c r="M87" s="34"/>
      <c r="N87" s="54"/>
      <c r="O87" s="34"/>
      <c r="P87" s="54">
        <f>SUM(P73:P86)</f>
        <v>428348</v>
      </c>
      <c r="Q87" s="25"/>
      <c r="R87" s="5"/>
    </row>
    <row r="88" spans="1:18" ht="15.6" x14ac:dyDescent="0.3">
      <c r="A88" s="24"/>
      <c r="B88" s="25"/>
      <c r="C88" s="34"/>
      <c r="D88" s="34"/>
      <c r="E88" s="34"/>
      <c r="F88" s="34"/>
      <c r="G88" s="34"/>
      <c r="H88" s="34"/>
      <c r="I88" s="34"/>
      <c r="J88" s="34"/>
      <c r="K88" s="34"/>
      <c r="L88" s="34"/>
      <c r="M88" s="34"/>
      <c r="N88" s="34"/>
      <c r="O88" s="34"/>
      <c r="P88" s="54"/>
      <c r="Q88" s="25"/>
      <c r="R88" s="5"/>
    </row>
    <row r="89" spans="1:18" ht="15.6" x14ac:dyDescent="0.3">
      <c r="A89" s="6"/>
      <c r="B89" s="8"/>
      <c r="C89" s="8"/>
      <c r="D89" s="8"/>
      <c r="E89" s="8"/>
      <c r="F89" s="8"/>
      <c r="G89" s="8"/>
      <c r="H89" s="8"/>
      <c r="I89" s="8"/>
      <c r="J89" s="8"/>
      <c r="K89" s="8"/>
      <c r="L89" s="8"/>
      <c r="M89" s="8"/>
      <c r="N89" s="8"/>
      <c r="O89" s="8"/>
      <c r="P89" s="8"/>
      <c r="Q89" s="8"/>
      <c r="R89" s="5"/>
    </row>
    <row r="90" spans="1:18" ht="15.6" x14ac:dyDescent="0.3">
      <c r="A90" s="6"/>
      <c r="B90" s="51" t="s">
        <v>31</v>
      </c>
      <c r="C90" s="14"/>
      <c r="D90" s="14"/>
      <c r="E90" s="14"/>
      <c r="F90" s="170" t="s">
        <v>106</v>
      </c>
      <c r="G90" s="17"/>
      <c r="H90" s="171">
        <v>39843</v>
      </c>
      <c r="I90" s="17"/>
      <c r="J90" s="17"/>
      <c r="K90" s="17"/>
      <c r="L90" s="17"/>
      <c r="M90" s="17"/>
      <c r="N90" s="17" t="s">
        <v>119</v>
      </c>
      <c r="O90" s="17"/>
      <c r="P90" s="17" t="s">
        <v>128</v>
      </c>
      <c r="Q90" s="8"/>
      <c r="R90" s="5"/>
    </row>
    <row r="91" spans="1:18" ht="15.6" x14ac:dyDescent="0.3">
      <c r="A91" s="24"/>
      <c r="B91" s="25" t="s">
        <v>32</v>
      </c>
      <c r="C91" s="25"/>
      <c r="D91" s="25"/>
      <c r="E91" s="25"/>
      <c r="F91" s="25"/>
      <c r="G91" s="25"/>
      <c r="H91" s="25"/>
      <c r="I91" s="25"/>
      <c r="J91" s="25"/>
      <c r="K91" s="25"/>
      <c r="L91" s="25"/>
      <c r="M91" s="25"/>
      <c r="N91" s="34">
        <v>0</v>
      </c>
      <c r="O91" s="25"/>
      <c r="P91" s="53">
        <v>0</v>
      </c>
      <c r="Q91" s="25"/>
      <c r="R91" s="5"/>
    </row>
    <row r="92" spans="1:18" ht="15.6" x14ac:dyDescent="0.3">
      <c r="A92" s="24"/>
      <c r="B92" s="25" t="s">
        <v>33</v>
      </c>
      <c r="C92" s="25"/>
      <c r="D92" s="25"/>
      <c r="E92" s="25"/>
      <c r="F92" s="40" t="s">
        <v>253</v>
      </c>
      <c r="G92" s="57"/>
      <c r="H92" s="127" t="s">
        <v>253</v>
      </c>
      <c r="I92" s="25"/>
      <c r="J92" s="25"/>
      <c r="K92" s="25"/>
      <c r="L92" s="25"/>
      <c r="M92" s="25"/>
      <c r="N92" s="34">
        <f>7628-142</f>
        <v>7486</v>
      </c>
      <c r="O92" s="25"/>
      <c r="P92" s="53"/>
      <c r="Q92" s="25"/>
      <c r="R92" s="5"/>
    </row>
    <row r="93" spans="1:18" ht="15.6" x14ac:dyDescent="0.3">
      <c r="A93" s="24"/>
      <c r="B93" s="25" t="s">
        <v>248</v>
      </c>
      <c r="C93" s="25"/>
      <c r="D93" s="25"/>
      <c r="E93" s="25"/>
      <c r="F93" s="40"/>
      <c r="G93" s="57"/>
      <c r="H93" s="127"/>
      <c r="I93" s="25"/>
      <c r="J93" s="25"/>
      <c r="K93" s="25"/>
      <c r="L93" s="25"/>
      <c r="M93" s="25"/>
      <c r="N93" s="34"/>
      <c r="O93" s="25"/>
      <c r="P93" s="53">
        <f>6973+316-1156-66+78+28+5</f>
        <v>6178</v>
      </c>
      <c r="Q93" s="25"/>
      <c r="R93" s="5"/>
    </row>
    <row r="94" spans="1:18" ht="15.6" x14ac:dyDescent="0.3">
      <c r="A94" s="24"/>
      <c r="B94" s="25" t="s">
        <v>249</v>
      </c>
      <c r="C94" s="25"/>
      <c r="D94" s="25"/>
      <c r="E94" s="25"/>
      <c r="F94" s="40"/>
      <c r="G94" s="57"/>
      <c r="H94" s="127"/>
      <c r="I94" s="25"/>
      <c r="J94" s="25"/>
      <c r="K94" s="25"/>
      <c r="L94" s="25"/>
      <c r="M94" s="25"/>
      <c r="N94" s="34"/>
      <c r="O94" s="25"/>
      <c r="P94" s="53">
        <f>96+28</f>
        <v>124</v>
      </c>
      <c r="Q94" s="25"/>
      <c r="R94" s="5"/>
    </row>
    <row r="95" spans="1:18" ht="15.6" x14ac:dyDescent="0.3">
      <c r="A95" s="24"/>
      <c r="B95" s="25" t="s">
        <v>250</v>
      </c>
      <c r="C95" s="25"/>
      <c r="D95" s="25"/>
      <c r="E95" s="25"/>
      <c r="F95" s="40"/>
      <c r="G95" s="57"/>
      <c r="H95" s="127"/>
      <c r="I95" s="25"/>
      <c r="J95" s="25"/>
      <c r="K95" s="25"/>
      <c r="L95" s="25"/>
      <c r="M95" s="25"/>
      <c r="N95" s="34"/>
      <c r="O95" s="25"/>
      <c r="P95" s="53">
        <v>351</v>
      </c>
      <c r="Q95" s="25"/>
      <c r="R95" s="5"/>
    </row>
    <row r="96" spans="1:18" ht="15.6" x14ac:dyDescent="0.3">
      <c r="A96" s="24"/>
      <c r="B96" s="25" t="s">
        <v>259</v>
      </c>
      <c r="C96" s="25"/>
      <c r="D96" s="25"/>
      <c r="E96" s="25"/>
      <c r="F96" s="40"/>
      <c r="G96" s="57"/>
      <c r="H96" s="127"/>
      <c r="I96" s="25"/>
      <c r="J96" s="25"/>
      <c r="K96" s="25"/>
      <c r="L96" s="25"/>
      <c r="M96" s="25"/>
      <c r="N96" s="34"/>
      <c r="O96" s="25"/>
      <c r="P96" s="53">
        <v>0</v>
      </c>
      <c r="Q96" s="25"/>
      <c r="R96" s="5"/>
    </row>
    <row r="97" spans="1:19" ht="15.6" x14ac:dyDescent="0.3">
      <c r="A97" s="24"/>
      <c r="B97" s="25" t="s">
        <v>160</v>
      </c>
      <c r="C97" s="25"/>
      <c r="D97" s="25"/>
      <c r="E97" s="25"/>
      <c r="F97" s="25"/>
      <c r="G97" s="25"/>
      <c r="H97" s="25"/>
      <c r="I97" s="25"/>
      <c r="J97" s="25"/>
      <c r="K97" s="25"/>
      <c r="L97" s="25"/>
      <c r="M97" s="25"/>
      <c r="N97" s="34"/>
      <c r="O97" s="25"/>
      <c r="P97" s="53">
        <v>0</v>
      </c>
      <c r="Q97" s="25"/>
      <c r="R97" s="5"/>
    </row>
    <row r="98" spans="1:19" ht="15.6" x14ac:dyDescent="0.3">
      <c r="A98" s="24"/>
      <c r="B98" s="25" t="s">
        <v>192</v>
      </c>
      <c r="C98" s="25"/>
      <c r="D98" s="25"/>
      <c r="E98" s="25"/>
      <c r="F98" s="25"/>
      <c r="G98" s="25"/>
      <c r="H98" s="25"/>
      <c r="I98" s="25"/>
      <c r="J98" s="25"/>
      <c r="K98" s="25"/>
      <c r="L98" s="25"/>
      <c r="M98" s="25"/>
      <c r="N98" s="34"/>
      <c r="O98" s="25"/>
      <c r="P98" s="53">
        <v>0</v>
      </c>
      <c r="Q98" s="25"/>
      <c r="R98" s="5"/>
    </row>
    <row r="99" spans="1:19" ht="15.6" x14ac:dyDescent="0.3">
      <c r="A99" s="24"/>
      <c r="B99" s="25" t="s">
        <v>35</v>
      </c>
      <c r="C99" s="25"/>
      <c r="D99" s="25"/>
      <c r="E99" s="25"/>
      <c r="F99" s="25"/>
      <c r="G99" s="25"/>
      <c r="H99" s="25"/>
      <c r="I99" s="25"/>
      <c r="J99" s="25"/>
      <c r="K99" s="25"/>
      <c r="L99" s="25"/>
      <c r="M99" s="25"/>
      <c r="N99" s="34">
        <f>SUM(N91:N98)</f>
        <v>7486</v>
      </c>
      <c r="O99" s="25"/>
      <c r="P99" s="54">
        <f>SUM(P91:P98)</f>
        <v>6653</v>
      </c>
      <c r="Q99" s="25"/>
      <c r="R99" s="5"/>
    </row>
    <row r="100" spans="1:19" ht="15.6" x14ac:dyDescent="0.3">
      <c r="A100" s="24"/>
      <c r="B100" s="25" t="s">
        <v>237</v>
      </c>
      <c r="C100" s="25"/>
      <c r="D100" s="25"/>
      <c r="E100" s="25"/>
      <c r="F100" s="25"/>
      <c r="G100" s="25"/>
      <c r="H100" s="25"/>
      <c r="I100" s="25"/>
      <c r="J100" s="25"/>
      <c r="K100" s="25"/>
      <c r="L100" s="25"/>
      <c r="M100" s="25"/>
      <c r="N100" s="34">
        <v>-4</v>
      </c>
      <c r="O100" s="25"/>
      <c r="P100" s="54">
        <f>-N100</f>
        <v>4</v>
      </c>
      <c r="Q100" s="25"/>
      <c r="R100" s="5"/>
    </row>
    <row r="101" spans="1:19" ht="15.6" x14ac:dyDescent="0.3">
      <c r="A101" s="24"/>
      <c r="B101" s="25" t="s">
        <v>36</v>
      </c>
      <c r="C101" s="25"/>
      <c r="D101" s="25"/>
      <c r="E101" s="25"/>
      <c r="F101" s="25"/>
      <c r="G101" s="25"/>
      <c r="H101" s="25"/>
      <c r="I101" s="25"/>
      <c r="J101" s="25"/>
      <c r="K101" s="25"/>
      <c r="L101" s="25"/>
      <c r="M101" s="25"/>
      <c r="N101" s="34">
        <f>-P101</f>
        <v>0</v>
      </c>
      <c r="O101" s="25"/>
      <c r="P101" s="53">
        <v>0</v>
      </c>
      <c r="Q101" s="25"/>
      <c r="R101" s="5"/>
    </row>
    <row r="102" spans="1:19" ht="15.6" x14ac:dyDescent="0.3">
      <c r="A102" s="24"/>
      <c r="B102" s="25" t="s">
        <v>268</v>
      </c>
      <c r="C102" s="25"/>
      <c r="D102" s="25"/>
      <c r="E102" s="25"/>
      <c r="F102" s="25"/>
      <c r="G102" s="25"/>
      <c r="H102" s="25"/>
      <c r="I102" s="25"/>
      <c r="J102" s="25"/>
      <c r="K102" s="25"/>
      <c r="L102" s="25"/>
      <c r="M102" s="25"/>
      <c r="N102" s="34"/>
      <c r="O102" s="25"/>
      <c r="P102" s="53">
        <v>-199</v>
      </c>
      <c r="Q102" s="25"/>
      <c r="R102" s="5"/>
    </row>
    <row r="103" spans="1:19" ht="15.6" x14ac:dyDescent="0.3">
      <c r="A103" s="24"/>
      <c r="B103" s="25" t="s">
        <v>37</v>
      </c>
      <c r="C103" s="25"/>
      <c r="D103" s="25"/>
      <c r="E103" s="25"/>
      <c r="F103" s="25"/>
      <c r="G103" s="25"/>
      <c r="H103" s="25"/>
      <c r="I103" s="25"/>
      <c r="J103" s="25"/>
      <c r="K103" s="25"/>
      <c r="L103" s="25"/>
      <c r="M103" s="25"/>
      <c r="N103" s="34">
        <f>N99+N101+N100</f>
        <v>7482</v>
      </c>
      <c r="O103" s="25"/>
      <c r="P103" s="54">
        <f>P99+P101+P100+P102</f>
        <v>6458</v>
      </c>
      <c r="Q103" s="25"/>
      <c r="R103" s="5"/>
      <c r="S103" s="154"/>
    </row>
    <row r="104" spans="1:19" ht="15.6" x14ac:dyDescent="0.3">
      <c r="A104" s="24"/>
      <c r="B104" s="118" t="s">
        <v>38</v>
      </c>
      <c r="C104" s="25"/>
      <c r="D104" s="25"/>
      <c r="E104" s="25"/>
      <c r="F104" s="25"/>
      <c r="G104" s="25"/>
      <c r="H104" s="25"/>
      <c r="I104" s="25"/>
      <c r="J104" s="25"/>
      <c r="K104" s="25"/>
      <c r="L104" s="25"/>
      <c r="M104" s="25"/>
      <c r="N104" s="34"/>
      <c r="O104" s="25"/>
      <c r="P104" s="53"/>
      <c r="Q104" s="25"/>
      <c r="R104" s="5"/>
    </row>
    <row r="105" spans="1:19" ht="15.6" x14ac:dyDescent="0.3">
      <c r="A105" s="24">
        <v>1</v>
      </c>
      <c r="B105" s="25" t="s">
        <v>39</v>
      </c>
      <c r="C105" s="25"/>
      <c r="D105" s="25"/>
      <c r="E105" s="25"/>
      <c r="F105" s="25"/>
      <c r="G105" s="25"/>
      <c r="H105" s="25"/>
      <c r="I105" s="25"/>
      <c r="J105" s="25"/>
      <c r="K105" s="25"/>
      <c r="L105" s="25"/>
      <c r="M105" s="25"/>
      <c r="N105" s="25"/>
      <c r="O105" s="25"/>
      <c r="P105" s="53">
        <v>0</v>
      </c>
      <c r="Q105" s="25"/>
      <c r="R105" s="5"/>
    </row>
    <row r="106" spans="1:19" ht="15.6" x14ac:dyDescent="0.3">
      <c r="A106" s="24">
        <f>+A105+1</f>
        <v>2</v>
      </c>
      <c r="B106" s="25" t="s">
        <v>40</v>
      </c>
      <c r="C106" s="25"/>
      <c r="D106" s="25"/>
      <c r="E106" s="25"/>
      <c r="F106" s="25"/>
      <c r="G106" s="25"/>
      <c r="H106" s="25"/>
      <c r="I106" s="25"/>
      <c r="J106" s="25"/>
      <c r="K106" s="25"/>
      <c r="L106" s="25"/>
      <c r="M106" s="25"/>
      <c r="N106" s="25"/>
      <c r="O106" s="25"/>
      <c r="P106" s="53">
        <v>-2</v>
      </c>
      <c r="Q106" s="25"/>
      <c r="R106" s="5"/>
    </row>
    <row r="107" spans="1:19" ht="15.6" x14ac:dyDescent="0.3">
      <c r="A107" s="24">
        <f>+A106+1</f>
        <v>3</v>
      </c>
      <c r="B107" s="25" t="s">
        <v>226</v>
      </c>
      <c r="C107" s="25"/>
      <c r="D107" s="25"/>
      <c r="E107" s="25"/>
      <c r="F107" s="25"/>
      <c r="G107" s="25"/>
      <c r="H107" s="25"/>
      <c r="I107" s="25"/>
      <c r="J107" s="25"/>
      <c r="K107" s="25"/>
      <c r="L107" s="25"/>
      <c r="M107" s="25"/>
      <c r="N107" s="25"/>
      <c r="O107" s="25"/>
      <c r="P107" s="53">
        <f>-109-77-5</f>
        <v>-191</v>
      </c>
      <c r="Q107" s="25"/>
      <c r="R107" s="5"/>
    </row>
    <row r="108" spans="1:19" ht="15.6" x14ac:dyDescent="0.3">
      <c r="A108" s="24" t="s">
        <v>151</v>
      </c>
      <c r="B108" s="25" t="s">
        <v>131</v>
      </c>
      <c r="C108" s="25"/>
      <c r="D108" s="25"/>
      <c r="E108" s="25"/>
      <c r="F108" s="25"/>
      <c r="G108" s="25"/>
      <c r="H108" s="25"/>
      <c r="I108" s="25"/>
      <c r="J108" s="25"/>
      <c r="K108" s="25"/>
      <c r="L108" s="25"/>
      <c r="M108" s="25"/>
      <c r="N108" s="25"/>
      <c r="O108" s="25"/>
      <c r="P108" s="53">
        <v>-507</v>
      </c>
      <c r="Q108" s="25"/>
      <c r="R108" s="5"/>
    </row>
    <row r="109" spans="1:19" ht="15.6" x14ac:dyDescent="0.3">
      <c r="A109" s="24" t="s">
        <v>152</v>
      </c>
      <c r="B109" s="25" t="s">
        <v>195</v>
      </c>
      <c r="C109" s="25"/>
      <c r="D109" s="25"/>
      <c r="E109" s="25"/>
      <c r="F109" s="25"/>
      <c r="G109" s="25"/>
      <c r="H109" s="25"/>
      <c r="I109" s="25"/>
      <c r="J109" s="25"/>
      <c r="K109" s="25"/>
      <c r="L109" s="25"/>
      <c r="M109" s="25"/>
      <c r="N109" s="25"/>
      <c r="O109" s="25"/>
      <c r="P109" s="53">
        <v>-1209</v>
      </c>
      <c r="Q109" s="25"/>
      <c r="R109" s="5"/>
      <c r="S109" s="109"/>
    </row>
    <row r="110" spans="1:19" ht="15.6" x14ac:dyDescent="0.3">
      <c r="A110" s="24" t="s">
        <v>217</v>
      </c>
      <c r="B110" s="25" t="s">
        <v>196</v>
      </c>
      <c r="C110" s="25"/>
      <c r="D110" s="25"/>
      <c r="E110" s="25"/>
      <c r="F110" s="25"/>
      <c r="G110" s="25"/>
      <c r="H110" s="25"/>
      <c r="I110" s="25"/>
      <c r="J110" s="25"/>
      <c r="K110" s="25"/>
      <c r="L110" s="25"/>
      <c r="M110" s="25"/>
      <c r="N110" s="25"/>
      <c r="O110" s="25"/>
      <c r="P110" s="53">
        <v>-1029</v>
      </c>
      <c r="Q110" s="25"/>
      <c r="R110" s="5"/>
      <c r="S110" s="109"/>
    </row>
    <row r="111" spans="1:19" ht="15.6" x14ac:dyDescent="0.3">
      <c r="A111" s="24" t="s">
        <v>218</v>
      </c>
      <c r="B111" s="25" t="s">
        <v>197</v>
      </c>
      <c r="C111" s="25"/>
      <c r="D111" s="25"/>
      <c r="E111" s="25"/>
      <c r="F111" s="25"/>
      <c r="G111" s="25"/>
      <c r="H111" s="25"/>
      <c r="I111" s="25"/>
      <c r="J111" s="25"/>
      <c r="K111" s="25"/>
      <c r="L111" s="25"/>
      <c r="M111" s="25"/>
      <c r="N111" s="25"/>
      <c r="O111" s="25"/>
      <c r="P111" s="53">
        <v>-1609</v>
      </c>
      <c r="Q111" s="25"/>
      <c r="R111" s="5"/>
      <c r="S111" s="109"/>
    </row>
    <row r="112" spans="1:19" ht="15.6" x14ac:dyDescent="0.3">
      <c r="A112" s="24" t="s">
        <v>147</v>
      </c>
      <c r="B112" s="25" t="s">
        <v>146</v>
      </c>
      <c r="C112" s="25"/>
      <c r="D112" s="25"/>
      <c r="E112" s="25"/>
      <c r="F112" s="25"/>
      <c r="G112" s="25"/>
      <c r="H112" s="25"/>
      <c r="I112" s="25"/>
      <c r="J112" s="25"/>
      <c r="K112" s="25"/>
      <c r="L112" s="25"/>
      <c r="M112" s="25"/>
      <c r="N112" s="25"/>
      <c r="O112" s="25"/>
      <c r="P112" s="53">
        <v>-592</v>
      </c>
      <c r="Q112" s="25"/>
      <c r="R112" s="5"/>
      <c r="S112" s="109"/>
    </row>
    <row r="113" spans="1:19" ht="15.6" x14ac:dyDescent="0.3">
      <c r="A113" s="24" t="s">
        <v>148</v>
      </c>
      <c r="B113" s="25" t="s">
        <v>198</v>
      </c>
      <c r="C113" s="25"/>
      <c r="D113" s="25"/>
      <c r="E113" s="25"/>
      <c r="F113" s="25"/>
      <c r="G113" s="25"/>
      <c r="H113" s="25"/>
      <c r="I113" s="25"/>
      <c r="J113" s="25"/>
      <c r="K113" s="25"/>
      <c r="L113" s="25"/>
      <c r="M113" s="25"/>
      <c r="N113" s="25"/>
      <c r="O113" s="25"/>
      <c r="P113" s="53">
        <v>-560</v>
      </c>
      <c r="Q113" s="25"/>
      <c r="R113" s="5"/>
      <c r="S113" s="109"/>
    </row>
    <row r="114" spans="1:19" ht="15.6" x14ac:dyDescent="0.3">
      <c r="A114" s="24">
        <v>6</v>
      </c>
      <c r="B114" s="25" t="s">
        <v>41</v>
      </c>
      <c r="C114" s="25"/>
      <c r="D114" s="25"/>
      <c r="E114" s="25"/>
      <c r="F114" s="25"/>
      <c r="G114" s="25"/>
      <c r="H114" s="25"/>
      <c r="I114" s="25"/>
      <c r="J114" s="25"/>
      <c r="K114" s="25"/>
      <c r="L114" s="25"/>
      <c r="M114" s="25"/>
      <c r="N114" s="25"/>
      <c r="O114" s="25"/>
      <c r="P114" s="53">
        <v>-10</v>
      </c>
      <c r="Q114" s="25"/>
      <c r="R114" s="5"/>
    </row>
    <row r="115" spans="1:19" ht="15.6" x14ac:dyDescent="0.3">
      <c r="A115" s="24">
        <f t="shared" ref="A115:A120" si="0">+A114+1</f>
        <v>7</v>
      </c>
      <c r="B115" s="25" t="s">
        <v>53</v>
      </c>
      <c r="C115" s="25"/>
      <c r="D115" s="25"/>
      <c r="E115" s="25"/>
      <c r="F115" s="25"/>
      <c r="G115" s="25"/>
      <c r="H115" s="25"/>
      <c r="I115" s="25"/>
      <c r="J115" s="25"/>
      <c r="K115" s="25"/>
      <c r="L115" s="25"/>
      <c r="M115" s="25"/>
      <c r="N115" s="34">
        <f>-P115</f>
        <v>142</v>
      </c>
      <c r="O115" s="25"/>
      <c r="P115" s="53">
        <v>-142</v>
      </c>
      <c r="Q115" s="25"/>
      <c r="R115" s="5"/>
    </row>
    <row r="116" spans="1:19" ht="15.6" x14ac:dyDescent="0.3">
      <c r="A116" s="24">
        <f t="shared" si="0"/>
        <v>8</v>
      </c>
      <c r="B116" s="25" t="s">
        <v>149</v>
      </c>
      <c r="C116" s="25"/>
      <c r="D116" s="25"/>
      <c r="E116" s="25"/>
      <c r="F116" s="25"/>
      <c r="G116" s="25"/>
      <c r="H116" s="25"/>
      <c r="I116" s="25"/>
      <c r="J116" s="25"/>
      <c r="K116" s="25"/>
      <c r="L116" s="25"/>
      <c r="M116" s="25"/>
      <c r="N116" s="25"/>
      <c r="O116" s="25"/>
      <c r="P116" s="53">
        <v>0</v>
      </c>
      <c r="Q116" s="25"/>
      <c r="R116" s="5"/>
    </row>
    <row r="117" spans="1:19" ht="15.6" x14ac:dyDescent="0.3">
      <c r="A117" s="24">
        <f t="shared" si="0"/>
        <v>9</v>
      </c>
      <c r="B117" s="25" t="s">
        <v>42</v>
      </c>
      <c r="C117" s="25"/>
      <c r="D117" s="25"/>
      <c r="E117" s="25"/>
      <c r="F117" s="25"/>
      <c r="G117" s="25"/>
      <c r="H117" s="25"/>
      <c r="I117" s="25"/>
      <c r="J117" s="25"/>
      <c r="K117" s="25"/>
      <c r="L117" s="25"/>
      <c r="M117" s="25"/>
      <c r="N117" s="25"/>
      <c r="O117" s="25"/>
      <c r="P117" s="53">
        <v>0</v>
      </c>
      <c r="Q117" s="25"/>
      <c r="R117" s="5"/>
    </row>
    <row r="118" spans="1:19" ht="15.6" x14ac:dyDescent="0.3">
      <c r="A118" s="24">
        <f t="shared" si="0"/>
        <v>10</v>
      </c>
      <c r="B118" s="25" t="s">
        <v>43</v>
      </c>
      <c r="C118" s="25"/>
      <c r="D118" s="25"/>
      <c r="E118" s="25"/>
      <c r="F118" s="25"/>
      <c r="G118" s="25"/>
      <c r="H118" s="25"/>
      <c r="I118" s="25"/>
      <c r="J118" s="25"/>
      <c r="K118" s="25"/>
      <c r="L118" s="25"/>
      <c r="M118" s="25"/>
      <c r="N118" s="25"/>
      <c r="O118" s="25"/>
      <c r="P118" s="53">
        <v>0</v>
      </c>
      <c r="Q118" s="25"/>
      <c r="R118" s="5"/>
    </row>
    <row r="119" spans="1:19" ht="15.6" x14ac:dyDescent="0.3">
      <c r="A119" s="24">
        <f t="shared" si="0"/>
        <v>11</v>
      </c>
      <c r="B119" s="25" t="s">
        <v>215</v>
      </c>
      <c r="C119" s="25"/>
      <c r="D119" s="25"/>
      <c r="E119" s="25"/>
      <c r="F119" s="25"/>
      <c r="G119" s="25"/>
      <c r="H119" s="25"/>
      <c r="I119" s="25"/>
      <c r="J119" s="25"/>
      <c r="K119" s="25"/>
      <c r="L119" s="25"/>
      <c r="M119" s="25"/>
      <c r="N119" s="25"/>
      <c r="O119" s="25"/>
      <c r="P119" s="53">
        <v>-222</v>
      </c>
      <c r="Q119" s="25"/>
      <c r="R119" s="5"/>
    </row>
    <row r="120" spans="1:19" ht="15.6" x14ac:dyDescent="0.3">
      <c r="A120" s="24">
        <f t="shared" si="0"/>
        <v>12</v>
      </c>
      <c r="B120" s="25" t="s">
        <v>150</v>
      </c>
      <c r="C120" s="25"/>
      <c r="D120" s="25"/>
      <c r="E120" s="25"/>
      <c r="F120" s="25"/>
      <c r="G120" s="25"/>
      <c r="H120" s="25"/>
      <c r="I120" s="25"/>
      <c r="J120" s="25"/>
      <c r="K120" s="25"/>
      <c r="L120" s="25"/>
      <c r="M120" s="25"/>
      <c r="N120" s="25"/>
      <c r="O120" s="25"/>
      <c r="P120" s="53">
        <f>-P103-SUM(P105:P119)</f>
        <v>-385</v>
      </c>
      <c r="Q120" s="25"/>
      <c r="R120" s="5"/>
    </row>
    <row r="121" spans="1:19" ht="15.6" x14ac:dyDescent="0.3">
      <c r="A121" s="24"/>
      <c r="B121" s="118" t="s">
        <v>44</v>
      </c>
      <c r="C121" s="25"/>
      <c r="D121" s="25"/>
      <c r="E121" s="25"/>
      <c r="F121" s="25"/>
      <c r="G121" s="25"/>
      <c r="H121" s="25"/>
      <c r="I121" s="25"/>
      <c r="J121" s="25"/>
      <c r="K121" s="25"/>
      <c r="L121" s="25"/>
      <c r="M121" s="25"/>
      <c r="N121" s="25"/>
      <c r="O121" s="25"/>
      <c r="P121" s="59"/>
      <c r="Q121" s="25"/>
      <c r="R121" s="5"/>
    </row>
    <row r="122" spans="1:19" ht="15.6" x14ac:dyDescent="0.3">
      <c r="A122" s="24"/>
      <c r="B122" s="25" t="s">
        <v>45</v>
      </c>
      <c r="C122" s="25"/>
      <c r="D122" s="25"/>
      <c r="E122" s="25"/>
      <c r="F122" s="25"/>
      <c r="G122" s="25"/>
      <c r="H122" s="25"/>
      <c r="I122" s="25"/>
      <c r="J122" s="25"/>
      <c r="K122" s="25"/>
      <c r="L122" s="25"/>
      <c r="M122" s="25"/>
      <c r="N122" s="34">
        <v>0</v>
      </c>
      <c r="O122" s="34"/>
      <c r="P122" s="53"/>
      <c r="Q122" s="25"/>
      <c r="R122" s="5"/>
    </row>
    <row r="123" spans="1:19" ht="15.6" x14ac:dyDescent="0.3">
      <c r="A123" s="24"/>
      <c r="B123" s="25" t="s">
        <v>46</v>
      </c>
      <c r="C123" s="25"/>
      <c r="D123" s="25"/>
      <c r="E123" s="25"/>
      <c r="F123" s="25"/>
      <c r="G123" s="25"/>
      <c r="H123" s="25"/>
      <c r="I123" s="25"/>
      <c r="J123" s="25"/>
      <c r="K123" s="25"/>
      <c r="L123" s="25"/>
      <c r="M123" s="25"/>
      <c r="N123" s="34">
        <f>-M171</f>
        <v>-446</v>
      </c>
      <c r="O123" s="34"/>
      <c r="P123" s="53"/>
      <c r="Q123" s="25"/>
      <c r="R123" s="5"/>
    </row>
    <row r="124" spans="1:19" ht="15.6" x14ac:dyDescent="0.3">
      <c r="A124" s="24"/>
      <c r="B124" s="25" t="s">
        <v>199</v>
      </c>
      <c r="C124" s="25"/>
      <c r="D124" s="25"/>
      <c r="E124" s="25"/>
      <c r="F124" s="25"/>
      <c r="G124" s="25"/>
      <c r="H124" s="25"/>
      <c r="I124" s="25"/>
      <c r="J124" s="25"/>
      <c r="K124" s="25"/>
      <c r="L124" s="25"/>
      <c r="M124" s="25"/>
      <c r="N124" s="34">
        <v>-2213</v>
      </c>
      <c r="O124" s="34"/>
      <c r="P124" s="53"/>
      <c r="Q124" s="25"/>
      <c r="R124" s="5"/>
    </row>
    <row r="125" spans="1:19" ht="15.6" x14ac:dyDescent="0.3">
      <c r="A125" s="24"/>
      <c r="B125" s="25" t="s">
        <v>200</v>
      </c>
      <c r="C125" s="25"/>
      <c r="D125" s="25"/>
      <c r="E125" s="25"/>
      <c r="F125" s="25"/>
      <c r="G125" s="25"/>
      <c r="H125" s="25"/>
      <c r="I125" s="25"/>
      <c r="J125" s="25"/>
      <c r="K125" s="25"/>
      <c r="L125" s="25"/>
      <c r="M125" s="25"/>
      <c r="N125" s="34">
        <v>-1925</v>
      </c>
      <c r="O125" s="34"/>
      <c r="P125" s="53"/>
      <c r="Q125" s="25"/>
      <c r="R125" s="5"/>
    </row>
    <row r="126" spans="1:19" ht="15.6" x14ac:dyDescent="0.3">
      <c r="A126" s="24"/>
      <c r="B126" s="25" t="s">
        <v>201</v>
      </c>
      <c r="C126" s="25"/>
      <c r="D126" s="25"/>
      <c r="E126" s="25"/>
      <c r="F126" s="25"/>
      <c r="G126" s="25"/>
      <c r="H126" s="25"/>
      <c r="I126" s="25"/>
      <c r="J126" s="25"/>
      <c r="K126" s="25"/>
      <c r="L126" s="25"/>
      <c r="M126" s="25"/>
      <c r="N126" s="34">
        <v>-2952</v>
      </c>
      <c r="O126" s="34"/>
      <c r="P126" s="53"/>
      <c r="Q126" s="25"/>
      <c r="R126" s="5"/>
    </row>
    <row r="127" spans="1:19" ht="15.6" x14ac:dyDescent="0.3">
      <c r="A127" s="24"/>
      <c r="B127" s="25" t="s">
        <v>159</v>
      </c>
      <c r="C127" s="25"/>
      <c r="D127" s="25"/>
      <c r="E127" s="25"/>
      <c r="F127" s="25"/>
      <c r="G127" s="25"/>
      <c r="H127" s="25"/>
      <c r="I127" s="25"/>
      <c r="J127" s="25"/>
      <c r="K127" s="25"/>
      <c r="L127" s="25"/>
      <c r="M127" s="25"/>
      <c r="N127" s="34">
        <v>0</v>
      </c>
      <c r="O127" s="34"/>
      <c r="P127" s="53"/>
      <c r="Q127" s="25"/>
      <c r="R127" s="5"/>
    </row>
    <row r="128" spans="1:19" ht="15.6" x14ac:dyDescent="0.3">
      <c r="A128" s="24"/>
      <c r="B128" s="25" t="s">
        <v>214</v>
      </c>
      <c r="C128" s="25"/>
      <c r="D128" s="25"/>
      <c r="E128" s="25"/>
      <c r="F128" s="25"/>
      <c r="G128" s="25"/>
      <c r="H128" s="25"/>
      <c r="I128" s="25"/>
      <c r="J128" s="25"/>
      <c r="K128" s="25"/>
      <c r="L128" s="25"/>
      <c r="M128" s="25"/>
      <c r="N128" s="34">
        <v>0</v>
      </c>
      <c r="O128" s="34"/>
      <c r="P128" s="53"/>
      <c r="Q128" s="25"/>
      <c r="R128" s="5"/>
    </row>
    <row r="129" spans="1:19" ht="15.6" x14ac:dyDescent="0.3">
      <c r="A129" s="24"/>
      <c r="B129" s="25" t="s">
        <v>47</v>
      </c>
      <c r="C129" s="25"/>
      <c r="D129" s="25"/>
      <c r="E129" s="25"/>
      <c r="F129" s="25"/>
      <c r="G129" s="25"/>
      <c r="H129" s="25"/>
      <c r="I129" s="25"/>
      <c r="J129" s="25"/>
      <c r="K129" s="25"/>
      <c r="L129" s="25"/>
      <c r="M129" s="25"/>
      <c r="N129" s="34">
        <f>SUM(N122:N128)</f>
        <v>-7536</v>
      </c>
      <c r="O129" s="34"/>
      <c r="P129" s="34">
        <f>SUM(P104:P128)</f>
        <v>-6458</v>
      </c>
      <c r="Q129" s="25"/>
      <c r="R129" s="5"/>
    </row>
    <row r="130" spans="1:19" ht="15.6" x14ac:dyDescent="0.3">
      <c r="A130" s="24"/>
      <c r="B130" s="25" t="s">
        <v>48</v>
      </c>
      <c r="C130" s="25"/>
      <c r="D130" s="25"/>
      <c r="E130" s="25"/>
      <c r="F130" s="25"/>
      <c r="G130" s="25"/>
      <c r="H130" s="25"/>
      <c r="I130" s="25"/>
      <c r="J130" s="25"/>
      <c r="K130" s="25"/>
      <c r="L130" s="25"/>
      <c r="M130" s="25"/>
      <c r="N130" s="34">
        <f>N103+N129+N115</f>
        <v>88</v>
      </c>
      <c r="O130" s="34"/>
      <c r="P130" s="34">
        <f>P103+P129</f>
        <v>0</v>
      </c>
      <c r="Q130" s="25"/>
      <c r="R130" s="5"/>
    </row>
    <row r="131" spans="1:19" ht="15.6" x14ac:dyDescent="0.3">
      <c r="A131" s="24"/>
      <c r="B131" s="25"/>
      <c r="C131" s="25"/>
      <c r="D131" s="25"/>
      <c r="E131" s="25"/>
      <c r="F131" s="25"/>
      <c r="G131" s="25"/>
      <c r="H131" s="25"/>
      <c r="I131" s="25"/>
      <c r="J131" s="25"/>
      <c r="K131" s="25"/>
      <c r="L131" s="25"/>
      <c r="M131" s="25"/>
      <c r="N131" s="34"/>
      <c r="O131" s="34"/>
      <c r="P131" s="34"/>
      <c r="Q131" s="25"/>
      <c r="R131" s="5"/>
    </row>
    <row r="132" spans="1:19" ht="15.6" x14ac:dyDescent="0.3">
      <c r="A132" s="6"/>
      <c r="B132" s="146"/>
      <c r="C132" s="146"/>
      <c r="D132" s="146"/>
      <c r="E132" s="146"/>
      <c r="F132" s="146"/>
      <c r="G132" s="146"/>
      <c r="H132" s="146"/>
      <c r="I132" s="146"/>
      <c r="J132" s="146"/>
      <c r="K132" s="146"/>
      <c r="L132" s="146"/>
      <c r="M132" s="146"/>
      <c r="N132" s="147"/>
      <c r="O132" s="147"/>
      <c r="P132" s="147"/>
      <c r="Q132" s="146"/>
      <c r="R132" s="5"/>
    </row>
    <row r="133" spans="1:19" ht="18" thickBot="1" x14ac:dyDescent="0.35">
      <c r="A133" s="101"/>
      <c r="B133" s="102" t="str">
        <f>B65</f>
        <v>PM7 INVESTOR REPORT QUARTER ENDING JANUARY 2009</v>
      </c>
      <c r="C133" s="103"/>
      <c r="D133" s="103"/>
      <c r="E133" s="103"/>
      <c r="F133" s="103"/>
      <c r="G133" s="103"/>
      <c r="H133" s="103"/>
      <c r="I133" s="103"/>
      <c r="J133" s="103"/>
      <c r="K133" s="103"/>
      <c r="L133" s="103"/>
      <c r="M133" s="103"/>
      <c r="N133" s="103"/>
      <c r="O133" s="103"/>
      <c r="P133" s="106"/>
      <c r="Q133" s="105"/>
      <c r="R133" s="5"/>
    </row>
    <row r="134" spans="1:19" ht="15.6" x14ac:dyDescent="0.3">
      <c r="A134" s="2"/>
      <c r="B134" s="60" t="s">
        <v>49</v>
      </c>
      <c r="C134" s="4"/>
      <c r="D134" s="4"/>
      <c r="E134" s="4"/>
      <c r="F134" s="4"/>
      <c r="G134" s="4"/>
      <c r="H134" s="4"/>
      <c r="I134" s="4"/>
      <c r="J134" s="4"/>
      <c r="K134" s="4"/>
      <c r="L134" s="4"/>
      <c r="M134" s="4"/>
      <c r="N134" s="4"/>
      <c r="O134" s="4"/>
      <c r="P134" s="50"/>
      <c r="Q134" s="4"/>
      <c r="R134" s="5"/>
    </row>
    <row r="135" spans="1:19" ht="15.6" x14ac:dyDescent="0.3">
      <c r="A135" s="6"/>
      <c r="B135" s="21"/>
      <c r="C135" s="8"/>
      <c r="D135" s="8"/>
      <c r="E135" s="8"/>
      <c r="F135" s="8"/>
      <c r="G135" s="8"/>
      <c r="H135" s="8"/>
      <c r="I135" s="8"/>
      <c r="J135" s="8"/>
      <c r="K135" s="8"/>
      <c r="L135" s="8"/>
      <c r="M135" s="8"/>
      <c r="N135" s="8"/>
      <c r="O135" s="8"/>
      <c r="P135" s="52"/>
      <c r="Q135" s="8"/>
      <c r="R135" s="5"/>
    </row>
    <row r="136" spans="1:19" ht="15.6" x14ac:dyDescent="0.3">
      <c r="A136" s="6"/>
      <c r="B136" s="119" t="s">
        <v>50</v>
      </c>
      <c r="C136" s="8"/>
      <c r="D136" s="8"/>
      <c r="E136" s="8"/>
      <c r="F136" s="8"/>
      <c r="G136" s="8"/>
      <c r="H136" s="8"/>
      <c r="I136" s="8"/>
      <c r="J136" s="8"/>
      <c r="K136" s="8"/>
      <c r="L136" s="8"/>
      <c r="M136" s="8"/>
      <c r="N136" s="8"/>
      <c r="O136" s="8"/>
      <c r="P136" s="52"/>
      <c r="Q136" s="8"/>
      <c r="R136" s="5"/>
    </row>
    <row r="137" spans="1:19" ht="15.6" x14ac:dyDescent="0.3">
      <c r="A137" s="24"/>
      <c r="B137" s="25" t="s">
        <v>51</v>
      </c>
      <c r="C137" s="25"/>
      <c r="D137" s="25"/>
      <c r="E137" s="25"/>
      <c r="F137" s="25"/>
      <c r="G137" s="25"/>
      <c r="H137" s="25"/>
      <c r="I137" s="25"/>
      <c r="J137" s="25"/>
      <c r="K137" s="25"/>
      <c r="L137" s="25"/>
      <c r="M137" s="25"/>
      <c r="N137" s="25"/>
      <c r="O137" s="25"/>
      <c r="P137" s="53">
        <f>+P36*0.022</f>
        <v>19815.399999999998</v>
      </c>
      <c r="Q137" s="25"/>
      <c r="R137" s="5"/>
    </row>
    <row r="138" spans="1:19" ht="15.6" x14ac:dyDescent="0.3">
      <c r="A138" s="24"/>
      <c r="B138" s="25" t="s">
        <v>52</v>
      </c>
      <c r="C138" s="25"/>
      <c r="D138" s="25"/>
      <c r="E138" s="25"/>
      <c r="F138" s="25"/>
      <c r="G138" s="25"/>
      <c r="H138" s="25"/>
      <c r="I138" s="25"/>
      <c r="J138" s="25"/>
      <c r="K138" s="25"/>
      <c r="L138" s="25"/>
      <c r="M138" s="25"/>
      <c r="N138" s="25"/>
      <c r="O138" s="25"/>
      <c r="P138" s="53">
        <v>19815</v>
      </c>
      <c r="Q138" s="25"/>
      <c r="R138" s="5"/>
    </row>
    <row r="139" spans="1:19" ht="15.6" x14ac:dyDescent="0.3">
      <c r="A139" s="24"/>
      <c r="B139" s="25" t="s">
        <v>161</v>
      </c>
      <c r="C139" s="25"/>
      <c r="D139" s="25"/>
      <c r="E139" s="25"/>
      <c r="F139" s="25"/>
      <c r="G139" s="25"/>
      <c r="H139" s="25"/>
      <c r="I139" s="25"/>
      <c r="J139" s="25"/>
      <c r="K139" s="25"/>
      <c r="L139" s="25"/>
      <c r="M139" s="25"/>
      <c r="N139" s="25"/>
      <c r="O139" s="25"/>
      <c r="P139" s="53">
        <v>0</v>
      </c>
      <c r="Q139" s="25"/>
      <c r="R139" s="5"/>
    </row>
    <row r="140" spans="1:19" ht="15.6" x14ac:dyDescent="0.3">
      <c r="A140" s="24"/>
      <c r="B140" s="25" t="s">
        <v>144</v>
      </c>
      <c r="C140" s="25"/>
      <c r="D140" s="25"/>
      <c r="E140" s="25"/>
      <c r="F140" s="25"/>
      <c r="G140" s="25"/>
      <c r="H140" s="25"/>
      <c r="I140" s="25"/>
      <c r="J140" s="25"/>
      <c r="K140" s="25"/>
      <c r="L140" s="25"/>
      <c r="M140" s="25"/>
      <c r="N140" s="25"/>
      <c r="O140" s="25"/>
      <c r="P140" s="53">
        <v>0</v>
      </c>
      <c r="Q140" s="25"/>
      <c r="R140" s="5"/>
    </row>
    <row r="141" spans="1:19" ht="15.6" x14ac:dyDescent="0.3">
      <c r="A141" s="24"/>
      <c r="B141" s="25" t="s">
        <v>145</v>
      </c>
      <c r="C141" s="25"/>
      <c r="D141" s="25"/>
      <c r="E141" s="25"/>
      <c r="F141" s="25"/>
      <c r="G141" s="25"/>
      <c r="H141" s="25"/>
      <c r="I141" s="25"/>
      <c r="J141" s="25"/>
      <c r="K141" s="25"/>
      <c r="L141" s="25"/>
      <c r="M141" s="25"/>
      <c r="N141" s="25"/>
      <c r="O141" s="25"/>
      <c r="P141" s="53">
        <v>0</v>
      </c>
      <c r="Q141" s="25"/>
      <c r="R141" s="5"/>
    </row>
    <row r="142" spans="1:19" ht="15.6" x14ac:dyDescent="0.3">
      <c r="A142" s="24"/>
      <c r="B142" s="25" t="s">
        <v>53</v>
      </c>
      <c r="C142" s="25"/>
      <c r="D142" s="25"/>
      <c r="E142" s="25"/>
      <c r="F142" s="25"/>
      <c r="G142" s="25"/>
      <c r="H142" s="25"/>
      <c r="I142" s="25"/>
      <c r="J142" s="25"/>
      <c r="K142" s="25"/>
      <c r="L142" s="25"/>
      <c r="M142" s="25"/>
      <c r="N142" s="25"/>
      <c r="O142" s="25"/>
      <c r="P142" s="53">
        <v>0</v>
      </c>
      <c r="Q142" s="25"/>
      <c r="R142" s="5"/>
    </row>
    <row r="143" spans="1:19" ht="15.6" x14ac:dyDescent="0.3">
      <c r="A143" s="24"/>
      <c r="B143" s="25" t="s">
        <v>153</v>
      </c>
      <c r="C143" s="25"/>
      <c r="D143" s="25"/>
      <c r="E143" s="25"/>
      <c r="F143" s="25"/>
      <c r="G143" s="25"/>
      <c r="H143" s="25"/>
      <c r="I143" s="25"/>
      <c r="J143" s="25"/>
      <c r="K143" s="25"/>
      <c r="L143" s="25"/>
      <c r="M143" s="25"/>
      <c r="N143" s="25"/>
      <c r="O143" s="25"/>
      <c r="P143" s="53">
        <v>0</v>
      </c>
      <c r="Q143" s="25"/>
      <c r="R143" s="5"/>
    </row>
    <row r="144" spans="1:19" ht="15.6" x14ac:dyDescent="0.3">
      <c r="A144" s="24"/>
      <c r="B144" s="25" t="s">
        <v>202</v>
      </c>
      <c r="C144" s="25"/>
      <c r="D144" s="25"/>
      <c r="E144" s="25"/>
      <c r="F144" s="25"/>
      <c r="G144" s="25"/>
      <c r="H144" s="25"/>
      <c r="I144" s="25"/>
      <c r="J144" s="25"/>
      <c r="K144" s="25"/>
      <c r="L144" s="25"/>
      <c r="M144" s="25"/>
      <c r="N144" s="25"/>
      <c r="O144" s="25"/>
      <c r="P144" s="53">
        <v>0</v>
      </c>
      <c r="Q144" s="25"/>
      <c r="R144" s="5"/>
      <c r="S144" s="109"/>
    </row>
    <row r="145" spans="1:18" ht="15.6" x14ac:dyDescent="0.3">
      <c r="A145" s="24"/>
      <c r="B145" s="25" t="s">
        <v>54</v>
      </c>
      <c r="C145" s="25"/>
      <c r="D145" s="25"/>
      <c r="E145" s="25"/>
      <c r="F145" s="25"/>
      <c r="G145" s="25"/>
      <c r="H145" s="25"/>
      <c r="I145" s="25"/>
      <c r="J145" s="25"/>
      <c r="K145" s="25"/>
      <c r="L145" s="25"/>
      <c r="M145" s="25"/>
      <c r="N145" s="25"/>
      <c r="O145" s="25"/>
      <c r="P145" s="53">
        <f>SUM(P138:P144)</f>
        <v>19815</v>
      </c>
      <c r="Q145" s="25"/>
      <c r="R145" s="5"/>
    </row>
    <row r="146" spans="1:18" ht="15.6" x14ac:dyDescent="0.3">
      <c r="A146" s="24"/>
      <c r="B146" s="25"/>
      <c r="C146" s="25"/>
      <c r="D146" s="25"/>
      <c r="E146" s="25"/>
      <c r="F146" s="25"/>
      <c r="G146" s="25"/>
      <c r="H146" s="25"/>
      <c r="I146" s="25"/>
      <c r="J146" s="25"/>
      <c r="K146" s="25"/>
      <c r="L146" s="25"/>
      <c r="M146" s="25"/>
      <c r="N146" s="25"/>
      <c r="O146" s="25"/>
      <c r="P146" s="61"/>
      <c r="Q146" s="25"/>
      <c r="R146" s="5"/>
    </row>
    <row r="147" spans="1:18" ht="15.6" x14ac:dyDescent="0.3">
      <c r="A147" s="6"/>
      <c r="B147" s="119" t="s">
        <v>28</v>
      </c>
      <c r="C147" s="8"/>
      <c r="D147" s="8"/>
      <c r="E147" s="8"/>
      <c r="F147" s="8"/>
      <c r="G147" s="8"/>
      <c r="H147" s="8"/>
      <c r="I147" s="8"/>
      <c r="J147" s="8"/>
      <c r="K147" s="8"/>
      <c r="L147" s="8"/>
      <c r="M147" s="8"/>
      <c r="N147" s="8"/>
      <c r="O147" s="8"/>
      <c r="P147" s="52"/>
      <c r="Q147" s="8"/>
      <c r="R147" s="5"/>
    </row>
    <row r="148" spans="1:18" ht="15.6" x14ac:dyDescent="0.3">
      <c r="A148" s="24"/>
      <c r="B148" s="25" t="s">
        <v>55</v>
      </c>
      <c r="C148" s="25"/>
      <c r="D148" s="25"/>
      <c r="E148" s="25"/>
      <c r="F148" s="25"/>
      <c r="G148" s="25"/>
      <c r="H148" s="25"/>
      <c r="I148" s="25"/>
      <c r="J148" s="25"/>
      <c r="K148" s="25"/>
      <c r="L148" s="25"/>
      <c r="M148" s="25"/>
      <c r="N148" s="25"/>
      <c r="O148" s="25"/>
      <c r="P148" s="59" t="s">
        <v>137</v>
      </c>
      <c r="Q148" s="25"/>
      <c r="R148" s="5"/>
    </row>
    <row r="149" spans="1:18" ht="15.6" x14ac:dyDescent="0.3">
      <c r="A149" s="24"/>
      <c r="B149" s="25" t="s">
        <v>56</v>
      </c>
      <c r="C149" s="141"/>
      <c r="D149" s="141"/>
      <c r="E149" s="141"/>
      <c r="F149" s="141"/>
      <c r="G149" s="141"/>
      <c r="H149" s="141"/>
      <c r="I149" s="141"/>
      <c r="J149" s="141"/>
      <c r="K149" s="141"/>
      <c r="L149" s="141"/>
      <c r="M149" s="141"/>
      <c r="N149" s="141"/>
      <c r="O149" s="141"/>
      <c r="P149" s="59" t="s">
        <v>137</v>
      </c>
      <c r="Q149" s="25"/>
      <c r="R149" s="5"/>
    </row>
    <row r="150" spans="1:18" ht="15.6" x14ac:dyDescent="0.3">
      <c r="A150" s="24"/>
      <c r="B150" s="25" t="s">
        <v>57</v>
      </c>
      <c r="C150" s="25"/>
      <c r="D150" s="25"/>
      <c r="E150" s="25"/>
      <c r="F150" s="25"/>
      <c r="G150" s="25"/>
      <c r="H150" s="25"/>
      <c r="I150" s="25"/>
      <c r="J150" s="25"/>
      <c r="K150" s="25"/>
      <c r="L150" s="25"/>
      <c r="M150" s="25"/>
      <c r="N150" s="25"/>
      <c r="O150" s="25"/>
      <c r="P150" s="59" t="s">
        <v>137</v>
      </c>
      <c r="Q150" s="25"/>
      <c r="R150" s="5"/>
    </row>
    <row r="151" spans="1:18" ht="15.6" x14ac:dyDescent="0.3">
      <c r="A151" s="24"/>
      <c r="B151" s="25" t="s">
        <v>58</v>
      </c>
      <c r="C151" s="25"/>
      <c r="D151" s="25"/>
      <c r="E151" s="25"/>
      <c r="F151" s="25"/>
      <c r="G151" s="25"/>
      <c r="H151" s="25"/>
      <c r="I151" s="25"/>
      <c r="J151" s="25"/>
      <c r="K151" s="25"/>
      <c r="L151" s="25"/>
      <c r="M151" s="25"/>
      <c r="N151" s="25"/>
      <c r="O151" s="25"/>
      <c r="P151" s="59" t="s">
        <v>137</v>
      </c>
      <c r="Q151" s="25"/>
      <c r="R151" s="5"/>
    </row>
    <row r="152" spans="1:18" ht="15.6" x14ac:dyDescent="0.3">
      <c r="A152" s="24"/>
      <c r="B152" s="25"/>
      <c r="C152" s="25"/>
      <c r="D152" s="25"/>
      <c r="E152" s="25"/>
      <c r="F152" s="25"/>
      <c r="G152" s="25"/>
      <c r="H152" s="25"/>
      <c r="I152" s="25"/>
      <c r="J152" s="25"/>
      <c r="K152" s="25"/>
      <c r="L152" s="25"/>
      <c r="M152" s="25"/>
      <c r="N152" s="25"/>
      <c r="O152" s="25"/>
      <c r="P152" s="61"/>
      <c r="Q152" s="25"/>
      <c r="R152" s="5"/>
    </row>
    <row r="153" spans="1:18" ht="15.6" x14ac:dyDescent="0.3">
      <c r="A153" s="6"/>
      <c r="B153" s="119" t="s">
        <v>59</v>
      </c>
      <c r="C153" s="8"/>
      <c r="D153" s="8"/>
      <c r="E153" s="8"/>
      <c r="F153" s="8"/>
      <c r="G153" s="8"/>
      <c r="H153" s="8"/>
      <c r="I153" s="8"/>
      <c r="J153" s="8"/>
      <c r="K153" s="8"/>
      <c r="L153" s="8"/>
      <c r="M153" s="8"/>
      <c r="N153" s="8"/>
      <c r="O153" s="8"/>
      <c r="P153" s="63"/>
      <c r="Q153" s="8"/>
      <c r="R153" s="5"/>
    </row>
    <row r="154" spans="1:18" ht="15.6" x14ac:dyDescent="0.3">
      <c r="A154" s="24"/>
      <c r="B154" s="25" t="s">
        <v>60</v>
      </c>
      <c r="C154" s="25"/>
      <c r="D154" s="25"/>
      <c r="E154" s="25"/>
      <c r="F154" s="25"/>
      <c r="G154" s="25"/>
      <c r="H154" s="25"/>
      <c r="I154" s="25"/>
      <c r="J154" s="25"/>
      <c r="K154" s="25"/>
      <c r="L154" s="25"/>
      <c r="M154" s="25"/>
      <c r="N154" s="25"/>
      <c r="O154" s="25"/>
      <c r="P154" s="53">
        <v>0</v>
      </c>
      <c r="Q154" s="25"/>
      <c r="R154" s="5"/>
    </row>
    <row r="155" spans="1:18" ht="15.6" x14ac:dyDescent="0.3">
      <c r="A155" s="24"/>
      <c r="B155" s="25" t="s">
        <v>61</v>
      </c>
      <c r="C155" s="25"/>
      <c r="D155" s="25"/>
      <c r="E155" s="25"/>
      <c r="F155" s="25"/>
      <c r="G155" s="25"/>
      <c r="H155" s="25"/>
      <c r="I155" s="25"/>
      <c r="J155" s="25"/>
      <c r="K155" s="25"/>
      <c r="L155" s="25"/>
      <c r="M155" s="25"/>
      <c r="N155" s="25"/>
      <c r="O155" s="25"/>
      <c r="P155" s="53">
        <f>-P115</f>
        <v>142</v>
      </c>
      <c r="Q155" s="25"/>
      <c r="R155" s="5"/>
    </row>
    <row r="156" spans="1:18" ht="15.6" x14ac:dyDescent="0.3">
      <c r="A156" s="24"/>
      <c r="B156" s="25" t="s">
        <v>62</v>
      </c>
      <c r="C156" s="25"/>
      <c r="D156" s="25"/>
      <c r="E156" s="25"/>
      <c r="F156" s="25"/>
      <c r="G156" s="25"/>
      <c r="H156" s="25"/>
      <c r="I156" s="25"/>
      <c r="J156" s="25"/>
      <c r="K156" s="25"/>
      <c r="L156" s="25"/>
      <c r="M156" s="25"/>
      <c r="N156" s="25"/>
      <c r="O156" s="25"/>
      <c r="P156" s="53">
        <f>P155+P154</f>
        <v>142</v>
      </c>
      <c r="Q156" s="25"/>
      <c r="R156" s="5"/>
    </row>
    <row r="157" spans="1:18" ht="15.6" x14ac:dyDescent="0.3">
      <c r="A157" s="24"/>
      <c r="B157" s="403" t="s">
        <v>297</v>
      </c>
      <c r="C157" s="25"/>
      <c r="D157" s="25"/>
      <c r="E157" s="25"/>
      <c r="F157" s="25"/>
      <c r="G157" s="25"/>
      <c r="H157" s="25"/>
      <c r="I157" s="25"/>
      <c r="J157" s="25"/>
      <c r="K157" s="25"/>
      <c r="L157" s="25"/>
      <c r="M157" s="25"/>
      <c r="N157" s="25"/>
      <c r="O157" s="25"/>
      <c r="P157" s="53">
        <f>P115</f>
        <v>-142</v>
      </c>
      <c r="Q157" s="25"/>
      <c r="R157" s="5"/>
    </row>
    <row r="158" spans="1:18" ht="15.6" x14ac:dyDescent="0.3">
      <c r="A158" s="24"/>
      <c r="B158" s="25" t="s">
        <v>63</v>
      </c>
      <c r="C158" s="25"/>
      <c r="D158" s="25"/>
      <c r="E158" s="25"/>
      <c r="F158" s="25"/>
      <c r="G158" s="25"/>
      <c r="H158" s="25"/>
      <c r="I158" s="25"/>
      <c r="J158" s="25"/>
      <c r="K158" s="25"/>
      <c r="L158" s="25"/>
      <c r="M158" s="25"/>
      <c r="N158" s="25"/>
      <c r="O158" s="25"/>
      <c r="P158" s="53">
        <f>P156+P157</f>
        <v>0</v>
      </c>
      <c r="Q158" s="25"/>
      <c r="R158" s="5"/>
    </row>
    <row r="159" spans="1:18" ht="16.2" thickBot="1" x14ac:dyDescent="0.35">
      <c r="A159" s="24"/>
      <c r="B159" s="25"/>
      <c r="C159" s="25"/>
      <c r="D159" s="25"/>
      <c r="E159" s="25"/>
      <c r="F159" s="25"/>
      <c r="G159" s="25"/>
      <c r="H159" s="25"/>
      <c r="I159" s="25"/>
      <c r="J159" s="25"/>
      <c r="K159" s="25"/>
      <c r="L159" s="25"/>
      <c r="M159" s="25"/>
      <c r="N159" s="25"/>
      <c r="O159" s="25"/>
      <c r="P159" s="61"/>
      <c r="Q159" s="25"/>
      <c r="R159" s="5"/>
    </row>
    <row r="160" spans="1:18" ht="15.6" x14ac:dyDescent="0.3">
      <c r="A160" s="2"/>
      <c r="B160" s="4"/>
      <c r="C160" s="4"/>
      <c r="D160" s="4"/>
      <c r="E160" s="4"/>
      <c r="F160" s="4"/>
      <c r="G160" s="4"/>
      <c r="H160" s="4"/>
      <c r="I160" s="4"/>
      <c r="J160" s="4"/>
      <c r="K160" s="4"/>
      <c r="L160" s="4"/>
      <c r="M160" s="4"/>
      <c r="N160" s="4"/>
      <c r="O160" s="4"/>
      <c r="P160" s="50"/>
      <c r="Q160" s="4"/>
      <c r="R160" s="5"/>
    </row>
    <row r="161" spans="1:19" ht="15.6" x14ac:dyDescent="0.3">
      <c r="A161" s="6"/>
      <c r="B161" s="119" t="s">
        <v>64</v>
      </c>
      <c r="C161" s="8"/>
      <c r="D161" s="8"/>
      <c r="E161" s="8"/>
      <c r="F161" s="8"/>
      <c r="G161" s="8"/>
      <c r="H161" s="8"/>
      <c r="I161" s="8"/>
      <c r="J161" s="8"/>
      <c r="K161" s="8"/>
      <c r="L161" s="8"/>
      <c r="M161" s="8"/>
      <c r="N161" s="8"/>
      <c r="O161" s="8"/>
      <c r="P161" s="52"/>
      <c r="Q161" s="8"/>
      <c r="R161" s="5"/>
    </row>
    <row r="162" spans="1:19" ht="15.6" x14ac:dyDescent="0.3">
      <c r="A162" s="6"/>
      <c r="B162" s="21"/>
      <c r="C162" s="8"/>
      <c r="D162" s="8"/>
      <c r="E162" s="8"/>
      <c r="F162" s="8"/>
      <c r="G162" s="8"/>
      <c r="H162" s="8"/>
      <c r="I162" s="8"/>
      <c r="J162" s="8"/>
      <c r="K162" s="8"/>
      <c r="L162" s="8"/>
      <c r="M162" s="8"/>
      <c r="N162" s="8"/>
      <c r="O162" s="8"/>
      <c r="P162" s="52"/>
      <c r="Q162" s="8"/>
      <c r="R162" s="5"/>
    </row>
    <row r="163" spans="1:19" ht="15.6" x14ac:dyDescent="0.3">
      <c r="A163" s="24"/>
      <c r="B163" s="25" t="s">
        <v>221</v>
      </c>
      <c r="C163" s="25"/>
      <c r="D163" s="25"/>
      <c r="E163" s="25"/>
      <c r="F163" s="25"/>
      <c r="G163" s="25"/>
      <c r="H163" s="25"/>
      <c r="I163" s="25"/>
      <c r="J163" s="25"/>
      <c r="K163" s="25"/>
      <c r="L163" s="25"/>
      <c r="M163" s="25"/>
      <c r="N163" s="25"/>
      <c r="O163" s="25"/>
      <c r="P163" s="53">
        <f>P73</f>
        <v>428260</v>
      </c>
      <c r="Q163" s="25"/>
      <c r="R163" s="5"/>
    </row>
    <row r="164" spans="1:19" ht="15.6" x14ac:dyDescent="0.3">
      <c r="A164" s="24"/>
      <c r="B164" s="25" t="s">
        <v>273</v>
      </c>
      <c r="C164" s="25"/>
      <c r="D164" s="25"/>
      <c r="E164" s="25"/>
      <c r="F164" s="25"/>
      <c r="G164" s="25"/>
      <c r="H164" s="25"/>
      <c r="I164" s="25"/>
      <c r="J164" s="25"/>
      <c r="K164" s="25"/>
      <c r="L164" s="25"/>
      <c r="M164" s="25"/>
      <c r="N164" s="25"/>
      <c r="O164" s="25"/>
      <c r="P164" s="53">
        <f>+P86</f>
        <v>88</v>
      </c>
      <c r="Q164" s="25"/>
      <c r="R164" s="5"/>
    </row>
    <row r="165" spans="1:19" ht="15.6" x14ac:dyDescent="0.3">
      <c r="A165" s="24"/>
      <c r="B165" s="25" t="s">
        <v>65</v>
      </c>
      <c r="C165" s="25"/>
      <c r="D165" s="25"/>
      <c r="E165" s="25"/>
      <c r="F165" s="25"/>
      <c r="G165" s="25"/>
      <c r="H165" s="25"/>
      <c r="I165" s="25"/>
      <c r="J165" s="25"/>
      <c r="K165" s="25"/>
      <c r="L165" s="25"/>
      <c r="M165" s="25"/>
      <c r="N165" s="25"/>
      <c r="O165" s="25"/>
      <c r="P165" s="53">
        <f>P38</f>
        <v>428347.98944574525</v>
      </c>
      <c r="Q165" s="25"/>
      <c r="R165" s="5"/>
      <c r="S165" s="109"/>
    </row>
    <row r="166" spans="1:19" ht="16.2" thickBot="1" x14ac:dyDescent="0.35">
      <c r="A166" s="24"/>
      <c r="B166" s="25"/>
      <c r="C166" s="25"/>
      <c r="D166" s="25"/>
      <c r="E166" s="25"/>
      <c r="F166" s="25"/>
      <c r="G166" s="25"/>
      <c r="H166" s="25"/>
      <c r="I166" s="25"/>
      <c r="J166" s="25"/>
      <c r="K166" s="25"/>
      <c r="L166" s="25"/>
      <c r="M166" s="25"/>
      <c r="N166" s="25"/>
      <c r="O166" s="25"/>
      <c r="P166" s="61"/>
      <c r="Q166" s="25"/>
      <c r="R166" s="5"/>
    </row>
    <row r="167" spans="1:19" ht="15.6" x14ac:dyDescent="0.3">
      <c r="A167" s="2"/>
      <c r="B167" s="4"/>
      <c r="C167" s="4"/>
      <c r="D167" s="4"/>
      <c r="E167" s="4"/>
      <c r="F167" s="4"/>
      <c r="G167" s="4"/>
      <c r="H167" s="4"/>
      <c r="I167" s="4"/>
      <c r="J167" s="4"/>
      <c r="K167" s="4"/>
      <c r="L167" s="4"/>
      <c r="M167" s="4"/>
      <c r="N167" s="4"/>
      <c r="O167" s="4"/>
      <c r="P167" s="50"/>
      <c r="Q167" s="4"/>
      <c r="R167" s="5"/>
    </row>
    <row r="168" spans="1:19" ht="15.6" x14ac:dyDescent="0.3">
      <c r="A168" s="6"/>
      <c r="B168" s="119" t="s">
        <v>66</v>
      </c>
      <c r="C168" s="117"/>
      <c r="D168" s="117"/>
      <c r="E168" s="117"/>
      <c r="F168" s="120"/>
      <c r="G168" s="120"/>
      <c r="H168" s="120"/>
      <c r="I168" s="120"/>
      <c r="J168" s="120"/>
      <c r="K168" s="120"/>
      <c r="L168" s="120"/>
      <c r="M168" s="120" t="s">
        <v>112</v>
      </c>
      <c r="N168" s="120" t="s">
        <v>120</v>
      </c>
      <c r="O168" s="111"/>
      <c r="P168" s="121" t="s">
        <v>129</v>
      </c>
      <c r="Q168" s="10"/>
      <c r="R168" s="5"/>
    </row>
    <row r="169" spans="1:19" ht="15.6" x14ac:dyDescent="0.3">
      <c r="A169" s="24"/>
      <c r="B169" s="25" t="s">
        <v>67</v>
      </c>
      <c r="C169" s="25"/>
      <c r="D169" s="25"/>
      <c r="E169" s="25"/>
      <c r="F169" s="25"/>
      <c r="G169" s="25"/>
      <c r="H169" s="25"/>
      <c r="I169" s="25"/>
      <c r="J169" s="25"/>
      <c r="K169" s="25"/>
      <c r="L169" s="25"/>
      <c r="M169" s="53">
        <v>144000</v>
      </c>
      <c r="N169" s="40">
        <v>0</v>
      </c>
      <c r="O169" s="25"/>
      <c r="P169" s="53"/>
      <c r="Q169" s="25"/>
      <c r="R169" s="5"/>
    </row>
    <row r="170" spans="1:19" ht="15.6" x14ac:dyDescent="0.3">
      <c r="A170" s="24"/>
      <c r="B170" s="25" t="s">
        <v>68</v>
      </c>
      <c r="C170" s="25"/>
      <c r="D170" s="25"/>
      <c r="E170" s="25"/>
      <c r="F170" s="25"/>
      <c r="G170" s="25"/>
      <c r="H170" s="25"/>
      <c r="I170" s="25"/>
      <c r="J170" s="25"/>
      <c r="K170" s="25"/>
      <c r="L170" s="25"/>
      <c r="M170" s="53">
        <f>+'Oct 08'!M170</f>
        <v>82473</v>
      </c>
      <c r="N170" s="53">
        <f>+'Oct 08'!N170</f>
        <v>10093</v>
      </c>
      <c r="O170" s="25"/>
      <c r="P170" s="53">
        <f>M170+N170</f>
        <v>92566</v>
      </c>
      <c r="Q170" s="25"/>
      <c r="R170" s="5"/>
    </row>
    <row r="171" spans="1:19" ht="15.6" x14ac:dyDescent="0.3">
      <c r="A171" s="24"/>
      <c r="B171" s="25" t="s">
        <v>69</v>
      </c>
      <c r="C171" s="25"/>
      <c r="D171" s="25"/>
      <c r="E171" s="25"/>
      <c r="F171" s="25"/>
      <c r="G171" s="25"/>
      <c r="H171" s="25"/>
      <c r="I171" s="25"/>
      <c r="J171" s="25"/>
      <c r="K171" s="25"/>
      <c r="L171" s="25"/>
      <c r="M171" s="34">
        <f>438+8</f>
        <v>446</v>
      </c>
      <c r="N171" s="34">
        <f>-N100-N122</f>
        <v>4</v>
      </c>
      <c r="O171" s="25"/>
      <c r="P171" s="53">
        <f>M171+N171</f>
        <v>450</v>
      </c>
      <c r="Q171" s="25"/>
      <c r="R171" s="5"/>
    </row>
    <row r="172" spans="1:19" ht="15.6" x14ac:dyDescent="0.3">
      <c r="A172" s="24"/>
      <c r="B172" s="25" t="s">
        <v>70</v>
      </c>
      <c r="C172" s="25"/>
      <c r="D172" s="25"/>
      <c r="E172" s="25"/>
      <c r="F172" s="25"/>
      <c r="G172" s="25"/>
      <c r="H172" s="25"/>
      <c r="I172" s="25"/>
      <c r="J172" s="25"/>
      <c r="K172" s="25"/>
      <c r="L172" s="25"/>
      <c r="M172" s="53">
        <f>M170+M171</f>
        <v>82919</v>
      </c>
      <c r="N172" s="53">
        <f>N171+N170</f>
        <v>10097</v>
      </c>
      <c r="O172" s="25"/>
      <c r="P172" s="53">
        <f>M172+N172</f>
        <v>93016</v>
      </c>
      <c r="Q172" s="25"/>
      <c r="R172" s="5"/>
    </row>
    <row r="173" spans="1:19" ht="15.6" x14ac:dyDescent="0.3">
      <c r="A173" s="24"/>
      <c r="B173" s="25" t="s">
        <v>71</v>
      </c>
      <c r="C173" s="25"/>
      <c r="D173" s="25"/>
      <c r="E173" s="25"/>
      <c r="F173" s="25"/>
      <c r="G173" s="25"/>
      <c r="H173" s="25"/>
      <c r="I173" s="25"/>
      <c r="J173" s="25"/>
      <c r="K173" s="25"/>
      <c r="L173" s="25"/>
      <c r="M173" s="53">
        <f>M169-M172-N172</f>
        <v>50984</v>
      </c>
      <c r="N173" s="40"/>
      <c r="O173" s="25"/>
      <c r="P173" s="53"/>
      <c r="Q173" s="25"/>
      <c r="R173" s="5"/>
    </row>
    <row r="174" spans="1:19" ht="16.2" thickBot="1" x14ac:dyDescent="0.35">
      <c r="A174" s="24"/>
      <c r="B174" s="25"/>
      <c r="C174" s="25"/>
      <c r="D174" s="25"/>
      <c r="E174" s="25"/>
      <c r="F174" s="25"/>
      <c r="G174" s="25"/>
      <c r="H174" s="25"/>
      <c r="I174" s="25"/>
      <c r="J174" s="25"/>
      <c r="K174" s="25"/>
      <c r="L174" s="25"/>
      <c r="M174" s="25"/>
      <c r="N174" s="25"/>
      <c r="O174" s="25"/>
      <c r="P174" s="61"/>
      <c r="Q174" s="25"/>
      <c r="R174" s="5"/>
    </row>
    <row r="175" spans="1:19" ht="15.6" x14ac:dyDescent="0.3">
      <c r="A175" s="2"/>
      <c r="B175" s="4"/>
      <c r="C175" s="4"/>
      <c r="D175" s="4"/>
      <c r="E175" s="4"/>
      <c r="F175" s="4"/>
      <c r="G175" s="4"/>
      <c r="H175" s="4"/>
      <c r="I175" s="4"/>
      <c r="J175" s="4"/>
      <c r="K175" s="4"/>
      <c r="L175" s="4"/>
      <c r="M175" s="4"/>
      <c r="N175" s="4"/>
      <c r="O175" s="4"/>
      <c r="P175" s="50"/>
      <c r="Q175" s="4"/>
      <c r="R175" s="5"/>
    </row>
    <row r="176" spans="1:19" ht="15.6" x14ac:dyDescent="0.3">
      <c r="A176" s="6"/>
      <c r="B176" s="119" t="s">
        <v>72</v>
      </c>
      <c r="C176" s="8"/>
      <c r="D176" s="8"/>
      <c r="E176" s="8"/>
      <c r="F176" s="8"/>
      <c r="G176" s="8"/>
      <c r="H176" s="8"/>
      <c r="I176" s="8"/>
      <c r="J176" s="8"/>
      <c r="K176" s="8"/>
      <c r="L176" s="8"/>
      <c r="M176" s="8"/>
      <c r="N176" s="8"/>
      <c r="O176" s="8"/>
      <c r="P176" s="65"/>
      <c r="Q176" s="8"/>
      <c r="R176" s="5"/>
    </row>
    <row r="177" spans="1:18" ht="15.6" x14ac:dyDescent="0.3">
      <c r="A177" s="24"/>
      <c r="B177" s="25" t="s">
        <v>73</v>
      </c>
      <c r="C177" s="25"/>
      <c r="D177" s="25"/>
      <c r="E177" s="25"/>
      <c r="F177" s="25"/>
      <c r="G177" s="25"/>
      <c r="H177" s="25"/>
      <c r="I177" s="25"/>
      <c r="J177" s="25"/>
      <c r="K177" s="25"/>
      <c r="L177" s="25"/>
      <c r="M177" s="25"/>
      <c r="N177" s="25"/>
      <c r="O177" s="25"/>
      <c r="P177" s="66">
        <f>(P103+P105+P106+P107+P108)/-(P109+P110+P111)</f>
        <v>1.4967507148427346</v>
      </c>
      <c r="Q177" s="25" t="s">
        <v>130</v>
      </c>
      <c r="R177" s="5"/>
    </row>
    <row r="178" spans="1:18" ht="15.6" x14ac:dyDescent="0.3">
      <c r="A178" s="24"/>
      <c r="B178" s="25" t="s">
        <v>74</v>
      </c>
      <c r="C178" s="25"/>
      <c r="D178" s="25"/>
      <c r="E178" s="25"/>
      <c r="F178" s="25"/>
      <c r="G178" s="25"/>
      <c r="H178" s="25"/>
      <c r="I178" s="25"/>
      <c r="J178" s="25"/>
      <c r="K178" s="25"/>
      <c r="L178" s="25"/>
      <c r="M178" s="25"/>
      <c r="N178" s="25"/>
      <c r="O178" s="25"/>
      <c r="P178" s="66">
        <v>1.4</v>
      </c>
      <c r="Q178" s="25" t="s">
        <v>130</v>
      </c>
      <c r="R178" s="5"/>
    </row>
    <row r="179" spans="1:18" ht="15.6" x14ac:dyDescent="0.3">
      <c r="A179" s="24"/>
      <c r="B179" s="25" t="s">
        <v>75</v>
      </c>
      <c r="C179" s="25"/>
      <c r="D179" s="25"/>
      <c r="E179" s="25"/>
      <c r="F179" s="25"/>
      <c r="G179" s="25"/>
      <c r="H179" s="25"/>
      <c r="I179" s="25"/>
      <c r="J179" s="25"/>
      <c r="K179" s="25"/>
      <c r="L179" s="25"/>
      <c r="M179" s="25"/>
      <c r="N179" s="25"/>
      <c r="O179" s="25"/>
      <c r="P179" s="59">
        <f>(P103+P105+P106+P107+P108+P109+P110+P111)/-(P112+P113)</f>
        <v>1.6588541666666667</v>
      </c>
      <c r="Q179" s="25" t="s">
        <v>130</v>
      </c>
      <c r="R179" s="5"/>
    </row>
    <row r="180" spans="1:18" ht="15.6" x14ac:dyDescent="0.3">
      <c r="A180" s="24"/>
      <c r="B180" s="25" t="s">
        <v>76</v>
      </c>
      <c r="C180" s="25"/>
      <c r="D180" s="25"/>
      <c r="E180" s="25"/>
      <c r="F180" s="25"/>
      <c r="G180" s="25"/>
      <c r="H180" s="25"/>
      <c r="I180" s="25"/>
      <c r="J180" s="25"/>
      <c r="K180" s="25"/>
      <c r="L180" s="25"/>
      <c r="M180" s="25"/>
      <c r="N180" s="25"/>
      <c r="O180" s="25"/>
      <c r="P180" s="66">
        <v>2.29</v>
      </c>
      <c r="Q180" s="25" t="s">
        <v>130</v>
      </c>
      <c r="R180" s="5"/>
    </row>
    <row r="181" spans="1:18" ht="15.6" x14ac:dyDescent="0.3">
      <c r="A181" s="24"/>
      <c r="B181" s="25"/>
      <c r="C181" s="25"/>
      <c r="D181" s="25"/>
      <c r="E181" s="25"/>
      <c r="F181" s="25"/>
      <c r="G181" s="25"/>
      <c r="H181" s="25"/>
      <c r="I181" s="25"/>
      <c r="J181" s="25"/>
      <c r="K181" s="25"/>
      <c r="L181" s="25"/>
      <c r="M181" s="25"/>
      <c r="N181" s="25"/>
      <c r="O181" s="25"/>
      <c r="P181" s="25"/>
      <c r="Q181" s="25"/>
      <c r="R181" s="5"/>
    </row>
    <row r="182" spans="1:18" ht="15.6" x14ac:dyDescent="0.3">
      <c r="A182" s="24"/>
      <c r="B182" s="25"/>
      <c r="C182" s="25"/>
      <c r="D182" s="25"/>
      <c r="E182" s="25"/>
      <c r="F182" s="25"/>
      <c r="G182" s="25"/>
      <c r="H182" s="25"/>
      <c r="I182" s="25"/>
      <c r="J182" s="25"/>
      <c r="K182" s="25"/>
      <c r="L182" s="25"/>
      <c r="M182" s="25"/>
      <c r="N182" s="25"/>
      <c r="O182" s="25"/>
      <c r="P182" s="25"/>
      <c r="Q182" s="25"/>
      <c r="R182" s="5"/>
    </row>
    <row r="183" spans="1:18" ht="15.6" x14ac:dyDescent="0.3">
      <c r="A183" s="6"/>
      <c r="B183" s="8"/>
      <c r="C183" s="8"/>
      <c r="D183" s="8"/>
      <c r="E183" s="8"/>
      <c r="F183" s="8"/>
      <c r="G183" s="8"/>
      <c r="H183" s="8"/>
      <c r="I183" s="8"/>
      <c r="J183" s="8"/>
      <c r="K183" s="8"/>
      <c r="L183" s="8"/>
      <c r="M183" s="8"/>
      <c r="N183" s="8"/>
      <c r="O183" s="8"/>
      <c r="P183" s="8"/>
      <c r="Q183" s="8"/>
      <c r="R183" s="5"/>
    </row>
    <row r="184" spans="1:18" ht="18" thickBot="1" x14ac:dyDescent="0.35">
      <c r="A184" s="101"/>
      <c r="B184" s="102" t="str">
        <f>B133</f>
        <v>PM7 INVESTOR REPORT QUARTER ENDING JANUARY 2009</v>
      </c>
      <c r="C184" s="143"/>
      <c r="D184" s="143"/>
      <c r="E184" s="143"/>
      <c r="F184" s="143"/>
      <c r="G184" s="143"/>
      <c r="H184" s="143"/>
      <c r="I184" s="143"/>
      <c r="J184" s="143"/>
      <c r="K184" s="143"/>
      <c r="L184" s="143"/>
      <c r="M184" s="143"/>
      <c r="N184" s="143"/>
      <c r="O184" s="143"/>
      <c r="P184" s="143"/>
      <c r="Q184" s="144"/>
      <c r="R184" s="5"/>
    </row>
    <row r="185" spans="1:18" ht="15.6" x14ac:dyDescent="0.3">
      <c r="A185" s="67"/>
      <c r="B185" s="60" t="s">
        <v>77</v>
      </c>
      <c r="C185" s="68"/>
      <c r="D185" s="68"/>
      <c r="E185" s="69"/>
      <c r="F185" s="69"/>
      <c r="G185" s="69"/>
      <c r="H185" s="69"/>
      <c r="I185" s="69"/>
      <c r="J185" s="69"/>
      <c r="K185" s="69"/>
      <c r="L185" s="69"/>
      <c r="M185" s="69"/>
      <c r="N185" s="70">
        <f>H90</f>
        <v>39843</v>
      </c>
      <c r="O185" s="4"/>
      <c r="P185" s="4"/>
      <c r="Q185" s="4"/>
      <c r="R185" s="5"/>
    </row>
    <row r="186" spans="1:18" ht="15.6" x14ac:dyDescent="0.3">
      <c r="A186" s="71"/>
      <c r="B186" s="72"/>
      <c r="C186" s="73"/>
      <c r="D186" s="73"/>
      <c r="E186" s="74"/>
      <c r="F186" s="74"/>
      <c r="G186" s="74"/>
      <c r="H186" s="74"/>
      <c r="I186" s="74"/>
      <c r="J186" s="74"/>
      <c r="K186" s="74"/>
      <c r="L186" s="74"/>
      <c r="M186" s="74"/>
      <c r="N186" s="74"/>
      <c r="O186" s="8"/>
      <c r="P186" s="8"/>
      <c r="Q186" s="8"/>
      <c r="R186" s="5"/>
    </row>
    <row r="187" spans="1:18" ht="15.6" x14ac:dyDescent="0.3">
      <c r="A187" s="75"/>
      <c r="B187" s="76" t="s">
        <v>78</v>
      </c>
      <c r="C187" s="77"/>
      <c r="D187" s="77"/>
      <c r="E187" s="64"/>
      <c r="F187" s="64"/>
      <c r="G187" s="64"/>
      <c r="H187" s="64"/>
      <c r="I187" s="64"/>
      <c r="J187" s="64"/>
      <c r="K187" s="64"/>
      <c r="L187" s="64"/>
      <c r="M187" s="64"/>
      <c r="N187" s="78">
        <v>5.8069999999999997E-2</v>
      </c>
      <c r="O187" s="25"/>
      <c r="P187" s="25"/>
      <c r="Q187" s="25"/>
      <c r="R187" s="5"/>
    </row>
    <row r="188" spans="1:18" ht="15.6" x14ac:dyDescent="0.3">
      <c r="A188" s="75"/>
      <c r="B188" s="76" t="s">
        <v>219</v>
      </c>
      <c r="C188" s="77"/>
      <c r="D188" s="77"/>
      <c r="E188" s="64"/>
      <c r="F188" s="64"/>
      <c r="G188" s="64"/>
      <c r="H188" s="64"/>
      <c r="I188" s="64"/>
      <c r="J188" s="64"/>
      <c r="K188" s="64"/>
      <c r="L188" s="64"/>
      <c r="M188" s="64"/>
      <c r="N188" s="39">
        <v>5.1499999999999997E-2</v>
      </c>
      <c r="O188" s="25"/>
      <c r="P188" s="25"/>
      <c r="Q188" s="25"/>
      <c r="R188" s="5"/>
    </row>
    <row r="189" spans="1:18" ht="15.6" x14ac:dyDescent="0.3">
      <c r="A189" s="75"/>
      <c r="B189" s="76" t="s">
        <v>79</v>
      </c>
      <c r="C189" s="77"/>
      <c r="D189" s="77"/>
      <c r="E189" s="64"/>
      <c r="F189" s="64"/>
      <c r="G189" s="64"/>
      <c r="H189" s="64"/>
      <c r="I189" s="64"/>
      <c r="J189" s="64"/>
      <c r="K189" s="64"/>
      <c r="L189" s="64"/>
      <c r="M189" s="64"/>
      <c r="N189" s="78">
        <f>N187-N188</f>
        <v>6.5699999999999995E-3</v>
      </c>
      <c r="O189" s="25"/>
      <c r="P189" s="25"/>
      <c r="Q189" s="25"/>
      <c r="R189" s="5"/>
    </row>
    <row r="190" spans="1:18" ht="15.6" x14ac:dyDescent="0.3">
      <c r="A190" s="75"/>
      <c r="B190" s="76" t="s">
        <v>80</v>
      </c>
      <c r="C190" s="77"/>
      <c r="D190" s="77"/>
      <c r="E190" s="64"/>
      <c r="F190" s="64"/>
      <c r="G190" s="64"/>
      <c r="H190" s="64"/>
      <c r="I190" s="64"/>
      <c r="J190" s="64"/>
      <c r="K190" s="64"/>
      <c r="L190" s="64"/>
      <c r="M190" s="64"/>
      <c r="N190" s="78">
        <v>4.6829999999999997E-2</v>
      </c>
      <c r="O190" s="25"/>
      <c r="P190" s="25"/>
      <c r="Q190" s="25"/>
      <c r="R190" s="5"/>
    </row>
    <row r="191" spans="1:18" ht="15.6" x14ac:dyDescent="0.3">
      <c r="A191" s="75"/>
      <c r="B191" s="76" t="s">
        <v>241</v>
      </c>
      <c r="C191" s="77"/>
      <c r="D191" s="77"/>
      <c r="E191" s="64"/>
      <c r="F191" s="64"/>
      <c r="G191" s="64"/>
      <c r="H191" s="64"/>
      <c r="I191" s="64"/>
      <c r="J191" s="64"/>
      <c r="K191" s="64"/>
      <c r="L191" s="64"/>
      <c r="M191" s="64"/>
      <c r="N191" s="78">
        <f>+P45</f>
        <v>4.5560074694743581E-2</v>
      </c>
      <c r="O191" s="25"/>
      <c r="P191" s="25"/>
      <c r="Q191" s="25"/>
      <c r="R191" s="5"/>
    </row>
    <row r="192" spans="1:18" ht="15.6" x14ac:dyDescent="0.3">
      <c r="A192" s="75"/>
      <c r="B192" s="76" t="s">
        <v>81</v>
      </c>
      <c r="C192" s="77"/>
      <c r="D192" s="77"/>
      <c r="E192" s="64"/>
      <c r="F192" s="64"/>
      <c r="G192" s="64"/>
      <c r="H192" s="64"/>
      <c r="I192" s="64"/>
      <c r="J192" s="64"/>
      <c r="K192" s="64"/>
      <c r="L192" s="64"/>
      <c r="M192" s="64"/>
      <c r="N192" s="78">
        <f>N190-N191</f>
        <v>1.2699253052564155E-3</v>
      </c>
      <c r="O192" s="25"/>
      <c r="P192" s="25"/>
      <c r="Q192" s="25"/>
      <c r="R192" s="5"/>
    </row>
    <row r="193" spans="1:18" ht="15.6" x14ac:dyDescent="0.3">
      <c r="A193" s="75"/>
      <c r="B193" s="76" t="s">
        <v>257</v>
      </c>
      <c r="C193" s="77"/>
      <c r="D193" s="77"/>
      <c r="E193" s="64"/>
      <c r="F193" s="64"/>
      <c r="G193" s="64"/>
      <c r="H193" s="64"/>
      <c r="I193" s="64"/>
      <c r="J193" s="64"/>
      <c r="K193" s="64"/>
      <c r="L193" s="64"/>
      <c r="M193" s="64"/>
      <c r="N193" s="78">
        <f>+P103/H73</f>
        <v>1.4831043684749608E-2</v>
      </c>
      <c r="O193" s="25"/>
      <c r="P193" s="25"/>
      <c r="Q193" s="25"/>
      <c r="R193" s="5"/>
    </row>
    <row r="194" spans="1:18" ht="15.6" x14ac:dyDescent="0.3">
      <c r="A194" s="75"/>
      <c r="B194" s="76" t="s">
        <v>170</v>
      </c>
      <c r="C194" s="77"/>
      <c r="D194" s="77"/>
      <c r="E194" s="64"/>
      <c r="F194" s="64"/>
      <c r="G194" s="64"/>
      <c r="H194" s="64"/>
      <c r="I194" s="64"/>
      <c r="J194" s="64"/>
      <c r="K194" s="64"/>
      <c r="L194" s="64"/>
      <c r="M194" s="64"/>
      <c r="N194" s="133">
        <v>49065</v>
      </c>
      <c r="O194" s="25"/>
      <c r="P194" s="25"/>
      <c r="Q194" s="25"/>
      <c r="R194" s="5"/>
    </row>
    <row r="195" spans="1:18" ht="15.6" x14ac:dyDescent="0.3">
      <c r="A195" s="75"/>
      <c r="B195" s="76" t="s">
        <v>171</v>
      </c>
      <c r="C195" s="77"/>
      <c r="D195" s="77"/>
      <c r="E195" s="64"/>
      <c r="F195" s="64"/>
      <c r="G195" s="64"/>
      <c r="H195" s="64"/>
      <c r="I195" s="64"/>
      <c r="J195" s="64"/>
      <c r="K195" s="64"/>
      <c r="L195" s="64"/>
      <c r="M195" s="64"/>
      <c r="N195" s="133">
        <v>49065</v>
      </c>
      <c r="O195" s="25"/>
      <c r="P195" s="25"/>
      <c r="Q195" s="25"/>
      <c r="R195" s="5"/>
    </row>
    <row r="196" spans="1:18" ht="15.6" x14ac:dyDescent="0.3">
      <c r="A196" s="75"/>
      <c r="B196" s="76" t="s">
        <v>172</v>
      </c>
      <c r="C196" s="77"/>
      <c r="D196" s="77"/>
      <c r="E196" s="64"/>
      <c r="F196" s="64"/>
      <c r="G196" s="64"/>
      <c r="H196" s="64"/>
      <c r="I196" s="64"/>
      <c r="J196" s="64"/>
      <c r="K196" s="64"/>
      <c r="L196" s="64"/>
      <c r="M196" s="64"/>
      <c r="N196" s="133">
        <v>49065</v>
      </c>
      <c r="O196" s="25"/>
      <c r="P196" s="25"/>
      <c r="Q196" s="25"/>
      <c r="R196" s="5"/>
    </row>
    <row r="197" spans="1:18" ht="15.6" x14ac:dyDescent="0.3">
      <c r="A197" s="75"/>
      <c r="B197" s="76" t="s">
        <v>138</v>
      </c>
      <c r="C197" s="77"/>
      <c r="D197" s="77"/>
      <c r="E197" s="64"/>
      <c r="F197" s="64"/>
      <c r="G197" s="64"/>
      <c r="H197" s="64"/>
      <c r="I197" s="64"/>
      <c r="J197" s="64"/>
      <c r="K197" s="64"/>
      <c r="L197" s="64"/>
      <c r="M197" s="64"/>
      <c r="N197" s="133">
        <v>52352</v>
      </c>
      <c r="O197" s="25"/>
      <c r="P197" s="25"/>
      <c r="Q197" s="25"/>
      <c r="R197" s="5"/>
    </row>
    <row r="198" spans="1:18" ht="15.6" x14ac:dyDescent="0.3">
      <c r="A198" s="75"/>
      <c r="B198" s="76" t="s">
        <v>139</v>
      </c>
      <c r="C198" s="77"/>
      <c r="D198" s="77"/>
      <c r="E198" s="64"/>
      <c r="F198" s="64"/>
      <c r="G198" s="64"/>
      <c r="H198" s="64"/>
      <c r="I198" s="64"/>
      <c r="J198" s="64"/>
      <c r="K198" s="64"/>
      <c r="L198" s="64"/>
      <c r="M198" s="64"/>
      <c r="N198" s="133">
        <v>52352</v>
      </c>
      <c r="O198" s="25"/>
      <c r="P198" s="25"/>
      <c r="Q198" s="25"/>
      <c r="R198" s="5"/>
    </row>
    <row r="199" spans="1:18" ht="15.6" x14ac:dyDescent="0.3">
      <c r="A199" s="75"/>
      <c r="B199" s="76" t="s">
        <v>82</v>
      </c>
      <c r="C199" s="77"/>
      <c r="D199" s="77"/>
      <c r="E199" s="64"/>
      <c r="F199" s="64"/>
      <c r="G199" s="64"/>
      <c r="H199" s="64"/>
      <c r="I199" s="64"/>
      <c r="J199" s="64"/>
      <c r="K199" s="64"/>
      <c r="L199" s="64"/>
      <c r="M199" s="64"/>
      <c r="N199" s="137">
        <v>20.45</v>
      </c>
      <c r="O199" s="25" t="s">
        <v>125</v>
      </c>
      <c r="P199" s="25"/>
      <c r="Q199" s="25"/>
      <c r="R199" s="5"/>
    </row>
    <row r="200" spans="1:18" ht="15.6" x14ac:dyDescent="0.3">
      <c r="A200" s="75"/>
      <c r="B200" s="76" t="s">
        <v>83</v>
      </c>
      <c r="C200" s="77"/>
      <c r="D200" s="77"/>
      <c r="E200" s="64"/>
      <c r="F200" s="64"/>
      <c r="G200" s="64"/>
      <c r="H200" s="64"/>
      <c r="I200" s="64"/>
      <c r="J200" s="64"/>
      <c r="K200" s="64"/>
      <c r="L200" s="64"/>
      <c r="M200" s="64"/>
      <c r="N200" s="137">
        <v>17.149999999999999</v>
      </c>
      <c r="O200" s="25" t="s">
        <v>125</v>
      </c>
      <c r="P200" s="25"/>
      <c r="Q200" s="25"/>
      <c r="R200" s="5"/>
    </row>
    <row r="201" spans="1:18" ht="15.6" x14ac:dyDescent="0.3">
      <c r="A201" s="75"/>
      <c r="B201" s="76" t="s">
        <v>84</v>
      </c>
      <c r="C201" s="77"/>
      <c r="D201" s="77"/>
      <c r="E201" s="64"/>
      <c r="F201" s="64"/>
      <c r="G201" s="64"/>
      <c r="H201" s="64"/>
      <c r="I201" s="64"/>
      <c r="J201" s="64"/>
      <c r="K201" s="64"/>
      <c r="L201" s="64"/>
      <c r="M201" s="64"/>
      <c r="N201" s="78">
        <f>J70/H70</f>
        <v>1.7517993376783836E-2</v>
      </c>
      <c r="O201" s="25"/>
      <c r="P201" s="25"/>
      <c r="Q201" s="25"/>
      <c r="R201" s="5"/>
    </row>
    <row r="202" spans="1:18" ht="15.6" x14ac:dyDescent="0.3">
      <c r="A202" s="75"/>
      <c r="B202" s="76" t="s">
        <v>85</v>
      </c>
      <c r="C202" s="77"/>
      <c r="D202" s="77"/>
      <c r="E202" s="64"/>
      <c r="F202" s="64"/>
      <c r="G202" s="64"/>
      <c r="H202" s="64"/>
      <c r="I202" s="64"/>
      <c r="J202" s="64"/>
      <c r="K202" s="64"/>
      <c r="L202" s="64"/>
      <c r="M202" s="64"/>
      <c r="N202" s="78">
        <v>0.17419999999999999</v>
      </c>
      <c r="O202" s="25"/>
      <c r="P202" s="25"/>
      <c r="Q202" s="25"/>
      <c r="R202" s="5"/>
    </row>
    <row r="203" spans="1:18" ht="15.6" x14ac:dyDescent="0.3">
      <c r="A203" s="75"/>
      <c r="B203" s="76"/>
      <c r="C203" s="76"/>
      <c r="D203" s="76"/>
      <c r="E203" s="25"/>
      <c r="F203" s="25"/>
      <c r="G203" s="25"/>
      <c r="H203" s="25"/>
      <c r="I203" s="25"/>
      <c r="J203" s="25"/>
      <c r="K203" s="25"/>
      <c r="L203" s="25"/>
      <c r="M203" s="25"/>
      <c r="N203" s="61"/>
      <c r="O203" s="25"/>
      <c r="P203" s="79"/>
      <c r="Q203" s="25"/>
      <c r="R203" s="5"/>
    </row>
    <row r="204" spans="1:18" ht="15.6" x14ac:dyDescent="0.3">
      <c r="A204" s="80"/>
      <c r="B204" s="14" t="s">
        <v>86</v>
      </c>
      <c r="C204" s="81"/>
      <c r="D204" s="82"/>
      <c r="E204" s="81"/>
      <c r="F204" s="17"/>
      <c r="G204" s="17"/>
      <c r="H204" s="17"/>
      <c r="I204" s="17"/>
      <c r="J204" s="17"/>
      <c r="K204" s="17"/>
      <c r="L204" s="17"/>
      <c r="M204" s="17" t="s">
        <v>113</v>
      </c>
      <c r="N204" s="83" t="s">
        <v>121</v>
      </c>
      <c r="O204" s="8"/>
      <c r="P204" s="8"/>
      <c r="Q204" s="8"/>
      <c r="R204" s="5"/>
    </row>
    <row r="205" spans="1:18" ht="15.6" x14ac:dyDescent="0.3">
      <c r="A205" s="84"/>
      <c r="B205" s="76" t="s">
        <v>87</v>
      </c>
      <c r="C205" s="54"/>
      <c r="D205" s="25"/>
      <c r="E205" s="25"/>
      <c r="F205" s="30"/>
      <c r="G205" s="30"/>
      <c r="H205" s="30"/>
      <c r="I205" s="30"/>
      <c r="J205" s="30"/>
      <c r="K205" s="30"/>
      <c r="L205" s="30"/>
      <c r="M205" s="30">
        <v>0</v>
      </c>
      <c r="N205" s="85">
        <v>0</v>
      </c>
      <c r="O205" s="25"/>
      <c r="P205" s="79"/>
      <c r="Q205" s="86"/>
      <c r="R205" s="5"/>
    </row>
    <row r="206" spans="1:18" ht="15.6" x14ac:dyDescent="0.3">
      <c r="A206" s="84"/>
      <c r="B206" s="76" t="s">
        <v>203</v>
      </c>
      <c r="C206" s="54"/>
      <c r="D206" s="25"/>
      <c r="E206" s="25"/>
      <c r="F206" s="30"/>
      <c r="G206" s="30"/>
      <c r="H206" s="30"/>
      <c r="I206" s="30"/>
      <c r="J206" s="30"/>
      <c r="K206" s="30"/>
      <c r="L206" s="30"/>
      <c r="M206" s="151">
        <f>+L243</f>
        <v>79</v>
      </c>
      <c r="N206" s="85">
        <f>+N243</f>
        <v>13485</v>
      </c>
      <c r="O206" s="25"/>
      <c r="P206" s="79"/>
      <c r="Q206" s="86"/>
      <c r="R206" s="5"/>
    </row>
    <row r="207" spans="1:18" ht="15.6" x14ac:dyDescent="0.3">
      <c r="A207" s="84"/>
      <c r="B207" s="76" t="s">
        <v>88</v>
      </c>
      <c r="C207" s="54"/>
      <c r="D207" s="25"/>
      <c r="E207" s="25"/>
      <c r="F207" s="30"/>
      <c r="G207" s="30"/>
      <c r="H207" s="30"/>
      <c r="I207" s="30"/>
      <c r="J207" s="30"/>
      <c r="K207" s="30"/>
      <c r="L207" s="30"/>
      <c r="M207" s="151">
        <f>+L254</f>
        <v>2</v>
      </c>
      <c r="N207" s="85">
        <f>+N254</f>
        <v>177</v>
      </c>
      <c r="O207" s="25"/>
      <c r="P207" s="79"/>
      <c r="Q207" s="86"/>
      <c r="R207" s="5"/>
    </row>
    <row r="208" spans="1:18" ht="15.6" x14ac:dyDescent="0.3">
      <c r="A208" s="84"/>
      <c r="B208" s="122" t="s">
        <v>89</v>
      </c>
      <c r="C208" s="54"/>
      <c r="D208" s="25"/>
      <c r="E208" s="25"/>
      <c r="F208" s="25"/>
      <c r="G208" s="25"/>
      <c r="H208" s="25"/>
      <c r="I208" s="25"/>
      <c r="J208" s="25"/>
      <c r="K208" s="25"/>
      <c r="L208" s="25"/>
      <c r="M208" s="25"/>
      <c r="N208" s="85">
        <v>0</v>
      </c>
      <c r="O208" s="25"/>
      <c r="P208" s="79"/>
      <c r="Q208" s="86"/>
      <c r="R208" s="5"/>
    </row>
    <row r="209" spans="1:18" ht="15.6" x14ac:dyDescent="0.3">
      <c r="A209" s="84"/>
      <c r="B209" s="122" t="s">
        <v>90</v>
      </c>
      <c r="C209" s="54"/>
      <c r="D209" s="25"/>
      <c r="E209" s="25"/>
      <c r="F209" s="25"/>
      <c r="G209" s="25"/>
      <c r="H209" s="25"/>
      <c r="I209" s="25"/>
      <c r="J209" s="25"/>
      <c r="K209" s="25"/>
      <c r="L209" s="25"/>
      <c r="M209" s="25"/>
      <c r="N209" s="62" t="s">
        <v>122</v>
      </c>
      <c r="O209" s="25"/>
      <c r="P209" s="79"/>
      <c r="Q209" s="86"/>
      <c r="R209" s="5"/>
    </row>
    <row r="210" spans="1:18" ht="15.6" x14ac:dyDescent="0.3">
      <c r="A210" s="87"/>
      <c r="B210" s="122" t="s">
        <v>91</v>
      </c>
      <c r="C210" s="76"/>
      <c r="D210" s="76"/>
      <c r="E210" s="25"/>
      <c r="F210" s="25"/>
      <c r="G210" s="25"/>
      <c r="H210" s="25"/>
      <c r="I210" s="25"/>
      <c r="J210" s="167"/>
      <c r="K210" s="25"/>
      <c r="L210" s="25"/>
      <c r="M210" s="25"/>
      <c r="N210" s="85"/>
      <c r="O210" s="25"/>
      <c r="P210" s="79"/>
      <c r="Q210" s="88"/>
      <c r="R210" s="5"/>
    </row>
    <row r="211" spans="1:18" ht="15.6" x14ac:dyDescent="0.3">
      <c r="A211" s="87"/>
      <c r="B211" s="135" t="s">
        <v>92</v>
      </c>
      <c r="C211" s="76"/>
      <c r="D211" s="76"/>
      <c r="E211" s="25"/>
      <c r="F211" s="25"/>
      <c r="G211" s="25"/>
      <c r="H211" s="25"/>
      <c r="I211" s="25"/>
      <c r="J211" s="25"/>
      <c r="K211" s="25"/>
      <c r="L211" s="25"/>
      <c r="M211" s="25"/>
      <c r="N211" s="85">
        <f>P155</f>
        <v>142</v>
      </c>
      <c r="O211" s="25"/>
      <c r="P211" s="79"/>
      <c r="Q211" s="88"/>
      <c r="R211" s="5"/>
    </row>
    <row r="212" spans="1:18" ht="15.6" x14ac:dyDescent="0.3">
      <c r="A212" s="84"/>
      <c r="B212" s="76" t="s">
        <v>93</v>
      </c>
      <c r="C212" s="54"/>
      <c r="D212" s="54"/>
      <c r="E212" s="25"/>
      <c r="F212" s="25"/>
      <c r="G212" s="25"/>
      <c r="H212" s="25"/>
      <c r="I212" s="25"/>
      <c r="J212" s="25"/>
      <c r="K212" s="25"/>
      <c r="L212" s="25"/>
      <c r="M212" s="25"/>
      <c r="N212" s="85">
        <f>'Oct 08'!N210+'Jan 09'!N211</f>
        <v>1404</v>
      </c>
      <c r="O212" s="25"/>
      <c r="P212" s="79"/>
      <c r="Q212" s="88"/>
      <c r="R212" s="5"/>
    </row>
    <row r="213" spans="1:18" ht="15.6" x14ac:dyDescent="0.3">
      <c r="A213" s="87"/>
      <c r="B213" s="122" t="s">
        <v>278</v>
      </c>
      <c r="C213" s="76"/>
      <c r="D213" s="76"/>
      <c r="E213" s="25"/>
      <c r="F213" s="25"/>
      <c r="G213" s="25"/>
      <c r="H213" s="25"/>
      <c r="I213" s="25"/>
      <c r="J213" s="25"/>
      <c r="K213" s="25"/>
      <c r="L213" s="25"/>
      <c r="M213" s="25"/>
      <c r="N213" s="85"/>
      <c r="O213" s="25"/>
      <c r="P213" s="79"/>
      <c r="Q213" s="88"/>
      <c r="R213" s="5"/>
    </row>
    <row r="214" spans="1:18" ht="15.6" x14ac:dyDescent="0.3">
      <c r="A214" s="87"/>
      <c r="B214" s="76" t="s">
        <v>276</v>
      </c>
      <c r="C214" s="76"/>
      <c r="D214" s="76"/>
      <c r="E214" s="25"/>
      <c r="F214" s="25"/>
      <c r="G214" s="25"/>
      <c r="H214" s="25"/>
      <c r="I214" s="25"/>
      <c r="J214" s="25"/>
      <c r="K214" s="25"/>
      <c r="L214" s="25"/>
      <c r="M214" s="30">
        <v>1</v>
      </c>
      <c r="N214" s="85">
        <v>90</v>
      </c>
      <c r="O214" s="25"/>
      <c r="P214" s="79"/>
      <c r="Q214" s="88"/>
      <c r="R214" s="5"/>
    </row>
    <row r="215" spans="1:18" ht="15.6" x14ac:dyDescent="0.3">
      <c r="A215" s="84"/>
      <c r="B215" s="76" t="s">
        <v>95</v>
      </c>
      <c r="C215" s="89"/>
      <c r="D215" s="90"/>
      <c r="E215" s="25"/>
      <c r="F215" s="25"/>
      <c r="G215" s="25"/>
      <c r="H215" s="25"/>
      <c r="I215" s="25"/>
      <c r="J215" s="25"/>
      <c r="K215" s="25"/>
      <c r="L215" s="25"/>
      <c r="M215" s="25"/>
      <c r="N215" s="62">
        <v>9</v>
      </c>
      <c r="O215" s="25"/>
      <c r="P215" s="79"/>
      <c r="Q215" s="88"/>
      <c r="R215" s="5"/>
    </row>
    <row r="216" spans="1:18" ht="15.6" x14ac:dyDescent="0.3">
      <c r="A216" s="84"/>
      <c r="B216" s="76" t="s">
        <v>96</v>
      </c>
      <c r="C216" s="89"/>
      <c r="D216" s="90"/>
      <c r="E216" s="25"/>
      <c r="F216" s="25"/>
      <c r="G216" s="25"/>
      <c r="H216" s="25"/>
      <c r="I216" s="25"/>
      <c r="J216" s="25"/>
      <c r="K216" s="25"/>
      <c r="L216" s="25"/>
      <c r="M216" s="25"/>
      <c r="N216" s="62">
        <v>7.62</v>
      </c>
      <c r="O216" s="25"/>
      <c r="P216" s="79"/>
      <c r="Q216" s="88"/>
      <c r="R216" s="5"/>
    </row>
    <row r="217" spans="1:18" ht="15.6" x14ac:dyDescent="0.3">
      <c r="A217" s="84"/>
      <c r="B217" s="122" t="s">
        <v>251</v>
      </c>
      <c r="C217" s="89"/>
      <c r="D217" s="90"/>
      <c r="E217" s="25"/>
      <c r="F217" s="25"/>
      <c r="G217" s="25"/>
      <c r="H217" s="25"/>
      <c r="I217" s="25"/>
      <c r="J217" s="25"/>
      <c r="K217" s="25"/>
      <c r="L217" s="25"/>
      <c r="M217" s="25"/>
      <c r="N217" s="91"/>
      <c r="O217" s="25"/>
      <c r="P217" s="79"/>
      <c r="Q217" s="88"/>
      <c r="R217" s="5"/>
    </row>
    <row r="218" spans="1:18" ht="15.6" x14ac:dyDescent="0.3">
      <c r="A218" s="84"/>
      <c r="B218" s="76" t="s">
        <v>276</v>
      </c>
      <c r="C218" s="89"/>
      <c r="D218" s="90"/>
      <c r="E218" s="25"/>
      <c r="F218" s="25"/>
      <c r="G218" s="25"/>
      <c r="H218" s="25"/>
      <c r="I218" s="25"/>
      <c r="J218" s="25"/>
      <c r="K218" s="25"/>
      <c r="L218" s="25"/>
      <c r="M218" s="30">
        <v>4</v>
      </c>
      <c r="N218" s="85">
        <v>173</v>
      </c>
      <c r="O218" s="25"/>
      <c r="P218" s="79"/>
      <c r="Q218" s="88"/>
      <c r="R218" s="5"/>
    </row>
    <row r="219" spans="1:18" ht="15.6" x14ac:dyDescent="0.3">
      <c r="A219" s="84"/>
      <c r="B219" s="76" t="s">
        <v>252</v>
      </c>
      <c r="C219" s="89"/>
      <c r="D219" s="90"/>
      <c r="E219" s="25"/>
      <c r="F219" s="25"/>
      <c r="G219" s="25"/>
      <c r="H219" s="25"/>
      <c r="I219" s="25"/>
      <c r="J219" s="25"/>
      <c r="K219" s="25"/>
      <c r="L219" s="25"/>
      <c r="M219" s="25"/>
      <c r="N219" s="62">
        <v>5.39</v>
      </c>
      <c r="O219" s="25"/>
      <c r="P219" s="79"/>
      <c r="Q219" s="88"/>
      <c r="R219" s="5"/>
    </row>
    <row r="220" spans="1:18" ht="15.6" x14ac:dyDescent="0.3">
      <c r="A220" s="84"/>
      <c r="B220" s="76"/>
      <c r="C220" s="89"/>
      <c r="D220" s="90"/>
      <c r="E220" s="25"/>
      <c r="F220" s="25"/>
      <c r="G220" s="25"/>
      <c r="H220" s="25"/>
      <c r="I220" s="25"/>
      <c r="J220" s="25"/>
      <c r="K220" s="25"/>
      <c r="L220" s="25"/>
      <c r="M220" s="25"/>
      <c r="N220" s="91"/>
      <c r="O220" s="25"/>
      <c r="P220" s="79"/>
      <c r="Q220" s="88"/>
      <c r="R220" s="5"/>
    </row>
    <row r="221" spans="1:18" ht="17.399999999999999" x14ac:dyDescent="0.3">
      <c r="A221" s="84"/>
      <c r="B221" s="160" t="s">
        <v>244</v>
      </c>
      <c r="C221" s="161"/>
      <c r="D221" s="162"/>
      <c r="E221" s="163"/>
      <c r="F221" s="163"/>
      <c r="G221" s="163"/>
      <c r="H221" s="163"/>
      <c r="I221" s="166"/>
      <c r="J221" s="169" t="s">
        <v>243</v>
      </c>
      <c r="K221" s="163"/>
      <c r="L221" s="163"/>
      <c r="M221" s="25"/>
      <c r="N221" s="91"/>
      <c r="O221" s="25"/>
      <c r="P221" s="79"/>
      <c r="Q221" s="88"/>
      <c r="R221" s="5"/>
    </row>
    <row r="222" spans="1:18" ht="15.6" x14ac:dyDescent="0.3">
      <c r="A222" s="84"/>
      <c r="B222" s="156"/>
      <c r="C222" s="157"/>
      <c r="D222" s="158"/>
      <c r="E222" s="146"/>
      <c r="F222" s="146"/>
      <c r="G222" s="146"/>
      <c r="H222" s="146"/>
      <c r="I222" s="146"/>
      <c r="J222" s="146"/>
      <c r="K222" s="146"/>
      <c r="L222" s="146"/>
      <c r="M222" s="25"/>
      <c r="N222" s="91"/>
      <c r="O222" s="25"/>
      <c r="P222" s="79"/>
      <c r="Q222" s="88"/>
      <c r="R222" s="5"/>
    </row>
    <row r="223" spans="1:18" ht="15.6" x14ac:dyDescent="0.3">
      <c r="A223" s="6"/>
      <c r="B223" s="14" t="s">
        <v>236</v>
      </c>
      <c r="C223" s="81"/>
      <c r="D223" s="82"/>
      <c r="E223" s="81"/>
      <c r="F223" s="17"/>
      <c r="G223" s="17"/>
      <c r="H223" s="17"/>
      <c r="I223" s="17"/>
      <c r="J223" s="17"/>
      <c r="K223" s="17"/>
      <c r="L223" s="83" t="s">
        <v>113</v>
      </c>
      <c r="M223" s="17" t="s">
        <v>114</v>
      </c>
      <c r="N223" s="83" t="s">
        <v>123</v>
      </c>
      <c r="O223" s="17" t="s">
        <v>114</v>
      </c>
      <c r="P223" s="8"/>
      <c r="Q223" s="92"/>
      <c r="R223" s="5"/>
    </row>
    <row r="224" spans="1:18" ht="15.6" x14ac:dyDescent="0.3">
      <c r="A224" s="24"/>
      <c r="B224" s="54" t="s">
        <v>98</v>
      </c>
      <c r="C224" s="93"/>
      <c r="D224" s="25"/>
      <c r="E224" s="93"/>
      <c r="F224" s="93"/>
      <c r="G224" s="93"/>
      <c r="H224" s="93"/>
      <c r="I224" s="93"/>
      <c r="J224" s="93"/>
      <c r="K224" s="93"/>
      <c r="L224" s="54">
        <v>3743</v>
      </c>
      <c r="M224" s="94">
        <f t="shared" ref="M224:M231" si="1">L224/$L$232</f>
        <v>0.9717030114226376</v>
      </c>
      <c r="N224" s="53">
        <v>403501</v>
      </c>
      <c r="O224" s="136">
        <f t="shared" ref="O224:O231" si="2">N224/$N$232</f>
        <v>0.97323431372076086</v>
      </c>
      <c r="P224" s="79"/>
      <c r="Q224" s="88"/>
      <c r="R224" s="5"/>
    </row>
    <row r="225" spans="1:18" ht="15.6" x14ac:dyDescent="0.3">
      <c r="A225" s="24"/>
      <c r="B225" s="54" t="s">
        <v>99</v>
      </c>
      <c r="C225" s="93"/>
      <c r="D225" s="25"/>
      <c r="E225" s="94"/>
      <c r="F225" s="93"/>
      <c r="G225" s="93"/>
      <c r="H225" s="93"/>
      <c r="I225" s="93"/>
      <c r="J225" s="93"/>
      <c r="K225" s="93"/>
      <c r="L225" s="54">
        <v>58</v>
      </c>
      <c r="M225" s="94">
        <f t="shared" si="1"/>
        <v>1.5057113187954309E-2</v>
      </c>
      <c r="N225" s="53">
        <v>4868</v>
      </c>
      <c r="O225" s="136">
        <f t="shared" si="2"/>
        <v>1.1741494170256489E-2</v>
      </c>
      <c r="P225" s="79"/>
      <c r="Q225" s="88"/>
      <c r="R225" s="5"/>
    </row>
    <row r="226" spans="1:18" ht="15.6" x14ac:dyDescent="0.3">
      <c r="A226" s="24"/>
      <c r="B226" s="54" t="s">
        <v>100</v>
      </c>
      <c r="C226" s="93"/>
      <c r="D226" s="25"/>
      <c r="E226" s="94"/>
      <c r="F226" s="93"/>
      <c r="G226" s="93"/>
      <c r="H226" s="93"/>
      <c r="I226" s="93"/>
      <c r="J226" s="93"/>
      <c r="K226" s="93"/>
      <c r="L226" s="54">
        <v>22</v>
      </c>
      <c r="M226" s="94">
        <f t="shared" si="1"/>
        <v>5.711318795430945E-3</v>
      </c>
      <c r="N226" s="53">
        <v>2566</v>
      </c>
      <c r="O226" s="136">
        <f t="shared" si="2"/>
        <v>6.1891277816101377E-3</v>
      </c>
      <c r="P226" s="79"/>
      <c r="Q226" s="88"/>
      <c r="R226" s="5"/>
    </row>
    <row r="227" spans="1:18" ht="15.6" x14ac:dyDescent="0.3">
      <c r="A227" s="24"/>
      <c r="B227" s="54" t="s">
        <v>227</v>
      </c>
      <c r="C227" s="93"/>
      <c r="D227" s="25"/>
      <c r="E227" s="94"/>
      <c r="F227" s="93"/>
      <c r="G227" s="93"/>
      <c r="H227" s="93"/>
      <c r="I227" s="93"/>
      <c r="J227" s="93"/>
      <c r="K227" s="93"/>
      <c r="L227" s="54">
        <v>12</v>
      </c>
      <c r="M227" s="94">
        <f t="shared" si="1"/>
        <v>3.1152647975077881E-3</v>
      </c>
      <c r="N227" s="53">
        <v>1196</v>
      </c>
      <c r="O227" s="136">
        <f t="shared" si="2"/>
        <v>2.884722068123821E-3</v>
      </c>
      <c r="P227" s="79"/>
      <c r="Q227" s="88"/>
      <c r="R227" s="5"/>
    </row>
    <row r="228" spans="1:18" ht="15.6" x14ac:dyDescent="0.3">
      <c r="A228" s="24"/>
      <c r="B228" s="54" t="s">
        <v>228</v>
      </c>
      <c r="C228" s="93"/>
      <c r="D228" s="25"/>
      <c r="E228" s="94"/>
      <c r="F228" s="93"/>
      <c r="G228" s="93"/>
      <c r="H228" s="93"/>
      <c r="I228" s="93"/>
      <c r="J228" s="93"/>
      <c r="K228" s="93"/>
      <c r="L228" s="54">
        <v>7</v>
      </c>
      <c r="M228" s="94">
        <f t="shared" si="1"/>
        <v>1.8172377985462098E-3</v>
      </c>
      <c r="N228" s="53">
        <v>1231</v>
      </c>
      <c r="O228" s="136">
        <f t="shared" si="2"/>
        <v>2.9691411921909899E-3</v>
      </c>
      <c r="P228" s="79"/>
      <c r="Q228" s="88"/>
      <c r="R228" s="5"/>
    </row>
    <row r="229" spans="1:18" ht="15.6" x14ac:dyDescent="0.3">
      <c r="A229" s="24"/>
      <c r="B229" s="54" t="s">
        <v>229</v>
      </c>
      <c r="C229" s="93"/>
      <c r="D229" s="25"/>
      <c r="E229" s="94"/>
      <c r="F229" s="93"/>
      <c r="G229" s="93"/>
      <c r="H229" s="93"/>
      <c r="I229" s="93"/>
      <c r="J229" s="93"/>
      <c r="K229" s="93"/>
      <c r="L229" s="54">
        <v>5</v>
      </c>
      <c r="M229" s="94">
        <f t="shared" si="1"/>
        <v>1.2980269989615785E-3</v>
      </c>
      <c r="N229" s="53">
        <v>701</v>
      </c>
      <c r="O229" s="136">
        <f t="shared" si="2"/>
        <v>1.6907944563167212E-3</v>
      </c>
      <c r="P229" s="79"/>
      <c r="Q229" s="88"/>
      <c r="R229" s="5"/>
    </row>
    <row r="230" spans="1:18" ht="15.6" x14ac:dyDescent="0.3">
      <c r="A230" s="24"/>
      <c r="B230" s="54" t="s">
        <v>230</v>
      </c>
      <c r="C230" s="93"/>
      <c r="D230" s="25"/>
      <c r="E230" s="94"/>
      <c r="F230" s="93"/>
      <c r="G230" s="93"/>
      <c r="H230" s="93"/>
      <c r="I230" s="93"/>
      <c r="J230" s="93"/>
      <c r="K230" s="93"/>
      <c r="L230" s="54">
        <v>3</v>
      </c>
      <c r="M230" s="94">
        <f t="shared" si="1"/>
        <v>7.7881619937694702E-4</v>
      </c>
      <c r="N230" s="53">
        <v>309</v>
      </c>
      <c r="O230" s="136">
        <f t="shared" si="2"/>
        <v>7.4530026676443201E-4</v>
      </c>
      <c r="P230" s="79"/>
      <c r="Q230" s="88"/>
      <c r="R230" s="5"/>
    </row>
    <row r="231" spans="1:18" ht="15.6" x14ac:dyDescent="0.3">
      <c r="A231" s="24"/>
      <c r="B231" s="54" t="s">
        <v>231</v>
      </c>
      <c r="C231" s="93"/>
      <c r="D231" s="25"/>
      <c r="E231" s="94"/>
      <c r="F231" s="93"/>
      <c r="G231" s="93"/>
      <c r="H231" s="93"/>
      <c r="I231" s="93"/>
      <c r="J231" s="93"/>
      <c r="K231" s="93"/>
      <c r="L231" s="54">
        <v>2</v>
      </c>
      <c r="M231" s="94">
        <f t="shared" si="1"/>
        <v>5.1921079958463135E-4</v>
      </c>
      <c r="N231" s="53">
        <v>226</v>
      </c>
      <c r="O231" s="136">
        <f t="shared" si="2"/>
        <v>5.4510634397657493E-4</v>
      </c>
      <c r="P231" s="79"/>
      <c r="Q231" s="88"/>
      <c r="R231" s="5"/>
    </row>
    <row r="232" spans="1:18" ht="15.6" x14ac:dyDescent="0.3">
      <c r="A232" s="24"/>
      <c r="B232" s="25" t="s">
        <v>129</v>
      </c>
      <c r="C232" s="25"/>
      <c r="D232" s="25"/>
      <c r="E232" s="25"/>
      <c r="F232" s="95"/>
      <c r="G232" s="95"/>
      <c r="H232" s="95"/>
      <c r="I232" s="95"/>
      <c r="J232" s="95"/>
      <c r="K232" s="95"/>
      <c r="L232" s="34">
        <f>SUM(L224:L231)</f>
        <v>3852</v>
      </c>
      <c r="M232" s="136">
        <f>SUM(M224:M231)</f>
        <v>1</v>
      </c>
      <c r="N232" s="53">
        <f>SUM(N224:N231)</f>
        <v>414598</v>
      </c>
      <c r="O232" s="136">
        <f>SUM(O224:O231)</f>
        <v>1</v>
      </c>
      <c r="P232" s="25"/>
      <c r="Q232" s="25"/>
      <c r="R232" s="5"/>
    </row>
    <row r="233" spans="1:18" ht="15.6" x14ac:dyDescent="0.3">
      <c r="A233" s="24"/>
      <c r="B233" s="25"/>
      <c r="C233" s="25"/>
      <c r="D233" s="25"/>
      <c r="E233" s="25"/>
      <c r="F233" s="95"/>
      <c r="G233" s="95"/>
      <c r="H233" s="95"/>
      <c r="I233" s="95"/>
      <c r="J233" s="95"/>
      <c r="K233" s="95"/>
      <c r="L233" s="34"/>
      <c r="M233" s="136"/>
      <c r="N233" s="53"/>
      <c r="O233" s="136"/>
      <c r="P233" s="25"/>
      <c r="Q233" s="25"/>
      <c r="R233" s="5"/>
    </row>
    <row r="234" spans="1:18" ht="15.6" x14ac:dyDescent="0.3">
      <c r="A234" s="148"/>
      <c r="B234" s="14" t="s">
        <v>238</v>
      </c>
      <c r="C234" s="81"/>
      <c r="D234" s="82"/>
      <c r="E234" s="81"/>
      <c r="F234" s="17"/>
      <c r="G234" s="17"/>
      <c r="H234" s="17"/>
      <c r="I234" s="17"/>
      <c r="J234" s="17"/>
      <c r="K234" s="17"/>
      <c r="L234" s="83" t="s">
        <v>113</v>
      </c>
      <c r="M234" s="17" t="s">
        <v>114</v>
      </c>
      <c r="N234" s="83" t="s">
        <v>123</v>
      </c>
      <c r="O234" s="17" t="s">
        <v>114</v>
      </c>
      <c r="P234" s="8"/>
      <c r="Q234" s="149"/>
      <c r="R234" s="5"/>
    </row>
    <row r="235" spans="1:18" ht="15.6" x14ac:dyDescent="0.3">
      <c r="A235" s="24"/>
      <c r="B235" s="54" t="s">
        <v>98</v>
      </c>
      <c r="C235" s="93"/>
      <c r="D235" s="25"/>
      <c r="E235" s="93"/>
      <c r="F235" s="93"/>
      <c r="G235" s="93"/>
      <c r="H235" s="93"/>
      <c r="I235" s="93"/>
      <c r="J235" s="93"/>
      <c r="K235" s="93"/>
      <c r="L235" s="54">
        <v>33</v>
      </c>
      <c r="M235" s="94">
        <f t="shared" ref="M235:M242" si="3">L235/$L$243</f>
        <v>0.41772151898734178</v>
      </c>
      <c r="N235" s="53">
        <v>4178</v>
      </c>
      <c r="O235" s="136">
        <f t="shared" ref="O235:O242" si="4">N235/$N$243</f>
        <v>0.30982573229514276</v>
      </c>
      <c r="P235" s="79"/>
      <c r="Q235" s="25"/>
      <c r="R235" s="5"/>
    </row>
    <row r="236" spans="1:18" ht="15.6" x14ac:dyDescent="0.3">
      <c r="A236" s="24"/>
      <c r="B236" s="54" t="s">
        <v>99</v>
      </c>
      <c r="C236" s="93"/>
      <c r="D236" s="25"/>
      <c r="E236" s="94"/>
      <c r="F236" s="93"/>
      <c r="G236" s="93"/>
      <c r="H236" s="93"/>
      <c r="I236" s="93"/>
      <c r="J236" s="93"/>
      <c r="K236" s="93"/>
      <c r="L236" s="54">
        <v>14</v>
      </c>
      <c r="M236" s="94">
        <f t="shared" si="3"/>
        <v>0.17721518987341772</v>
      </c>
      <c r="N236" s="53">
        <v>3110</v>
      </c>
      <c r="O236" s="136">
        <f t="shared" si="4"/>
        <v>0.23062662217278457</v>
      </c>
      <c r="P236" s="79"/>
      <c r="Q236" s="25"/>
      <c r="R236" s="5"/>
    </row>
    <row r="237" spans="1:18" ht="15.6" x14ac:dyDescent="0.3">
      <c r="A237" s="24"/>
      <c r="B237" s="54" t="s">
        <v>100</v>
      </c>
      <c r="C237" s="93"/>
      <c r="D237" s="25"/>
      <c r="E237" s="94"/>
      <c r="F237" s="93"/>
      <c r="G237" s="93"/>
      <c r="H237" s="93"/>
      <c r="I237" s="93"/>
      <c r="J237" s="93"/>
      <c r="K237" s="93"/>
      <c r="L237" s="54">
        <v>8</v>
      </c>
      <c r="M237" s="94">
        <f t="shared" si="3"/>
        <v>0.10126582278481013</v>
      </c>
      <c r="N237" s="53">
        <v>2201</v>
      </c>
      <c r="O237" s="136">
        <f t="shared" si="4"/>
        <v>0.16321839080459771</v>
      </c>
      <c r="P237" s="79"/>
      <c r="Q237" s="25"/>
      <c r="R237" s="5"/>
    </row>
    <row r="238" spans="1:18" ht="15.6" x14ac:dyDescent="0.3">
      <c r="A238" s="24"/>
      <c r="B238" s="54" t="s">
        <v>227</v>
      </c>
      <c r="C238" s="93"/>
      <c r="D238" s="25"/>
      <c r="E238" s="94"/>
      <c r="F238" s="93"/>
      <c r="G238" s="93"/>
      <c r="H238" s="93"/>
      <c r="I238" s="93"/>
      <c r="J238" s="93"/>
      <c r="K238" s="93"/>
      <c r="L238" s="54">
        <v>2</v>
      </c>
      <c r="M238" s="94">
        <f t="shared" si="3"/>
        <v>2.5316455696202531E-2</v>
      </c>
      <c r="N238" s="53">
        <v>426</v>
      </c>
      <c r="O238" s="136">
        <f t="shared" si="4"/>
        <v>3.1590656284760849E-2</v>
      </c>
      <c r="P238" s="79"/>
      <c r="Q238" s="25"/>
      <c r="R238" s="5"/>
    </row>
    <row r="239" spans="1:18" ht="15.6" x14ac:dyDescent="0.3">
      <c r="A239" s="24"/>
      <c r="B239" s="54" t="s">
        <v>228</v>
      </c>
      <c r="C239" s="93"/>
      <c r="D239" s="25"/>
      <c r="E239" s="94"/>
      <c r="F239" s="93"/>
      <c r="G239" s="93"/>
      <c r="H239" s="93"/>
      <c r="I239" s="93"/>
      <c r="J239" s="93"/>
      <c r="K239" s="93"/>
      <c r="L239" s="54">
        <v>2</v>
      </c>
      <c r="M239" s="94">
        <f t="shared" si="3"/>
        <v>2.5316455696202531E-2</v>
      </c>
      <c r="N239" s="53">
        <v>350</v>
      </c>
      <c r="O239" s="136">
        <f t="shared" si="4"/>
        <v>2.5954764553207266E-2</v>
      </c>
      <c r="P239" s="79"/>
      <c r="Q239" s="25"/>
      <c r="R239" s="5"/>
    </row>
    <row r="240" spans="1:18" ht="15.6" x14ac:dyDescent="0.3">
      <c r="A240" s="24"/>
      <c r="B240" s="54" t="s">
        <v>229</v>
      </c>
      <c r="C240" s="93"/>
      <c r="D240" s="25"/>
      <c r="E240" s="94"/>
      <c r="F240" s="93"/>
      <c r="G240" s="93"/>
      <c r="H240" s="93"/>
      <c r="I240" s="93"/>
      <c r="J240" s="93"/>
      <c r="K240" s="93"/>
      <c r="L240" s="54">
        <v>3</v>
      </c>
      <c r="M240" s="94">
        <f t="shared" si="3"/>
        <v>3.7974683544303799E-2</v>
      </c>
      <c r="N240" s="53">
        <v>740</v>
      </c>
      <c r="O240" s="136">
        <f t="shared" si="4"/>
        <v>5.4875787912495366E-2</v>
      </c>
      <c r="P240" s="79"/>
      <c r="Q240" s="25"/>
      <c r="R240" s="5"/>
    </row>
    <row r="241" spans="1:18" ht="15.6" x14ac:dyDescent="0.3">
      <c r="A241" s="24"/>
      <c r="B241" s="54" t="s">
        <v>230</v>
      </c>
      <c r="C241" s="93"/>
      <c r="D241" s="25"/>
      <c r="E241" s="94"/>
      <c r="F241" s="93"/>
      <c r="G241" s="93"/>
      <c r="H241" s="93"/>
      <c r="I241" s="93"/>
      <c r="J241" s="93"/>
      <c r="K241" s="93"/>
      <c r="L241" s="54">
        <v>8</v>
      </c>
      <c r="M241" s="94">
        <f t="shared" si="3"/>
        <v>0.10126582278481013</v>
      </c>
      <c r="N241" s="53">
        <v>1104</v>
      </c>
      <c r="O241" s="136">
        <f t="shared" si="4"/>
        <v>8.1868743047830927E-2</v>
      </c>
      <c r="P241" s="79"/>
      <c r="Q241" s="25"/>
      <c r="R241" s="5"/>
    </row>
    <row r="242" spans="1:18" ht="15.6" x14ac:dyDescent="0.3">
      <c r="A242" s="24"/>
      <c r="B242" s="54" t="s">
        <v>231</v>
      </c>
      <c r="C242" s="93"/>
      <c r="D242" s="25"/>
      <c r="E242" s="94"/>
      <c r="F242" s="93"/>
      <c r="G242" s="93"/>
      <c r="H242" s="93"/>
      <c r="I242" s="93"/>
      <c r="J242" s="93"/>
      <c r="K242" s="93"/>
      <c r="L242" s="54">
        <v>9</v>
      </c>
      <c r="M242" s="94">
        <f t="shared" si="3"/>
        <v>0.11392405063291139</v>
      </c>
      <c r="N242" s="53">
        <v>1376</v>
      </c>
      <c r="O242" s="136">
        <f t="shared" si="4"/>
        <v>0.10203930292918056</v>
      </c>
      <c r="P242" s="79"/>
      <c r="Q242" s="25"/>
      <c r="R242" s="5"/>
    </row>
    <row r="243" spans="1:18" ht="15.6" x14ac:dyDescent="0.3">
      <c r="A243" s="24"/>
      <c r="B243" s="25" t="s">
        <v>129</v>
      </c>
      <c r="C243" s="25"/>
      <c r="D243" s="25"/>
      <c r="E243" s="25"/>
      <c r="F243" s="95"/>
      <c r="G243" s="95"/>
      <c r="H243" s="95"/>
      <c r="I243" s="95"/>
      <c r="J243" s="95"/>
      <c r="K243" s="95"/>
      <c r="L243" s="34">
        <f>SUM(L235:L242)</f>
        <v>79</v>
      </c>
      <c r="M243" s="136">
        <f>SUM(M235:M242)</f>
        <v>1</v>
      </c>
      <c r="N243" s="53">
        <f>SUM(N235:N242)</f>
        <v>13485</v>
      </c>
      <c r="O243" s="136">
        <f>SUM(O235:O242)</f>
        <v>1</v>
      </c>
      <c r="P243" s="25"/>
      <c r="Q243" s="25"/>
      <c r="R243" s="5"/>
    </row>
    <row r="244" spans="1:18" ht="15.6" x14ac:dyDescent="0.3">
      <c r="A244" s="24"/>
      <c r="B244" s="25"/>
      <c r="C244" s="25"/>
      <c r="D244" s="25"/>
      <c r="E244" s="25"/>
      <c r="F244" s="95"/>
      <c r="G244" s="95"/>
      <c r="H244" s="95"/>
      <c r="I244" s="95"/>
      <c r="J244" s="95"/>
      <c r="K244" s="95"/>
      <c r="L244" s="34"/>
      <c r="M244" s="136"/>
      <c r="N244" s="53"/>
      <c r="O244" s="136"/>
      <c r="P244" s="25"/>
      <c r="Q244" s="25"/>
      <c r="R244" s="5"/>
    </row>
    <row r="245" spans="1:18" ht="15.6" x14ac:dyDescent="0.3">
      <c r="A245" s="148"/>
      <c r="B245" s="14" t="s">
        <v>239</v>
      </c>
      <c r="C245" s="81"/>
      <c r="D245" s="82"/>
      <c r="E245" s="81"/>
      <c r="F245" s="17"/>
      <c r="G245" s="17"/>
      <c r="H245" s="17"/>
      <c r="I245" s="17"/>
      <c r="J245" s="17"/>
      <c r="K245" s="17"/>
      <c r="L245" s="83" t="s">
        <v>113</v>
      </c>
      <c r="M245" s="17" t="s">
        <v>114</v>
      </c>
      <c r="N245" s="83" t="s">
        <v>123</v>
      </c>
      <c r="O245" s="17" t="s">
        <v>114</v>
      </c>
      <c r="P245" s="150"/>
      <c r="Q245" s="149"/>
      <c r="R245" s="5"/>
    </row>
    <row r="246" spans="1:18" ht="15.6" x14ac:dyDescent="0.3">
      <c r="A246" s="24"/>
      <c r="B246" s="54" t="s">
        <v>98</v>
      </c>
      <c r="C246" s="93"/>
      <c r="D246" s="25"/>
      <c r="E246" s="93"/>
      <c r="F246" s="93"/>
      <c r="G246" s="93"/>
      <c r="H246" s="93"/>
      <c r="I246" s="93"/>
      <c r="J246" s="93"/>
      <c r="K246" s="93"/>
      <c r="L246" s="54">
        <v>0</v>
      </c>
      <c r="M246" s="136">
        <f t="shared" ref="M246:M254" si="5">L246/$L$254</f>
        <v>0</v>
      </c>
      <c r="N246" s="53">
        <v>0</v>
      </c>
      <c r="O246" s="136">
        <f t="shared" ref="O246:O254" si="6">N246/$N$254</f>
        <v>0</v>
      </c>
      <c r="P246" s="25"/>
      <c r="Q246" s="25"/>
      <c r="R246" s="5"/>
    </row>
    <row r="247" spans="1:18" ht="15.6" x14ac:dyDescent="0.3">
      <c r="A247" s="24"/>
      <c r="B247" s="54" t="s">
        <v>99</v>
      </c>
      <c r="C247" s="93"/>
      <c r="D247" s="25"/>
      <c r="E247" s="94"/>
      <c r="F247" s="93"/>
      <c r="G247" s="93"/>
      <c r="H247" s="93"/>
      <c r="I247" s="93"/>
      <c r="J247" s="93"/>
      <c r="K247" s="93"/>
      <c r="L247" s="54">
        <v>0</v>
      </c>
      <c r="M247" s="136">
        <f t="shared" si="5"/>
        <v>0</v>
      </c>
      <c r="N247" s="53">
        <v>0</v>
      </c>
      <c r="O247" s="136">
        <f t="shared" si="6"/>
        <v>0</v>
      </c>
      <c r="P247" s="25"/>
      <c r="Q247" s="25"/>
      <c r="R247" s="5"/>
    </row>
    <row r="248" spans="1:18" ht="15.6" x14ac:dyDescent="0.3">
      <c r="A248" s="24"/>
      <c r="B248" s="54" t="s">
        <v>100</v>
      </c>
      <c r="C248" s="93"/>
      <c r="D248" s="25"/>
      <c r="E248" s="94"/>
      <c r="F248" s="93"/>
      <c r="G248" s="93"/>
      <c r="H248" s="93"/>
      <c r="I248" s="93"/>
      <c r="J248" s="93"/>
      <c r="K248" s="93"/>
      <c r="L248" s="54">
        <v>0</v>
      </c>
      <c r="M248" s="136">
        <f t="shared" si="5"/>
        <v>0</v>
      </c>
      <c r="N248" s="53">
        <v>0</v>
      </c>
      <c r="O248" s="136">
        <f t="shared" si="6"/>
        <v>0</v>
      </c>
      <c r="P248" s="25"/>
      <c r="Q248" s="25"/>
      <c r="R248" s="5"/>
    </row>
    <row r="249" spans="1:18" ht="15.6" x14ac:dyDescent="0.3">
      <c r="A249" s="24"/>
      <c r="B249" s="54" t="s">
        <v>227</v>
      </c>
      <c r="C249" s="93"/>
      <c r="D249" s="25"/>
      <c r="E249" s="94"/>
      <c r="F249" s="93"/>
      <c r="G249" s="93"/>
      <c r="H249" s="93"/>
      <c r="I249" s="93"/>
      <c r="J249" s="93"/>
      <c r="K249" s="93"/>
      <c r="L249" s="54">
        <v>0</v>
      </c>
      <c r="M249" s="136">
        <f t="shared" si="5"/>
        <v>0</v>
      </c>
      <c r="N249" s="53">
        <v>0</v>
      </c>
      <c r="O249" s="136">
        <f t="shared" si="6"/>
        <v>0</v>
      </c>
      <c r="P249" s="25"/>
      <c r="Q249" s="25"/>
      <c r="R249" s="5"/>
    </row>
    <row r="250" spans="1:18" ht="15.6" x14ac:dyDescent="0.3">
      <c r="A250" s="24"/>
      <c r="B250" s="54" t="s">
        <v>228</v>
      </c>
      <c r="C250" s="93"/>
      <c r="D250" s="25"/>
      <c r="E250" s="94"/>
      <c r="F250" s="93"/>
      <c r="G250" s="93"/>
      <c r="H250" s="93"/>
      <c r="I250" s="93"/>
      <c r="J250" s="93"/>
      <c r="K250" s="93"/>
      <c r="L250" s="54">
        <v>0</v>
      </c>
      <c r="M250" s="136">
        <f t="shared" si="5"/>
        <v>0</v>
      </c>
      <c r="N250" s="53">
        <v>0</v>
      </c>
      <c r="O250" s="136">
        <f t="shared" si="6"/>
        <v>0</v>
      </c>
      <c r="P250" s="25"/>
      <c r="Q250" s="25"/>
      <c r="R250" s="5"/>
    </row>
    <row r="251" spans="1:18" ht="15.6" x14ac:dyDescent="0.3">
      <c r="A251" s="24"/>
      <c r="B251" s="54" t="s">
        <v>229</v>
      </c>
      <c r="C251" s="93"/>
      <c r="D251" s="25"/>
      <c r="E251" s="94"/>
      <c r="F251" s="93"/>
      <c r="G251" s="93"/>
      <c r="H251" s="93"/>
      <c r="I251" s="93"/>
      <c r="J251" s="93"/>
      <c r="K251" s="93"/>
      <c r="L251" s="54">
        <v>0</v>
      </c>
      <c r="M251" s="136">
        <f t="shared" si="5"/>
        <v>0</v>
      </c>
      <c r="N251" s="53">
        <v>0</v>
      </c>
      <c r="O251" s="136">
        <f t="shared" si="6"/>
        <v>0</v>
      </c>
      <c r="P251" s="25"/>
      <c r="Q251" s="25"/>
      <c r="R251" s="5"/>
    </row>
    <row r="252" spans="1:18" ht="15.6" x14ac:dyDescent="0.3">
      <c r="A252" s="24"/>
      <c r="B252" s="54" t="s">
        <v>230</v>
      </c>
      <c r="C252" s="93"/>
      <c r="D252" s="25"/>
      <c r="E252" s="94"/>
      <c r="F252" s="93"/>
      <c r="G252" s="93"/>
      <c r="H252" s="93"/>
      <c r="I252" s="93"/>
      <c r="J252" s="93"/>
      <c r="K252" s="93"/>
      <c r="L252" s="54">
        <v>0</v>
      </c>
      <c r="M252" s="136">
        <f t="shared" si="5"/>
        <v>0</v>
      </c>
      <c r="N252" s="53">
        <v>0</v>
      </c>
      <c r="O252" s="136">
        <f t="shared" si="6"/>
        <v>0</v>
      </c>
      <c r="P252" s="25"/>
      <c r="Q252" s="25"/>
      <c r="R252" s="5"/>
    </row>
    <row r="253" spans="1:18" ht="15.6" x14ac:dyDescent="0.3">
      <c r="A253" s="24"/>
      <c r="B253" s="54" t="s">
        <v>231</v>
      </c>
      <c r="C253" s="93"/>
      <c r="D253" s="25"/>
      <c r="E253" s="94"/>
      <c r="F253" s="93"/>
      <c r="G253" s="93"/>
      <c r="H253" s="93"/>
      <c r="I253" s="93"/>
      <c r="J253" s="93"/>
      <c r="K253" s="93"/>
      <c r="L253" s="54">
        <v>2</v>
      </c>
      <c r="M253" s="136">
        <f t="shared" si="5"/>
        <v>1</v>
      </c>
      <c r="N253" s="53">
        <v>177</v>
      </c>
      <c r="O253" s="136">
        <f t="shared" si="6"/>
        <v>1</v>
      </c>
      <c r="P253" s="25"/>
      <c r="Q253" s="25"/>
      <c r="R253" s="5"/>
    </row>
    <row r="254" spans="1:18" ht="15.6" x14ac:dyDescent="0.3">
      <c r="A254" s="24"/>
      <c r="B254" s="25" t="s">
        <v>129</v>
      </c>
      <c r="C254" s="25"/>
      <c r="D254" s="25"/>
      <c r="E254" s="25"/>
      <c r="F254" s="95"/>
      <c r="G254" s="95"/>
      <c r="H254" s="95"/>
      <c r="I254" s="95"/>
      <c r="J254" s="95"/>
      <c r="K254" s="95"/>
      <c r="L254" s="34">
        <f>SUM(L246:L253)</f>
        <v>2</v>
      </c>
      <c r="M254" s="136">
        <f t="shared" si="5"/>
        <v>1</v>
      </c>
      <c r="N254" s="53">
        <f>SUM(N246:N253)</f>
        <v>177</v>
      </c>
      <c r="O254" s="136">
        <f t="shared" si="6"/>
        <v>1</v>
      </c>
      <c r="P254" s="25"/>
      <c r="Q254" s="25"/>
      <c r="R254" s="5"/>
    </row>
    <row r="255" spans="1:18" ht="15.6" x14ac:dyDescent="0.3">
      <c r="A255" s="24"/>
      <c r="B255" s="25"/>
      <c r="C255" s="25"/>
      <c r="D255" s="25"/>
      <c r="E255" s="25"/>
      <c r="F255" s="95"/>
      <c r="G255" s="95"/>
      <c r="H255" s="95"/>
      <c r="I255" s="95"/>
      <c r="J255" s="95"/>
      <c r="K255" s="95"/>
      <c r="L255" s="34"/>
      <c r="M255" s="136"/>
      <c r="N255" s="53"/>
      <c r="O255" s="136"/>
      <c r="P255" s="25"/>
      <c r="Q255" s="25"/>
      <c r="R255" s="5"/>
    </row>
    <row r="256" spans="1:18" ht="15.6" x14ac:dyDescent="0.3">
      <c r="A256" s="24"/>
      <c r="B256" s="152" t="s">
        <v>240</v>
      </c>
      <c r="C256" s="25"/>
      <c r="D256" s="25"/>
      <c r="E256" s="25"/>
      <c r="F256" s="95"/>
      <c r="G256" s="95"/>
      <c r="H256" s="95"/>
      <c r="I256" s="95"/>
      <c r="J256" s="95"/>
      <c r="K256" s="95"/>
      <c r="L256" s="173">
        <f>+L232+L243+L254</f>
        <v>3933</v>
      </c>
      <c r="M256" s="136"/>
      <c r="N256" s="175">
        <f>+N254+N243+N232</f>
        <v>428260</v>
      </c>
      <c r="O256" s="136"/>
      <c r="P256" s="25"/>
      <c r="Q256" s="25"/>
      <c r="R256" s="5"/>
    </row>
    <row r="257" spans="1:18" ht="15.6" x14ac:dyDescent="0.3">
      <c r="A257" s="24"/>
      <c r="B257" s="25"/>
      <c r="C257" s="25"/>
      <c r="D257" s="25"/>
      <c r="E257" s="25"/>
      <c r="F257" s="95"/>
      <c r="G257" s="95"/>
      <c r="H257" s="95"/>
      <c r="I257" s="95"/>
      <c r="J257" s="95"/>
      <c r="K257" s="95"/>
      <c r="L257" s="95"/>
      <c r="M257" s="95"/>
      <c r="N257" s="53"/>
      <c r="O257" s="95"/>
      <c r="P257" s="25"/>
      <c r="Q257" s="25"/>
      <c r="R257" s="5"/>
    </row>
    <row r="258" spans="1:18" ht="15.6" x14ac:dyDescent="0.3">
      <c r="A258" s="6"/>
      <c r="B258" s="8"/>
      <c r="C258" s="8"/>
      <c r="D258" s="8"/>
      <c r="E258" s="8"/>
      <c r="F258" s="96"/>
      <c r="G258" s="96"/>
      <c r="H258" s="96"/>
      <c r="I258" s="96"/>
      <c r="J258" s="96"/>
      <c r="K258" s="96"/>
      <c r="L258" s="96"/>
      <c r="M258" s="96"/>
      <c r="N258" s="97"/>
      <c r="O258" s="96"/>
      <c r="P258" s="8"/>
      <c r="Q258" s="8"/>
      <c r="R258" s="5"/>
    </row>
    <row r="259" spans="1:18" ht="15.6" x14ac:dyDescent="0.3">
      <c r="A259" s="145"/>
      <c r="B259" s="14" t="s">
        <v>102</v>
      </c>
      <c r="C259" s="15"/>
      <c r="D259" s="15"/>
      <c r="E259" s="15"/>
      <c r="F259" s="17" t="s">
        <v>108</v>
      </c>
      <c r="G259" s="15"/>
      <c r="H259" s="14" t="s">
        <v>110</v>
      </c>
      <c r="I259" s="140"/>
      <c r="J259" s="140"/>
      <c r="K259" s="140"/>
      <c r="L259" s="140"/>
      <c r="M259" s="140"/>
      <c r="N259" s="140"/>
      <c r="O259" s="140"/>
      <c r="P259" s="140"/>
      <c r="Q259" s="140"/>
      <c r="R259" s="5"/>
    </row>
    <row r="260" spans="1:18" ht="15.6" x14ac:dyDescent="0.3">
      <c r="A260" s="145"/>
      <c r="B260" s="140"/>
      <c r="C260" s="8"/>
      <c r="D260" s="8"/>
      <c r="E260" s="8"/>
      <c r="F260" s="8"/>
      <c r="G260" s="8"/>
      <c r="H260" s="8"/>
      <c r="I260" s="140"/>
      <c r="J260" s="140"/>
      <c r="K260" s="140"/>
      <c r="L260" s="140"/>
      <c r="M260" s="140"/>
      <c r="N260" s="140"/>
      <c r="O260" s="140"/>
      <c r="P260" s="140"/>
      <c r="Q260" s="140"/>
      <c r="R260" s="5"/>
    </row>
    <row r="261" spans="1:18" ht="15.6" x14ac:dyDescent="0.3">
      <c r="A261" s="145"/>
      <c r="B261" s="13" t="s">
        <v>103</v>
      </c>
      <c r="C261" s="13"/>
      <c r="D261" s="13"/>
      <c r="E261" s="13"/>
      <c r="F261" s="134" t="s">
        <v>212</v>
      </c>
      <c r="G261" s="13"/>
      <c r="H261" s="13" t="s">
        <v>222</v>
      </c>
      <c r="I261" s="140"/>
      <c r="J261" s="140"/>
      <c r="K261" s="140"/>
      <c r="L261" s="140"/>
      <c r="M261" s="140"/>
      <c r="N261" s="140"/>
      <c r="O261" s="140"/>
      <c r="P261" s="140"/>
      <c r="Q261" s="140"/>
      <c r="R261" s="5"/>
    </row>
    <row r="262" spans="1:18" ht="15.6" x14ac:dyDescent="0.3">
      <c r="A262" s="145"/>
      <c r="B262" s="13" t="s">
        <v>263</v>
      </c>
      <c r="C262" s="13"/>
      <c r="D262" s="13"/>
      <c r="E262" s="13"/>
      <c r="F262" s="134" t="s">
        <v>264</v>
      </c>
      <c r="G262" s="13"/>
      <c r="H262" s="13" t="s">
        <v>265</v>
      </c>
      <c r="I262" s="140"/>
      <c r="J262" s="140"/>
      <c r="K262" s="140"/>
      <c r="L262" s="140"/>
      <c r="M262" s="140"/>
      <c r="N262" s="140"/>
      <c r="O262" s="140"/>
      <c r="P262" s="140"/>
      <c r="Q262" s="140"/>
      <c r="R262" s="5"/>
    </row>
    <row r="263" spans="1:18" ht="15.6" x14ac:dyDescent="0.3">
      <c r="A263" s="145"/>
      <c r="B263" s="13" t="s">
        <v>104</v>
      </c>
      <c r="C263" s="13"/>
      <c r="D263" s="13"/>
      <c r="E263" s="13"/>
      <c r="F263" s="134" t="s">
        <v>211</v>
      </c>
      <c r="G263" s="13"/>
      <c r="H263" s="13" t="s">
        <v>223</v>
      </c>
      <c r="I263" s="140"/>
      <c r="J263" s="140"/>
      <c r="K263" s="140"/>
      <c r="L263" s="140"/>
      <c r="M263" s="140"/>
      <c r="N263" s="140"/>
      <c r="O263" s="140"/>
      <c r="P263" s="140"/>
      <c r="Q263" s="140"/>
      <c r="R263" s="5"/>
    </row>
    <row r="264" spans="1:18" ht="15.6" x14ac:dyDescent="0.3">
      <c r="A264" s="145"/>
      <c r="B264" s="13"/>
      <c r="C264" s="13"/>
      <c r="D264" s="13"/>
      <c r="E264" s="99"/>
      <c r="F264" s="140"/>
      <c r="G264" s="140"/>
      <c r="H264" s="140"/>
      <c r="I264" s="140"/>
      <c r="J264" s="140"/>
      <c r="K264" s="140"/>
      <c r="L264" s="140"/>
      <c r="M264" s="140"/>
      <c r="N264" s="140"/>
      <c r="O264" s="140"/>
      <c r="P264" s="140"/>
      <c r="Q264" s="140"/>
      <c r="R264" s="5"/>
    </row>
    <row r="265" spans="1:18" ht="15.6" x14ac:dyDescent="0.3">
      <c r="A265" s="145"/>
      <c r="B265" s="13"/>
      <c r="C265" s="13"/>
      <c r="D265" s="13"/>
      <c r="E265" s="99"/>
      <c r="F265" s="140"/>
      <c r="G265" s="140"/>
      <c r="H265" s="140"/>
      <c r="I265" s="140"/>
      <c r="J265" s="140"/>
      <c r="K265" s="140"/>
      <c r="L265" s="140"/>
      <c r="M265" s="140"/>
      <c r="N265" s="140"/>
      <c r="O265" s="140"/>
      <c r="P265" s="140"/>
      <c r="Q265" s="140"/>
      <c r="R265" s="5"/>
    </row>
    <row r="266" spans="1:18" ht="18" thickBot="1" x14ac:dyDescent="0.35">
      <c r="A266" s="145"/>
      <c r="B266" s="49" t="str">
        <f>B184</f>
        <v>PM7 INVESTOR REPORT QUARTER ENDING JANUARY 2009</v>
      </c>
      <c r="C266" s="13"/>
      <c r="D266" s="13"/>
      <c r="E266" s="99"/>
      <c r="F266" s="140"/>
      <c r="G266" s="140"/>
      <c r="H266" s="140"/>
      <c r="I266" s="140"/>
      <c r="J266" s="140"/>
      <c r="K266" s="140"/>
      <c r="L266" s="140"/>
      <c r="M266" s="140"/>
      <c r="N266" s="140"/>
      <c r="O266" s="140"/>
      <c r="P266" s="140"/>
      <c r="Q266" s="140"/>
      <c r="R266" s="5"/>
    </row>
    <row r="267" spans="1:18" x14ac:dyDescent="0.25">
      <c r="A267" s="100"/>
      <c r="B267" s="100"/>
      <c r="C267" s="100"/>
      <c r="D267" s="100"/>
      <c r="E267" s="100"/>
      <c r="F267" s="100"/>
      <c r="G267" s="100"/>
      <c r="H267" s="100"/>
      <c r="I267" s="100"/>
      <c r="J267" s="100"/>
      <c r="K267" s="100"/>
      <c r="L267" s="100"/>
      <c r="M267" s="100"/>
      <c r="N267" s="100"/>
      <c r="O267" s="100"/>
      <c r="P267" s="100"/>
      <c r="Q267" s="100"/>
    </row>
  </sheetData>
  <phoneticPr fontId="0" type="noConversion"/>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3" max="14" man="1"/>
    <brk id="184" max="14"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S267"/>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0.95640000000000003</v>
      </c>
      <c r="N17" s="17" t="s">
        <v>173</v>
      </c>
      <c r="O17" s="138">
        <v>4.36E-2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39955</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9"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9" ht="15.6" x14ac:dyDescent="0.3">
      <c r="A34" s="24"/>
      <c r="B34" s="25" t="s">
        <v>156</v>
      </c>
      <c r="C34" s="32"/>
      <c r="D34" s="130">
        <f>+D33*D40</f>
        <v>187737.88500000001</v>
      </c>
      <c r="E34" s="31"/>
      <c r="F34" s="131">
        <f>+F33*F40</f>
        <v>91756.543999999994</v>
      </c>
      <c r="G34" s="31"/>
      <c r="H34" s="124">
        <f>+H33*H40</f>
        <v>208610.94999999998</v>
      </c>
      <c r="I34" s="31"/>
      <c r="J34" s="130">
        <v>82500</v>
      </c>
      <c r="K34" s="31"/>
      <c r="L34" s="124">
        <v>65000</v>
      </c>
      <c r="M34" s="31"/>
      <c r="N34" s="31"/>
      <c r="O34" s="142"/>
      <c r="P34" s="31"/>
      <c r="Q34" s="34"/>
      <c r="R34" s="5"/>
    </row>
    <row r="35" spans="1:19" ht="15.6" x14ac:dyDescent="0.3">
      <c r="A35" s="28"/>
      <c r="B35" s="29" t="s">
        <v>158</v>
      </c>
      <c r="C35" s="36"/>
      <c r="D35" s="129">
        <f>+D33*D39</f>
        <v>186355.845</v>
      </c>
      <c r="E35" s="35"/>
      <c r="F35" s="132">
        <f>+F33*F39</f>
        <v>91080.748000000007</v>
      </c>
      <c r="G35" s="35"/>
      <c r="H35" s="125">
        <f>+H33*H39</f>
        <v>207075.4</v>
      </c>
      <c r="I35" s="35"/>
      <c r="J35" s="129">
        <v>82500</v>
      </c>
      <c r="K35" s="35"/>
      <c r="L35" s="125">
        <v>65000</v>
      </c>
      <c r="M35" s="35"/>
      <c r="N35" s="35"/>
      <c r="O35" s="37"/>
      <c r="P35" s="35"/>
      <c r="Q35" s="34"/>
      <c r="R35" s="5"/>
    </row>
    <row r="36" spans="1:19"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9" ht="15.6" x14ac:dyDescent="0.3">
      <c r="A37" s="24"/>
      <c r="B37" s="25" t="s">
        <v>280</v>
      </c>
      <c r="C37" s="32"/>
      <c r="D37" s="31">
        <f>+D34/1.779</f>
        <v>105530.00843170322</v>
      </c>
      <c r="E37" s="31"/>
      <c r="F37" s="31">
        <f>+F34</f>
        <v>91756.543999999994</v>
      </c>
      <c r="G37" s="31"/>
      <c r="H37" s="31">
        <f>+H34/1.481481</f>
        <v>140812.43701404202</v>
      </c>
      <c r="I37" s="31"/>
      <c r="J37" s="31">
        <v>46374</v>
      </c>
      <c r="K37" s="31"/>
      <c r="L37" s="31">
        <v>43875</v>
      </c>
      <c r="M37" s="31"/>
      <c r="N37" s="31"/>
      <c r="O37" s="142"/>
      <c r="P37" s="31">
        <f>SUM(C37:L37)</f>
        <v>428347.98944574525</v>
      </c>
      <c r="Q37" s="34"/>
      <c r="R37" s="5"/>
    </row>
    <row r="38" spans="1:19" ht="15.6" x14ac:dyDescent="0.3">
      <c r="A38" s="28"/>
      <c r="B38" s="29" t="s">
        <v>281</v>
      </c>
      <c r="C38" s="36"/>
      <c r="D38" s="35">
        <f>D35/1.779</f>
        <v>104753.14502529512</v>
      </c>
      <c r="E38" s="35"/>
      <c r="F38" s="35">
        <f>+F35</f>
        <v>91080.748000000007</v>
      </c>
      <c r="G38" s="35"/>
      <c r="H38" s="35">
        <f>H35/1.481481</f>
        <v>139775.94042718064</v>
      </c>
      <c r="I38" s="35"/>
      <c r="J38" s="35">
        <v>46374</v>
      </c>
      <c r="K38" s="35"/>
      <c r="L38" s="35">
        <v>43875</v>
      </c>
      <c r="M38" s="35"/>
      <c r="N38" s="35"/>
      <c r="O38" s="37"/>
      <c r="P38" s="35">
        <f>SUM(D38:L38)</f>
        <v>425858.83345247572</v>
      </c>
      <c r="Q38" s="34"/>
      <c r="R38" s="5"/>
      <c r="S38" s="176"/>
    </row>
    <row r="39" spans="1:19" ht="15.6" x14ac:dyDescent="0.3">
      <c r="A39" s="28"/>
      <c r="B39" s="122" t="s">
        <v>154</v>
      </c>
      <c r="C39" s="126"/>
      <c r="D39" s="174">
        <v>0.41412409999999999</v>
      </c>
      <c r="E39" s="174"/>
      <c r="F39" s="174">
        <v>0.41400340000000002</v>
      </c>
      <c r="G39" s="174"/>
      <c r="H39" s="174">
        <v>0.41415079999999999</v>
      </c>
      <c r="I39" s="174"/>
      <c r="J39" s="174">
        <v>1</v>
      </c>
      <c r="K39" s="174"/>
      <c r="L39" s="174">
        <v>1</v>
      </c>
      <c r="M39" s="31"/>
      <c r="N39" s="31"/>
      <c r="O39" s="142"/>
      <c r="P39" s="31"/>
      <c r="Q39" s="34"/>
      <c r="R39" s="5"/>
      <c r="S39" s="154"/>
    </row>
    <row r="40" spans="1:19" ht="15.6" x14ac:dyDescent="0.3">
      <c r="A40" s="28"/>
      <c r="B40" s="122" t="s">
        <v>155</v>
      </c>
      <c r="C40" s="126"/>
      <c r="D40" s="174">
        <v>0.41719529999999999</v>
      </c>
      <c r="E40" s="174"/>
      <c r="F40" s="174">
        <v>0.41707519999999998</v>
      </c>
      <c r="G40" s="174"/>
      <c r="H40" s="174">
        <v>0.41722189999999998</v>
      </c>
      <c r="I40" s="174"/>
      <c r="J40" s="174">
        <v>1</v>
      </c>
      <c r="K40" s="174"/>
      <c r="L40" s="174">
        <v>1</v>
      </c>
      <c r="M40" s="128"/>
      <c r="N40" s="128"/>
      <c r="O40" s="142"/>
      <c r="P40" s="31"/>
      <c r="Q40" s="34"/>
      <c r="R40" s="5"/>
      <c r="S40" s="176"/>
    </row>
    <row r="41" spans="1:19"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9" ht="15.6" x14ac:dyDescent="0.3">
      <c r="A42" s="24"/>
      <c r="B42" s="25" t="s">
        <v>13</v>
      </c>
      <c r="C42" s="25"/>
      <c r="D42" s="38">
        <v>1.4475E-2</v>
      </c>
      <c r="E42" s="39"/>
      <c r="F42" s="38">
        <v>2.2724999999999999E-2</v>
      </c>
      <c r="G42" s="39"/>
      <c r="H42" s="38">
        <v>2.1530000000000001E-2</v>
      </c>
      <c r="I42" s="39"/>
      <c r="J42" s="38">
        <v>1.9875E-2</v>
      </c>
      <c r="K42" s="39"/>
      <c r="L42" s="38">
        <v>2.6929999999999999E-2</v>
      </c>
      <c r="M42" s="39"/>
      <c r="N42" s="38"/>
      <c r="O42" s="141"/>
      <c r="P42" s="39"/>
      <c r="Q42" s="25"/>
      <c r="R42" s="5"/>
    </row>
    <row r="43" spans="1:19" ht="15.6" x14ac:dyDescent="0.3">
      <c r="A43" s="24"/>
      <c r="B43" s="25" t="s">
        <v>14</v>
      </c>
      <c r="C43" s="25"/>
      <c r="D43" s="38">
        <v>2.3587500000000001E-2</v>
      </c>
      <c r="E43" s="39"/>
      <c r="F43" s="38">
        <v>4.3587500000000001E-2</v>
      </c>
      <c r="G43" s="39"/>
      <c r="H43" s="38">
        <v>4.4549999999999999E-2</v>
      </c>
      <c r="I43" s="39"/>
      <c r="J43" s="38">
        <v>2.8987499999999999E-2</v>
      </c>
      <c r="K43" s="39"/>
      <c r="L43" s="38">
        <v>4.9950000000000001E-2</v>
      </c>
      <c r="M43" s="39"/>
      <c r="N43" s="38"/>
      <c r="O43" s="141"/>
      <c r="P43" s="141"/>
      <c r="Q43" s="25"/>
      <c r="R43" s="5"/>
    </row>
    <row r="44" spans="1:19"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9" ht="15.6" x14ac:dyDescent="0.3">
      <c r="A45" s="24"/>
      <c r="B45" s="25" t="s">
        <v>285</v>
      </c>
      <c r="C45" s="25"/>
      <c r="D45" s="38">
        <v>2.367E-2</v>
      </c>
      <c r="E45" s="39"/>
      <c r="F45" s="38">
        <f>+F42</f>
        <v>2.2724999999999999E-2</v>
      </c>
      <c r="G45" s="39"/>
      <c r="H45" s="38">
        <v>2.3550000000000001E-2</v>
      </c>
      <c r="I45" s="39"/>
      <c r="J45" s="38">
        <v>2.98E-2</v>
      </c>
      <c r="K45" s="39"/>
      <c r="L45" s="38">
        <v>2.98E-2</v>
      </c>
      <c r="M45" s="39"/>
      <c r="N45" s="38"/>
      <c r="O45" s="141"/>
      <c r="P45" s="39">
        <f>SUMPRODUCT(D45:L45,D37:L37)/P37</f>
        <v>2.4719658115729907E-2</v>
      </c>
      <c r="Q45" s="25"/>
      <c r="R45" s="5"/>
    </row>
    <row r="46" spans="1:19" ht="15.6" x14ac:dyDescent="0.3">
      <c r="A46" s="24"/>
      <c r="B46" s="25" t="s">
        <v>283</v>
      </c>
      <c r="C46" s="25"/>
      <c r="D46" s="38">
        <v>4.4532500000000003E-2</v>
      </c>
      <c r="E46" s="39"/>
      <c r="F46" s="38">
        <f>+F43</f>
        <v>4.3587500000000001E-2</v>
      </c>
      <c r="G46" s="39"/>
      <c r="H46" s="38">
        <v>4.4412500000000001E-2</v>
      </c>
      <c r="I46" s="39"/>
      <c r="J46" s="38">
        <v>5.0662499999999999E-2</v>
      </c>
      <c r="K46" s="39"/>
      <c r="L46" s="38">
        <v>5.0662499999999999E-2</v>
      </c>
      <c r="M46" s="39"/>
      <c r="N46" s="38"/>
      <c r="O46" s="141"/>
      <c r="P46" s="141"/>
      <c r="Q46" s="25"/>
      <c r="R46" s="5"/>
    </row>
    <row r="47" spans="1:19"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9"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0.26891047580934418</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39948</v>
      </c>
      <c r="Q57" s="25"/>
      <c r="R57" s="5"/>
    </row>
    <row r="58" spans="1:18" ht="15.6" x14ac:dyDescent="0.3">
      <c r="A58" s="24"/>
      <c r="B58" s="25" t="s">
        <v>142</v>
      </c>
      <c r="C58" s="25"/>
      <c r="D58" s="25"/>
      <c r="E58" s="25"/>
      <c r="F58" s="58"/>
      <c r="G58" s="58"/>
      <c r="H58" s="58"/>
      <c r="I58" s="58"/>
      <c r="J58" s="58"/>
      <c r="K58" s="58"/>
      <c r="L58" s="25">
        <f>+P58-N58+1</f>
        <v>92</v>
      </c>
      <c r="M58" s="58"/>
      <c r="N58" s="45">
        <v>39769</v>
      </c>
      <c r="O58" s="46"/>
      <c r="P58" s="45">
        <v>39860</v>
      </c>
      <c r="Q58" s="25"/>
      <c r="R58" s="5"/>
    </row>
    <row r="59" spans="1:18" ht="15.6" x14ac:dyDescent="0.3">
      <c r="A59" s="24"/>
      <c r="B59" s="25" t="s">
        <v>143</v>
      </c>
      <c r="C59" s="25"/>
      <c r="D59" s="25"/>
      <c r="E59" s="25"/>
      <c r="F59" s="25"/>
      <c r="G59" s="25"/>
      <c r="H59" s="25"/>
      <c r="I59" s="25"/>
      <c r="J59" s="25"/>
      <c r="K59" s="25"/>
      <c r="L59" s="25">
        <f>+P59-N59+1</f>
        <v>87</v>
      </c>
      <c r="M59" s="25"/>
      <c r="N59" s="45">
        <v>39861</v>
      </c>
      <c r="O59" s="46"/>
      <c r="P59" s="45">
        <v>39947</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39934</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274</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428260</v>
      </c>
      <c r="I70" s="34"/>
      <c r="J70" s="34">
        <f>2489+1473+23-88</f>
        <v>3897</v>
      </c>
      <c r="K70" s="34"/>
      <c r="L70" s="34">
        <f>1473+23</f>
        <v>1496</v>
      </c>
      <c r="M70" s="34"/>
      <c r="N70" s="34">
        <v>0</v>
      </c>
      <c r="O70" s="34"/>
      <c r="P70" s="53">
        <f>+H70-J70+L70-N70</f>
        <v>425859</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428260</v>
      </c>
      <c r="I73" s="34"/>
      <c r="J73" s="34">
        <f>SUM(J70:J72)</f>
        <v>3897</v>
      </c>
      <c r="K73" s="34"/>
      <c r="L73" s="34">
        <f>SUM(L70:L72)</f>
        <v>1496</v>
      </c>
      <c r="M73" s="34"/>
      <c r="N73" s="34">
        <f>SUM(N70:N72)</f>
        <v>0</v>
      </c>
      <c r="O73" s="34"/>
      <c r="P73" s="54">
        <f>SUM(P70:P72)</f>
        <v>425859</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273</v>
      </c>
      <c r="C86" s="34"/>
      <c r="D86" s="34"/>
      <c r="E86" s="34"/>
      <c r="F86" s="34">
        <v>0</v>
      </c>
      <c r="G86" s="34"/>
      <c r="H86" s="53">
        <v>88</v>
      </c>
      <c r="I86" s="34"/>
      <c r="J86" s="34">
        <v>0</v>
      </c>
      <c r="K86" s="34"/>
      <c r="L86" s="34">
        <v>0</v>
      </c>
      <c r="M86" s="34"/>
      <c r="N86" s="34"/>
      <c r="O86" s="34"/>
      <c r="P86" s="54">
        <f>+N130</f>
        <v>0</v>
      </c>
      <c r="Q86" s="25"/>
      <c r="R86" s="5"/>
    </row>
    <row r="87" spans="1:18" ht="15.6" x14ac:dyDescent="0.3">
      <c r="A87" s="24"/>
      <c r="B87" s="25" t="s">
        <v>30</v>
      </c>
      <c r="C87" s="34"/>
      <c r="D87" s="54"/>
      <c r="E87" s="34"/>
      <c r="F87" s="54">
        <f>SUM(F73:F86)</f>
        <v>900700</v>
      </c>
      <c r="G87" s="54"/>
      <c r="H87" s="54">
        <f>SUM(H73:H86)</f>
        <v>428348</v>
      </c>
      <c r="I87" s="34"/>
      <c r="J87" s="54">
        <f>SUM(J73:J86)</f>
        <v>3897</v>
      </c>
      <c r="K87" s="34"/>
      <c r="L87" s="54">
        <f>SUM(L73:L86)</f>
        <v>1496</v>
      </c>
      <c r="M87" s="34"/>
      <c r="N87" s="54"/>
      <c r="O87" s="34"/>
      <c r="P87" s="54">
        <f>SUM(P73:P86)</f>
        <v>425859</v>
      </c>
      <c r="Q87" s="25"/>
      <c r="R87" s="5"/>
    </row>
    <row r="88" spans="1:18" ht="15.6" x14ac:dyDescent="0.3">
      <c r="A88" s="24"/>
      <c r="B88" s="25"/>
      <c r="C88" s="34"/>
      <c r="D88" s="34"/>
      <c r="E88" s="34"/>
      <c r="F88" s="34"/>
      <c r="G88" s="34"/>
      <c r="H88" s="34"/>
      <c r="I88" s="34"/>
      <c r="J88" s="34"/>
      <c r="K88" s="34"/>
      <c r="L88" s="34"/>
      <c r="M88" s="34"/>
      <c r="N88" s="34"/>
      <c r="O88" s="34"/>
      <c r="P88" s="54"/>
      <c r="Q88" s="25"/>
      <c r="R88" s="5"/>
    </row>
    <row r="89" spans="1:18" ht="15.6" x14ac:dyDescent="0.3">
      <c r="A89" s="6"/>
      <c r="B89" s="8"/>
      <c r="C89" s="8"/>
      <c r="D89" s="8"/>
      <c r="E89" s="8"/>
      <c r="F89" s="8"/>
      <c r="G89" s="8"/>
      <c r="H89" s="8"/>
      <c r="I89" s="8"/>
      <c r="J89" s="8"/>
      <c r="K89" s="8"/>
      <c r="L89" s="8"/>
      <c r="M89" s="8"/>
      <c r="N89" s="8"/>
      <c r="O89" s="8"/>
      <c r="P89" s="8"/>
      <c r="Q89" s="8"/>
      <c r="R89" s="5"/>
    </row>
    <row r="90" spans="1:18" ht="15.6" x14ac:dyDescent="0.3">
      <c r="A90" s="6"/>
      <c r="B90" s="51" t="s">
        <v>31</v>
      </c>
      <c r="C90" s="14"/>
      <c r="D90" s="14"/>
      <c r="E90" s="14"/>
      <c r="F90" s="170" t="s">
        <v>106</v>
      </c>
      <c r="G90" s="17"/>
      <c r="H90" s="171">
        <v>39933</v>
      </c>
      <c r="I90" s="17"/>
      <c r="J90" s="17"/>
      <c r="K90" s="17"/>
      <c r="L90" s="17"/>
      <c r="M90" s="17"/>
      <c r="N90" s="17" t="s">
        <v>119</v>
      </c>
      <c r="O90" s="17"/>
      <c r="P90" s="17" t="s">
        <v>128</v>
      </c>
      <c r="Q90" s="8"/>
      <c r="R90" s="5"/>
    </row>
    <row r="91" spans="1:18" ht="15.6" x14ac:dyDescent="0.3">
      <c r="A91" s="24"/>
      <c r="B91" s="25" t="s">
        <v>32</v>
      </c>
      <c r="C91" s="25"/>
      <c r="D91" s="25"/>
      <c r="E91" s="25"/>
      <c r="F91" s="25"/>
      <c r="G91" s="25"/>
      <c r="H91" s="25"/>
      <c r="I91" s="25"/>
      <c r="J91" s="25"/>
      <c r="K91" s="25"/>
      <c r="L91" s="25"/>
      <c r="M91" s="25"/>
      <c r="N91" s="34">
        <f>+'Jan 09'!N130</f>
        <v>88</v>
      </c>
      <c r="O91" s="25"/>
      <c r="P91" s="53">
        <v>0</v>
      </c>
      <c r="Q91" s="25"/>
      <c r="R91" s="5"/>
    </row>
    <row r="92" spans="1:18" ht="15.6" x14ac:dyDescent="0.3">
      <c r="A92" s="24"/>
      <c r="B92" s="25" t="s">
        <v>33</v>
      </c>
      <c r="C92" s="25"/>
      <c r="D92" s="25"/>
      <c r="E92" s="25"/>
      <c r="F92" s="40" t="s">
        <v>253</v>
      </c>
      <c r="G92" s="57"/>
      <c r="H92" s="127" t="s">
        <v>253</v>
      </c>
      <c r="I92" s="25"/>
      <c r="J92" s="25"/>
      <c r="K92" s="25"/>
      <c r="L92" s="25"/>
      <c r="M92" s="25"/>
      <c r="N92" s="34">
        <f>3897-236</f>
        <v>3661</v>
      </c>
      <c r="O92" s="25"/>
      <c r="P92" s="53"/>
      <c r="Q92" s="25"/>
      <c r="R92" s="5"/>
    </row>
    <row r="93" spans="1:18" ht="15.6" x14ac:dyDescent="0.3">
      <c r="A93" s="24"/>
      <c r="B93" s="25" t="s">
        <v>248</v>
      </c>
      <c r="C93" s="25"/>
      <c r="D93" s="25"/>
      <c r="E93" s="25"/>
      <c r="F93" s="40"/>
      <c r="G93" s="57"/>
      <c r="H93" s="127"/>
      <c r="I93" s="25"/>
      <c r="J93" s="25"/>
      <c r="K93" s="25"/>
      <c r="L93" s="25"/>
      <c r="M93" s="25"/>
      <c r="N93" s="34"/>
      <c r="O93" s="25"/>
      <c r="P93" s="53">
        <f>5429+332-1000-62+30+12</f>
        <v>4741</v>
      </c>
      <c r="Q93" s="25"/>
      <c r="R93" s="5"/>
    </row>
    <row r="94" spans="1:18" ht="15.6" x14ac:dyDescent="0.3">
      <c r="A94" s="24"/>
      <c r="B94" s="25" t="s">
        <v>249</v>
      </c>
      <c r="C94" s="25"/>
      <c r="D94" s="25"/>
      <c r="E94" s="25"/>
      <c r="F94" s="40"/>
      <c r="G94" s="57"/>
      <c r="H94" s="127"/>
      <c r="I94" s="25"/>
      <c r="J94" s="25"/>
      <c r="K94" s="25"/>
      <c r="L94" s="25"/>
      <c r="M94" s="25"/>
      <c r="N94" s="34"/>
      <c r="O94" s="25"/>
      <c r="P94" s="53">
        <f>105+14</f>
        <v>119</v>
      </c>
      <c r="Q94" s="25"/>
      <c r="R94" s="5"/>
    </row>
    <row r="95" spans="1:18" ht="15.6" x14ac:dyDescent="0.3">
      <c r="A95" s="24"/>
      <c r="B95" s="25" t="s">
        <v>250</v>
      </c>
      <c r="C95" s="25"/>
      <c r="D95" s="25"/>
      <c r="E95" s="25"/>
      <c r="F95" s="40"/>
      <c r="G95" s="57"/>
      <c r="H95" s="127"/>
      <c r="I95" s="25"/>
      <c r="J95" s="25"/>
      <c r="K95" s="25"/>
      <c r="L95" s="25"/>
      <c r="M95" s="25"/>
      <c r="N95" s="34"/>
      <c r="O95" s="25"/>
      <c r="P95" s="53">
        <v>223</v>
      </c>
      <c r="Q95" s="25"/>
      <c r="R95" s="5"/>
    </row>
    <row r="96" spans="1:18" ht="15.6" x14ac:dyDescent="0.3">
      <c r="A96" s="24"/>
      <c r="B96" s="25" t="s">
        <v>259</v>
      </c>
      <c r="C96" s="25"/>
      <c r="D96" s="25"/>
      <c r="E96" s="25"/>
      <c r="F96" s="40"/>
      <c r="G96" s="57"/>
      <c r="H96" s="127"/>
      <c r="I96" s="25"/>
      <c r="J96" s="25"/>
      <c r="K96" s="25"/>
      <c r="L96" s="25"/>
      <c r="M96" s="25"/>
      <c r="N96" s="34"/>
      <c r="O96" s="25"/>
      <c r="P96" s="53">
        <v>0</v>
      </c>
      <c r="Q96" s="25"/>
      <c r="R96" s="5"/>
    </row>
    <row r="97" spans="1:19" ht="15.6" x14ac:dyDescent="0.3">
      <c r="A97" s="24"/>
      <c r="B97" s="25" t="s">
        <v>160</v>
      </c>
      <c r="C97" s="25"/>
      <c r="D97" s="25"/>
      <c r="E97" s="25"/>
      <c r="F97" s="25"/>
      <c r="G97" s="25"/>
      <c r="H97" s="25"/>
      <c r="I97" s="25"/>
      <c r="J97" s="25"/>
      <c r="K97" s="25"/>
      <c r="L97" s="25"/>
      <c r="M97" s="25"/>
      <c r="N97" s="34"/>
      <c r="O97" s="25"/>
      <c r="P97" s="53">
        <v>0</v>
      </c>
      <c r="Q97" s="25"/>
      <c r="R97" s="5"/>
    </row>
    <row r="98" spans="1:19" ht="15.6" x14ac:dyDescent="0.3">
      <c r="A98" s="24"/>
      <c r="B98" s="25" t="s">
        <v>192</v>
      </c>
      <c r="C98" s="25"/>
      <c r="D98" s="25"/>
      <c r="E98" s="25"/>
      <c r="F98" s="25"/>
      <c r="G98" s="25"/>
      <c r="H98" s="25"/>
      <c r="I98" s="25"/>
      <c r="J98" s="25"/>
      <c r="K98" s="25"/>
      <c r="L98" s="25"/>
      <c r="M98" s="25"/>
      <c r="N98" s="34"/>
      <c r="O98" s="25"/>
      <c r="P98" s="53">
        <v>16</v>
      </c>
      <c r="Q98" s="25"/>
      <c r="R98" s="5"/>
    </row>
    <row r="99" spans="1:19" ht="15.6" x14ac:dyDescent="0.3">
      <c r="A99" s="24"/>
      <c r="B99" s="25" t="s">
        <v>35</v>
      </c>
      <c r="C99" s="25"/>
      <c r="D99" s="25"/>
      <c r="E99" s="25"/>
      <c r="F99" s="25"/>
      <c r="G99" s="25"/>
      <c r="H99" s="25"/>
      <c r="I99" s="25"/>
      <c r="J99" s="25"/>
      <c r="K99" s="25"/>
      <c r="L99" s="25"/>
      <c r="M99" s="25"/>
      <c r="N99" s="34">
        <f>SUM(N91:N98)</f>
        <v>3749</v>
      </c>
      <c r="O99" s="25"/>
      <c r="P99" s="54">
        <f>SUM(P91:P98)</f>
        <v>5099</v>
      </c>
      <c r="Q99" s="25"/>
      <c r="R99" s="5"/>
    </row>
    <row r="100" spans="1:19" ht="15.6" x14ac:dyDescent="0.3">
      <c r="A100" s="24"/>
      <c r="B100" s="25" t="s">
        <v>237</v>
      </c>
      <c r="C100" s="25"/>
      <c r="D100" s="25"/>
      <c r="E100" s="25"/>
      <c r="F100" s="25"/>
      <c r="G100" s="25"/>
      <c r="H100" s="25"/>
      <c r="I100" s="25"/>
      <c r="J100" s="25"/>
      <c r="K100" s="25"/>
      <c r="L100" s="25"/>
      <c r="M100" s="25"/>
      <c r="N100" s="34">
        <v>-3</v>
      </c>
      <c r="O100" s="25"/>
      <c r="P100" s="54">
        <f>-N100</f>
        <v>3</v>
      </c>
      <c r="Q100" s="25"/>
      <c r="R100" s="5"/>
    </row>
    <row r="101" spans="1:19" ht="15.6" x14ac:dyDescent="0.3">
      <c r="A101" s="24"/>
      <c r="B101" s="25" t="s">
        <v>36</v>
      </c>
      <c r="C101" s="25"/>
      <c r="D101" s="25"/>
      <c r="E101" s="25"/>
      <c r="F101" s="25"/>
      <c r="G101" s="25"/>
      <c r="H101" s="25"/>
      <c r="I101" s="25"/>
      <c r="J101" s="25"/>
      <c r="K101" s="25"/>
      <c r="L101" s="25"/>
      <c r="M101" s="25"/>
      <c r="N101" s="34">
        <f>-P101</f>
        <v>0</v>
      </c>
      <c r="O101" s="25"/>
      <c r="P101" s="53">
        <v>0</v>
      </c>
      <c r="Q101" s="25"/>
      <c r="R101" s="5"/>
    </row>
    <row r="102" spans="1:19" ht="15.6" x14ac:dyDescent="0.3">
      <c r="A102" s="24"/>
      <c r="B102" s="25" t="s">
        <v>268</v>
      </c>
      <c r="C102" s="25"/>
      <c r="D102" s="25"/>
      <c r="E102" s="25"/>
      <c r="F102" s="25"/>
      <c r="G102" s="25"/>
      <c r="H102" s="25"/>
      <c r="I102" s="25"/>
      <c r="J102" s="25"/>
      <c r="K102" s="25"/>
      <c r="L102" s="25"/>
      <c r="M102" s="25"/>
      <c r="N102" s="34"/>
      <c r="O102" s="25"/>
      <c r="P102" s="53">
        <v>108</v>
      </c>
      <c r="Q102" s="25"/>
      <c r="R102" s="5"/>
    </row>
    <row r="103" spans="1:19" ht="15.6" x14ac:dyDescent="0.3">
      <c r="A103" s="24"/>
      <c r="B103" s="25" t="s">
        <v>37</v>
      </c>
      <c r="C103" s="25"/>
      <c r="D103" s="25"/>
      <c r="E103" s="25"/>
      <c r="F103" s="25"/>
      <c r="G103" s="25"/>
      <c r="H103" s="25"/>
      <c r="I103" s="25"/>
      <c r="J103" s="25"/>
      <c r="K103" s="25"/>
      <c r="L103" s="25"/>
      <c r="M103" s="25"/>
      <c r="N103" s="34">
        <f>N99+N101+N100</f>
        <v>3746</v>
      </c>
      <c r="O103" s="25"/>
      <c r="P103" s="54">
        <f>P99+P101+P100+P102</f>
        <v>5210</v>
      </c>
      <c r="Q103" s="25"/>
      <c r="R103" s="5"/>
      <c r="S103" s="154"/>
    </row>
    <row r="104" spans="1:19" ht="15.6" x14ac:dyDescent="0.3">
      <c r="A104" s="24"/>
      <c r="B104" s="118" t="s">
        <v>38</v>
      </c>
      <c r="C104" s="25"/>
      <c r="D104" s="25"/>
      <c r="E104" s="25"/>
      <c r="F104" s="25"/>
      <c r="G104" s="25"/>
      <c r="H104" s="25"/>
      <c r="I104" s="25"/>
      <c r="J104" s="25"/>
      <c r="K104" s="25"/>
      <c r="L104" s="25"/>
      <c r="M104" s="25"/>
      <c r="N104" s="34"/>
      <c r="O104" s="25"/>
      <c r="P104" s="53"/>
      <c r="Q104" s="25"/>
      <c r="R104" s="5"/>
    </row>
    <row r="105" spans="1:19" ht="15.6" x14ac:dyDescent="0.3">
      <c r="A105" s="24">
        <v>1</v>
      </c>
      <c r="B105" s="25" t="s">
        <v>39</v>
      </c>
      <c r="C105" s="25"/>
      <c r="D105" s="25"/>
      <c r="E105" s="25"/>
      <c r="F105" s="25"/>
      <c r="G105" s="25"/>
      <c r="H105" s="25"/>
      <c r="I105" s="25"/>
      <c r="J105" s="25"/>
      <c r="K105" s="25"/>
      <c r="L105" s="25"/>
      <c r="M105" s="25"/>
      <c r="N105" s="25"/>
      <c r="O105" s="25"/>
      <c r="P105" s="53">
        <v>0</v>
      </c>
      <c r="Q105" s="25"/>
      <c r="R105" s="5"/>
    </row>
    <row r="106" spans="1:19" ht="15.6" x14ac:dyDescent="0.3">
      <c r="A106" s="24">
        <f>+A105+1</f>
        <v>2</v>
      </c>
      <c r="B106" s="25" t="s">
        <v>40</v>
      </c>
      <c r="C106" s="25"/>
      <c r="D106" s="25"/>
      <c r="E106" s="25"/>
      <c r="F106" s="25"/>
      <c r="G106" s="25"/>
      <c r="H106" s="25"/>
      <c r="I106" s="25"/>
      <c r="J106" s="25"/>
      <c r="K106" s="25"/>
      <c r="L106" s="25"/>
      <c r="M106" s="25"/>
      <c r="N106" s="25"/>
      <c r="O106" s="25"/>
      <c r="P106" s="53">
        <v>-2</v>
      </c>
      <c r="Q106" s="25"/>
      <c r="R106" s="5"/>
    </row>
    <row r="107" spans="1:19" ht="15.6" x14ac:dyDescent="0.3">
      <c r="A107" s="24">
        <f>+A106+1</f>
        <v>3</v>
      </c>
      <c r="B107" s="25" t="s">
        <v>226</v>
      </c>
      <c r="C107" s="25"/>
      <c r="D107" s="25"/>
      <c r="E107" s="25"/>
      <c r="F107" s="25"/>
      <c r="G107" s="25"/>
      <c r="H107" s="25"/>
      <c r="I107" s="25"/>
      <c r="J107" s="25"/>
      <c r="K107" s="25"/>
      <c r="L107" s="25"/>
      <c r="M107" s="25"/>
      <c r="N107" s="25"/>
      <c r="O107" s="25"/>
      <c r="P107" s="53">
        <f>-104-79-5</f>
        <v>-188</v>
      </c>
      <c r="Q107" s="25"/>
      <c r="R107" s="5"/>
    </row>
    <row r="108" spans="1:19" ht="15.6" x14ac:dyDescent="0.3">
      <c r="A108" s="24" t="s">
        <v>151</v>
      </c>
      <c r="B108" s="25" t="s">
        <v>131</v>
      </c>
      <c r="C108" s="25"/>
      <c r="D108" s="25"/>
      <c r="E108" s="25"/>
      <c r="F108" s="25"/>
      <c r="G108" s="25"/>
      <c r="H108" s="25"/>
      <c r="I108" s="25"/>
      <c r="J108" s="25"/>
      <c r="K108" s="25"/>
      <c r="L108" s="25"/>
      <c r="M108" s="25"/>
      <c r="N108" s="25"/>
      <c r="O108" s="25"/>
      <c r="P108" s="53">
        <v>-1223</v>
      </c>
      <c r="Q108" s="25"/>
      <c r="R108" s="5"/>
    </row>
    <row r="109" spans="1:19" ht="15.6" x14ac:dyDescent="0.3">
      <c r="A109" s="24" t="s">
        <v>152</v>
      </c>
      <c r="B109" s="25" t="s">
        <v>195</v>
      </c>
      <c r="C109" s="25"/>
      <c r="D109" s="25"/>
      <c r="E109" s="25"/>
      <c r="F109" s="25"/>
      <c r="G109" s="25"/>
      <c r="H109" s="25"/>
      <c r="I109" s="25"/>
      <c r="J109" s="25"/>
      <c r="K109" s="25"/>
      <c r="L109" s="25"/>
      <c r="M109" s="25"/>
      <c r="N109" s="25"/>
      <c r="O109" s="25"/>
      <c r="P109" s="53">
        <v>-595</v>
      </c>
      <c r="Q109" s="25"/>
      <c r="R109" s="5"/>
      <c r="S109" s="109"/>
    </row>
    <row r="110" spans="1:19" ht="15.6" x14ac:dyDescent="0.3">
      <c r="A110" s="24" t="s">
        <v>217</v>
      </c>
      <c r="B110" s="25" t="s">
        <v>196</v>
      </c>
      <c r="C110" s="25"/>
      <c r="D110" s="25"/>
      <c r="E110" s="25"/>
      <c r="F110" s="25"/>
      <c r="G110" s="25"/>
      <c r="H110" s="25"/>
      <c r="I110" s="25"/>
      <c r="J110" s="25"/>
      <c r="K110" s="25"/>
      <c r="L110" s="25"/>
      <c r="M110" s="25"/>
      <c r="N110" s="25"/>
      <c r="O110" s="25"/>
      <c r="P110" s="53">
        <v>-497</v>
      </c>
      <c r="Q110" s="25"/>
      <c r="R110" s="5"/>
      <c r="S110" s="109"/>
    </row>
    <row r="111" spans="1:19" ht="15.6" x14ac:dyDescent="0.3">
      <c r="A111" s="24" t="s">
        <v>218</v>
      </c>
      <c r="B111" s="25" t="s">
        <v>197</v>
      </c>
      <c r="C111" s="25"/>
      <c r="D111" s="25"/>
      <c r="E111" s="25"/>
      <c r="F111" s="25"/>
      <c r="G111" s="25"/>
      <c r="H111" s="25"/>
      <c r="I111" s="25"/>
      <c r="J111" s="25"/>
      <c r="K111" s="25"/>
      <c r="L111" s="25"/>
      <c r="M111" s="25"/>
      <c r="N111" s="25"/>
      <c r="O111" s="25"/>
      <c r="P111" s="53">
        <v>-791</v>
      </c>
      <c r="Q111" s="25"/>
      <c r="R111" s="5"/>
      <c r="S111" s="109"/>
    </row>
    <row r="112" spans="1:19" ht="15.6" x14ac:dyDescent="0.3">
      <c r="A112" s="24" t="s">
        <v>147</v>
      </c>
      <c r="B112" s="25" t="s">
        <v>146</v>
      </c>
      <c r="C112" s="25"/>
      <c r="D112" s="25"/>
      <c r="E112" s="25"/>
      <c r="F112" s="25"/>
      <c r="G112" s="25"/>
      <c r="H112" s="25"/>
      <c r="I112" s="25"/>
      <c r="J112" s="25"/>
      <c r="K112" s="25"/>
      <c r="L112" s="25"/>
      <c r="M112" s="25"/>
      <c r="N112" s="25"/>
      <c r="O112" s="25"/>
      <c r="P112" s="53">
        <v>-329</v>
      </c>
      <c r="Q112" s="25"/>
      <c r="R112" s="5"/>
      <c r="S112" s="109"/>
    </row>
    <row r="113" spans="1:19" ht="15.6" x14ac:dyDescent="0.3">
      <c r="A113" s="24" t="s">
        <v>148</v>
      </c>
      <c r="B113" s="25" t="s">
        <v>198</v>
      </c>
      <c r="C113" s="25"/>
      <c r="D113" s="25"/>
      <c r="E113" s="25"/>
      <c r="F113" s="25"/>
      <c r="G113" s="25"/>
      <c r="H113" s="25"/>
      <c r="I113" s="25"/>
      <c r="J113" s="25"/>
      <c r="K113" s="25"/>
      <c r="L113" s="25"/>
      <c r="M113" s="25"/>
      <c r="N113" s="25"/>
      <c r="O113" s="25"/>
      <c r="P113" s="53">
        <v>-312</v>
      </c>
      <c r="Q113" s="25"/>
      <c r="R113" s="5"/>
      <c r="S113" s="109"/>
    </row>
    <row r="114" spans="1:19" ht="15.6" x14ac:dyDescent="0.3">
      <c r="A114" s="24">
        <v>6</v>
      </c>
      <c r="B114" s="25" t="s">
        <v>41</v>
      </c>
      <c r="C114" s="25"/>
      <c r="D114" s="25"/>
      <c r="E114" s="25"/>
      <c r="F114" s="25"/>
      <c r="G114" s="25"/>
      <c r="H114" s="25"/>
      <c r="I114" s="25"/>
      <c r="J114" s="25"/>
      <c r="K114" s="25"/>
      <c r="L114" s="25"/>
      <c r="M114" s="25"/>
      <c r="N114" s="25"/>
      <c r="O114" s="25"/>
      <c r="P114" s="53">
        <v>-10</v>
      </c>
      <c r="Q114" s="25"/>
      <c r="R114" s="5"/>
    </row>
    <row r="115" spans="1:19" ht="15.6" x14ac:dyDescent="0.3">
      <c r="A115" s="24">
        <f t="shared" ref="A115:A120" si="0">+A114+1</f>
        <v>7</v>
      </c>
      <c r="B115" s="25" t="s">
        <v>53</v>
      </c>
      <c r="C115" s="25"/>
      <c r="D115" s="25"/>
      <c r="E115" s="25"/>
      <c r="F115" s="25"/>
      <c r="G115" s="25"/>
      <c r="H115" s="25"/>
      <c r="I115" s="25"/>
      <c r="J115" s="25"/>
      <c r="K115" s="25"/>
      <c r="L115" s="25"/>
      <c r="M115" s="25"/>
      <c r="N115" s="34">
        <f>-P115</f>
        <v>236</v>
      </c>
      <c r="O115" s="25"/>
      <c r="P115" s="53">
        <v>-236</v>
      </c>
      <c r="Q115" s="25"/>
      <c r="R115" s="5"/>
    </row>
    <row r="116" spans="1:19" ht="15.6" x14ac:dyDescent="0.3">
      <c r="A116" s="24">
        <f t="shared" si="0"/>
        <v>8</v>
      </c>
      <c r="B116" s="25" t="s">
        <v>149</v>
      </c>
      <c r="C116" s="25"/>
      <c r="D116" s="25"/>
      <c r="E116" s="25"/>
      <c r="F116" s="25"/>
      <c r="G116" s="25"/>
      <c r="H116" s="25"/>
      <c r="I116" s="25"/>
      <c r="J116" s="25"/>
      <c r="K116" s="25"/>
      <c r="L116" s="25"/>
      <c r="M116" s="25"/>
      <c r="N116" s="25"/>
      <c r="O116" s="25"/>
      <c r="P116" s="53">
        <v>0</v>
      </c>
      <c r="Q116" s="25"/>
      <c r="R116" s="5"/>
    </row>
    <row r="117" spans="1:19" ht="15.6" x14ac:dyDescent="0.3">
      <c r="A117" s="24">
        <f t="shared" si="0"/>
        <v>9</v>
      </c>
      <c r="B117" s="25" t="s">
        <v>42</v>
      </c>
      <c r="C117" s="25"/>
      <c r="D117" s="25"/>
      <c r="E117" s="25"/>
      <c r="F117" s="25"/>
      <c r="G117" s="25"/>
      <c r="H117" s="25"/>
      <c r="I117" s="25"/>
      <c r="J117" s="25"/>
      <c r="K117" s="25"/>
      <c r="L117" s="25"/>
      <c r="M117" s="25"/>
      <c r="N117" s="25"/>
      <c r="O117" s="25"/>
      <c r="P117" s="53">
        <v>0</v>
      </c>
      <c r="Q117" s="25"/>
      <c r="R117" s="5"/>
    </row>
    <row r="118" spans="1:19" ht="15.6" x14ac:dyDescent="0.3">
      <c r="A118" s="24">
        <f t="shared" si="0"/>
        <v>10</v>
      </c>
      <c r="B118" s="25" t="s">
        <v>43</v>
      </c>
      <c r="C118" s="25"/>
      <c r="D118" s="25"/>
      <c r="E118" s="25"/>
      <c r="F118" s="25"/>
      <c r="G118" s="25"/>
      <c r="H118" s="25"/>
      <c r="I118" s="25"/>
      <c r="J118" s="25"/>
      <c r="K118" s="25"/>
      <c r="L118" s="25"/>
      <c r="M118" s="25"/>
      <c r="N118" s="25"/>
      <c r="O118" s="25"/>
      <c r="P118" s="53">
        <v>0</v>
      </c>
      <c r="Q118" s="25"/>
      <c r="R118" s="5"/>
    </row>
    <row r="119" spans="1:19" ht="15.6" x14ac:dyDescent="0.3">
      <c r="A119" s="24">
        <f t="shared" si="0"/>
        <v>11</v>
      </c>
      <c r="B119" s="25" t="s">
        <v>215</v>
      </c>
      <c r="C119" s="25"/>
      <c r="D119" s="25"/>
      <c r="E119" s="25"/>
      <c r="F119" s="25"/>
      <c r="G119" s="25"/>
      <c r="H119" s="25"/>
      <c r="I119" s="25"/>
      <c r="J119" s="25"/>
      <c r="K119" s="25"/>
      <c r="L119" s="25"/>
      <c r="M119" s="25"/>
      <c r="N119" s="25"/>
      <c r="O119" s="25"/>
      <c r="P119" s="53">
        <v>-211</v>
      </c>
      <c r="Q119" s="25"/>
      <c r="R119" s="5"/>
    </row>
    <row r="120" spans="1:19" ht="15.6" x14ac:dyDescent="0.3">
      <c r="A120" s="24">
        <f t="shared" si="0"/>
        <v>12</v>
      </c>
      <c r="B120" s="25" t="s">
        <v>150</v>
      </c>
      <c r="C120" s="25"/>
      <c r="D120" s="25"/>
      <c r="E120" s="25"/>
      <c r="F120" s="25"/>
      <c r="G120" s="25"/>
      <c r="H120" s="25"/>
      <c r="I120" s="25"/>
      <c r="J120" s="25"/>
      <c r="K120" s="25"/>
      <c r="L120" s="25"/>
      <c r="M120" s="25"/>
      <c r="N120" s="25"/>
      <c r="O120" s="25"/>
      <c r="P120" s="53">
        <f>-P103-SUM(P105:P119)</f>
        <v>-816</v>
      </c>
      <c r="Q120" s="25"/>
      <c r="R120" s="5"/>
    </row>
    <row r="121" spans="1:19" ht="15.6" x14ac:dyDescent="0.3">
      <c r="A121" s="24"/>
      <c r="B121" s="118" t="s">
        <v>44</v>
      </c>
      <c r="C121" s="25"/>
      <c r="D121" s="25"/>
      <c r="E121" s="25"/>
      <c r="F121" s="25"/>
      <c r="G121" s="25"/>
      <c r="H121" s="25"/>
      <c r="I121" s="25"/>
      <c r="J121" s="25"/>
      <c r="K121" s="25"/>
      <c r="L121" s="25"/>
      <c r="M121" s="25"/>
      <c r="N121" s="25"/>
      <c r="O121" s="25"/>
      <c r="P121" s="59"/>
      <c r="Q121" s="25"/>
      <c r="R121" s="5"/>
    </row>
    <row r="122" spans="1:19" ht="15.6" x14ac:dyDescent="0.3">
      <c r="A122" s="24"/>
      <c r="B122" s="25" t="s">
        <v>45</v>
      </c>
      <c r="C122" s="25"/>
      <c r="D122" s="25"/>
      <c r="E122" s="25"/>
      <c r="F122" s="25"/>
      <c r="G122" s="25"/>
      <c r="H122" s="25"/>
      <c r="I122" s="25"/>
      <c r="J122" s="25"/>
      <c r="K122" s="25"/>
      <c r="L122" s="25"/>
      <c r="M122" s="25"/>
      <c r="N122" s="34">
        <v>-3</v>
      </c>
      <c r="O122" s="34"/>
      <c r="P122" s="53"/>
      <c r="Q122" s="25"/>
      <c r="R122" s="5"/>
    </row>
    <row r="123" spans="1:19" ht="15.6" x14ac:dyDescent="0.3">
      <c r="A123" s="24"/>
      <c r="B123" s="25" t="s">
        <v>46</v>
      </c>
      <c r="C123" s="25"/>
      <c r="D123" s="25"/>
      <c r="E123" s="25"/>
      <c r="F123" s="25"/>
      <c r="G123" s="25"/>
      <c r="H123" s="25"/>
      <c r="I123" s="25"/>
      <c r="J123" s="25"/>
      <c r="K123" s="25"/>
      <c r="L123" s="25"/>
      <c r="M123" s="25"/>
      <c r="N123" s="34">
        <f>-M171</f>
        <v>-1490</v>
      </c>
      <c r="O123" s="34"/>
      <c r="P123" s="53"/>
      <c r="Q123" s="25"/>
      <c r="R123" s="5"/>
    </row>
    <row r="124" spans="1:19" ht="15.6" x14ac:dyDescent="0.3">
      <c r="A124" s="24"/>
      <c r="B124" s="25" t="s">
        <v>199</v>
      </c>
      <c r="C124" s="25"/>
      <c r="D124" s="25"/>
      <c r="E124" s="25"/>
      <c r="F124" s="25"/>
      <c r="G124" s="25"/>
      <c r="H124" s="25"/>
      <c r="I124" s="25"/>
      <c r="J124" s="25"/>
      <c r="K124" s="25"/>
      <c r="L124" s="25"/>
      <c r="M124" s="25"/>
      <c r="N124" s="34">
        <v>-777</v>
      </c>
      <c r="O124" s="34"/>
      <c r="P124" s="53"/>
      <c r="Q124" s="25"/>
      <c r="R124" s="5"/>
    </row>
    <row r="125" spans="1:19" ht="15.6" x14ac:dyDescent="0.3">
      <c r="A125" s="24"/>
      <c r="B125" s="25" t="s">
        <v>200</v>
      </c>
      <c r="C125" s="25"/>
      <c r="D125" s="25"/>
      <c r="E125" s="25"/>
      <c r="F125" s="25"/>
      <c r="G125" s="25"/>
      <c r="H125" s="25"/>
      <c r="I125" s="25"/>
      <c r="J125" s="25"/>
      <c r="K125" s="25"/>
      <c r="L125" s="25"/>
      <c r="M125" s="25"/>
      <c r="N125" s="34">
        <v>-676</v>
      </c>
      <c r="O125" s="34"/>
      <c r="P125" s="53"/>
      <c r="Q125" s="25"/>
      <c r="R125" s="5"/>
    </row>
    <row r="126" spans="1:19" ht="15.6" x14ac:dyDescent="0.3">
      <c r="A126" s="24"/>
      <c r="B126" s="25" t="s">
        <v>201</v>
      </c>
      <c r="C126" s="25"/>
      <c r="D126" s="25"/>
      <c r="E126" s="25"/>
      <c r="F126" s="25"/>
      <c r="G126" s="25"/>
      <c r="H126" s="25"/>
      <c r="I126" s="25"/>
      <c r="J126" s="25"/>
      <c r="K126" s="25"/>
      <c r="L126" s="25"/>
      <c r="M126" s="25"/>
      <c r="N126" s="34">
        <v>-1036</v>
      </c>
      <c r="O126" s="34"/>
      <c r="P126" s="53"/>
      <c r="Q126" s="25"/>
      <c r="R126" s="5"/>
    </row>
    <row r="127" spans="1:19" ht="15.6" x14ac:dyDescent="0.3">
      <c r="A127" s="24"/>
      <c r="B127" s="25" t="s">
        <v>159</v>
      </c>
      <c r="C127" s="25"/>
      <c r="D127" s="25"/>
      <c r="E127" s="25"/>
      <c r="F127" s="25"/>
      <c r="G127" s="25"/>
      <c r="H127" s="25"/>
      <c r="I127" s="25"/>
      <c r="J127" s="25"/>
      <c r="K127" s="25"/>
      <c r="L127" s="25"/>
      <c r="M127" s="25"/>
      <c r="N127" s="34">
        <v>0</v>
      </c>
      <c r="O127" s="34"/>
      <c r="P127" s="53"/>
      <c r="Q127" s="25"/>
      <c r="R127" s="5"/>
    </row>
    <row r="128" spans="1:19" ht="15.6" x14ac:dyDescent="0.3">
      <c r="A128" s="24"/>
      <c r="B128" s="25" t="s">
        <v>214</v>
      </c>
      <c r="C128" s="25"/>
      <c r="D128" s="25"/>
      <c r="E128" s="25"/>
      <c r="F128" s="25"/>
      <c r="G128" s="25"/>
      <c r="H128" s="25"/>
      <c r="I128" s="25"/>
      <c r="J128" s="25"/>
      <c r="K128" s="25"/>
      <c r="L128" s="25"/>
      <c r="M128" s="25"/>
      <c r="N128" s="34">
        <v>0</v>
      </c>
      <c r="O128" s="34"/>
      <c r="P128" s="53"/>
      <c r="Q128" s="25"/>
      <c r="R128" s="5"/>
    </row>
    <row r="129" spans="1:19" ht="15.6" x14ac:dyDescent="0.3">
      <c r="A129" s="24"/>
      <c r="B129" s="25" t="s">
        <v>47</v>
      </c>
      <c r="C129" s="25"/>
      <c r="D129" s="25"/>
      <c r="E129" s="25"/>
      <c r="F129" s="25"/>
      <c r="G129" s="25"/>
      <c r="H129" s="25"/>
      <c r="I129" s="25"/>
      <c r="J129" s="25"/>
      <c r="K129" s="25"/>
      <c r="L129" s="25"/>
      <c r="M129" s="25"/>
      <c r="N129" s="34">
        <f>SUM(N122:N128)</f>
        <v>-3982</v>
      </c>
      <c r="O129" s="34"/>
      <c r="P129" s="34">
        <f>SUM(P104:P128)</f>
        <v>-5210</v>
      </c>
      <c r="Q129" s="25"/>
      <c r="R129" s="5"/>
    </row>
    <row r="130" spans="1:19" ht="15.6" x14ac:dyDescent="0.3">
      <c r="A130" s="24"/>
      <c r="B130" s="25" t="s">
        <v>48</v>
      </c>
      <c r="C130" s="25"/>
      <c r="D130" s="25"/>
      <c r="E130" s="25"/>
      <c r="F130" s="25"/>
      <c r="G130" s="25"/>
      <c r="H130" s="25"/>
      <c r="I130" s="25"/>
      <c r="J130" s="25"/>
      <c r="K130" s="25"/>
      <c r="L130" s="25"/>
      <c r="M130" s="25"/>
      <c r="N130" s="34">
        <f>N103+N129+N115</f>
        <v>0</v>
      </c>
      <c r="O130" s="34"/>
      <c r="P130" s="34">
        <f>P103+P129</f>
        <v>0</v>
      </c>
      <c r="Q130" s="25"/>
      <c r="R130" s="5"/>
    </row>
    <row r="131" spans="1:19" ht="15.6" x14ac:dyDescent="0.3">
      <c r="A131" s="24"/>
      <c r="B131" s="25"/>
      <c r="C131" s="25"/>
      <c r="D131" s="25"/>
      <c r="E131" s="25"/>
      <c r="F131" s="25"/>
      <c r="G131" s="25"/>
      <c r="H131" s="25"/>
      <c r="I131" s="25"/>
      <c r="J131" s="25"/>
      <c r="K131" s="25"/>
      <c r="L131" s="25"/>
      <c r="M131" s="25"/>
      <c r="N131" s="34"/>
      <c r="O131" s="34"/>
      <c r="P131" s="34"/>
      <c r="Q131" s="25"/>
      <c r="R131" s="5"/>
    </row>
    <row r="132" spans="1:19" ht="15.6" x14ac:dyDescent="0.3">
      <c r="A132" s="6"/>
      <c r="B132" s="146"/>
      <c r="C132" s="146"/>
      <c r="D132" s="146"/>
      <c r="E132" s="146"/>
      <c r="F132" s="146"/>
      <c r="G132" s="146"/>
      <c r="H132" s="146"/>
      <c r="I132" s="146"/>
      <c r="J132" s="146"/>
      <c r="K132" s="146"/>
      <c r="L132" s="146"/>
      <c r="M132" s="146"/>
      <c r="N132" s="147"/>
      <c r="O132" s="147"/>
      <c r="P132" s="147"/>
      <c r="Q132" s="146"/>
      <c r="R132" s="5"/>
    </row>
    <row r="133" spans="1:19" ht="18" thickBot="1" x14ac:dyDescent="0.35">
      <c r="A133" s="101"/>
      <c r="B133" s="102" t="str">
        <f>B65</f>
        <v>PM7 INVESTOR REPORT QUARTER ENDING APRIL 2009</v>
      </c>
      <c r="C133" s="103"/>
      <c r="D133" s="103"/>
      <c r="E133" s="103"/>
      <c r="F133" s="103"/>
      <c r="G133" s="103"/>
      <c r="H133" s="103"/>
      <c r="I133" s="103"/>
      <c r="J133" s="103"/>
      <c r="K133" s="103"/>
      <c r="L133" s="103"/>
      <c r="M133" s="103"/>
      <c r="N133" s="103"/>
      <c r="O133" s="103"/>
      <c r="P133" s="106"/>
      <c r="Q133" s="105"/>
      <c r="R133" s="5"/>
    </row>
    <row r="134" spans="1:19" ht="15.6" x14ac:dyDescent="0.3">
      <c r="A134" s="2"/>
      <c r="B134" s="60" t="s">
        <v>49</v>
      </c>
      <c r="C134" s="4"/>
      <c r="D134" s="4"/>
      <c r="E134" s="4"/>
      <c r="F134" s="4"/>
      <c r="G134" s="4"/>
      <c r="H134" s="4"/>
      <c r="I134" s="4"/>
      <c r="J134" s="4"/>
      <c r="K134" s="4"/>
      <c r="L134" s="4"/>
      <c r="M134" s="4"/>
      <c r="N134" s="4"/>
      <c r="O134" s="4"/>
      <c r="P134" s="50"/>
      <c r="Q134" s="4"/>
      <c r="R134" s="5"/>
    </row>
    <row r="135" spans="1:19" ht="15.6" x14ac:dyDescent="0.3">
      <c r="A135" s="6"/>
      <c r="B135" s="21"/>
      <c r="C135" s="8"/>
      <c r="D135" s="8"/>
      <c r="E135" s="8"/>
      <c r="F135" s="8"/>
      <c r="G135" s="8"/>
      <c r="H135" s="8"/>
      <c r="I135" s="8"/>
      <c r="J135" s="8"/>
      <c r="K135" s="8"/>
      <c r="L135" s="8"/>
      <c r="M135" s="8"/>
      <c r="N135" s="8"/>
      <c r="O135" s="8"/>
      <c r="P135" s="52"/>
      <c r="Q135" s="8"/>
      <c r="R135" s="5"/>
    </row>
    <row r="136" spans="1:19" ht="15.6" x14ac:dyDescent="0.3">
      <c r="A136" s="6"/>
      <c r="B136" s="119" t="s">
        <v>50</v>
      </c>
      <c r="C136" s="8"/>
      <c r="D136" s="8"/>
      <c r="E136" s="8"/>
      <c r="F136" s="8"/>
      <c r="G136" s="8"/>
      <c r="H136" s="8"/>
      <c r="I136" s="8"/>
      <c r="J136" s="8"/>
      <c r="K136" s="8"/>
      <c r="L136" s="8"/>
      <c r="M136" s="8"/>
      <c r="N136" s="8"/>
      <c r="O136" s="8"/>
      <c r="P136" s="52"/>
      <c r="Q136" s="8"/>
      <c r="R136" s="5"/>
    </row>
    <row r="137" spans="1:19" ht="15.6" x14ac:dyDescent="0.3">
      <c r="A137" s="24"/>
      <c r="B137" s="25" t="s">
        <v>51</v>
      </c>
      <c r="C137" s="25"/>
      <c r="D137" s="25"/>
      <c r="E137" s="25"/>
      <c r="F137" s="25"/>
      <c r="G137" s="25"/>
      <c r="H137" s="25"/>
      <c r="I137" s="25"/>
      <c r="J137" s="25"/>
      <c r="K137" s="25"/>
      <c r="L137" s="25"/>
      <c r="M137" s="25"/>
      <c r="N137" s="25"/>
      <c r="O137" s="25"/>
      <c r="P137" s="53">
        <f>+P36*0.022</f>
        <v>19815.399999999998</v>
      </c>
      <c r="Q137" s="25"/>
      <c r="R137" s="5"/>
    </row>
    <row r="138" spans="1:19" ht="15.6" x14ac:dyDescent="0.3">
      <c r="A138" s="24"/>
      <c r="B138" s="25" t="s">
        <v>52</v>
      </c>
      <c r="C138" s="25"/>
      <c r="D138" s="25"/>
      <c r="E138" s="25"/>
      <c r="F138" s="25"/>
      <c r="G138" s="25"/>
      <c r="H138" s="25"/>
      <c r="I138" s="25"/>
      <c r="J138" s="25"/>
      <c r="K138" s="25"/>
      <c r="L138" s="25"/>
      <c r="M138" s="25"/>
      <c r="N138" s="25"/>
      <c r="O138" s="25"/>
      <c r="P138" s="53">
        <v>19815</v>
      </c>
      <c r="Q138" s="25"/>
      <c r="R138" s="5"/>
    </row>
    <row r="139" spans="1:19" ht="15.6" x14ac:dyDescent="0.3">
      <c r="A139" s="24"/>
      <c r="B139" s="25" t="s">
        <v>161</v>
      </c>
      <c r="C139" s="25"/>
      <c r="D139" s="25"/>
      <c r="E139" s="25"/>
      <c r="F139" s="25"/>
      <c r="G139" s="25"/>
      <c r="H139" s="25"/>
      <c r="I139" s="25"/>
      <c r="J139" s="25"/>
      <c r="K139" s="25"/>
      <c r="L139" s="25"/>
      <c r="M139" s="25"/>
      <c r="N139" s="25"/>
      <c r="O139" s="25"/>
      <c r="P139" s="53">
        <v>0</v>
      </c>
      <c r="Q139" s="25"/>
      <c r="R139" s="5"/>
    </row>
    <row r="140" spans="1:19" ht="15.6" x14ac:dyDescent="0.3">
      <c r="A140" s="24"/>
      <c r="B140" s="25" t="s">
        <v>144</v>
      </c>
      <c r="C140" s="25"/>
      <c r="D140" s="25"/>
      <c r="E140" s="25"/>
      <c r="F140" s="25"/>
      <c r="G140" s="25"/>
      <c r="H140" s="25"/>
      <c r="I140" s="25"/>
      <c r="J140" s="25"/>
      <c r="K140" s="25"/>
      <c r="L140" s="25"/>
      <c r="M140" s="25"/>
      <c r="N140" s="25"/>
      <c r="O140" s="25"/>
      <c r="P140" s="53">
        <v>0</v>
      </c>
      <c r="Q140" s="25"/>
      <c r="R140" s="5"/>
    </row>
    <row r="141" spans="1:19" ht="15.6" x14ac:dyDescent="0.3">
      <c r="A141" s="24"/>
      <c r="B141" s="25" t="s">
        <v>145</v>
      </c>
      <c r="C141" s="25"/>
      <c r="D141" s="25"/>
      <c r="E141" s="25"/>
      <c r="F141" s="25"/>
      <c r="G141" s="25"/>
      <c r="H141" s="25"/>
      <c r="I141" s="25"/>
      <c r="J141" s="25"/>
      <c r="K141" s="25"/>
      <c r="L141" s="25"/>
      <c r="M141" s="25"/>
      <c r="N141" s="25"/>
      <c r="O141" s="25"/>
      <c r="P141" s="53">
        <v>0</v>
      </c>
      <c r="Q141" s="25"/>
      <c r="R141" s="5"/>
    </row>
    <row r="142" spans="1:19" ht="15.6" x14ac:dyDescent="0.3">
      <c r="A142" s="24"/>
      <c r="B142" s="25" t="s">
        <v>53</v>
      </c>
      <c r="C142" s="25"/>
      <c r="D142" s="25"/>
      <c r="E142" s="25"/>
      <c r="F142" s="25"/>
      <c r="G142" s="25"/>
      <c r="H142" s="25"/>
      <c r="I142" s="25"/>
      <c r="J142" s="25"/>
      <c r="K142" s="25"/>
      <c r="L142" s="25"/>
      <c r="M142" s="25"/>
      <c r="N142" s="25"/>
      <c r="O142" s="25"/>
      <c r="P142" s="53">
        <v>0</v>
      </c>
      <c r="Q142" s="25"/>
      <c r="R142" s="5"/>
    </row>
    <row r="143" spans="1:19" ht="15.6" x14ac:dyDescent="0.3">
      <c r="A143" s="24"/>
      <c r="B143" s="25" t="s">
        <v>153</v>
      </c>
      <c r="C143" s="25"/>
      <c r="D143" s="25"/>
      <c r="E143" s="25"/>
      <c r="F143" s="25"/>
      <c r="G143" s="25"/>
      <c r="H143" s="25"/>
      <c r="I143" s="25"/>
      <c r="J143" s="25"/>
      <c r="K143" s="25"/>
      <c r="L143" s="25"/>
      <c r="M143" s="25"/>
      <c r="N143" s="25"/>
      <c r="O143" s="25"/>
      <c r="P143" s="53">
        <v>0</v>
      </c>
      <c r="Q143" s="25"/>
      <c r="R143" s="5"/>
    </row>
    <row r="144" spans="1:19" ht="15.6" x14ac:dyDescent="0.3">
      <c r="A144" s="24"/>
      <c r="B144" s="25" t="s">
        <v>202</v>
      </c>
      <c r="C144" s="25"/>
      <c r="D144" s="25"/>
      <c r="E144" s="25"/>
      <c r="F144" s="25"/>
      <c r="G144" s="25"/>
      <c r="H144" s="25"/>
      <c r="I144" s="25"/>
      <c r="J144" s="25"/>
      <c r="K144" s="25"/>
      <c r="L144" s="25"/>
      <c r="M144" s="25"/>
      <c r="N144" s="25"/>
      <c r="O144" s="25"/>
      <c r="P144" s="53">
        <v>0</v>
      </c>
      <c r="Q144" s="25"/>
      <c r="R144" s="5"/>
      <c r="S144" s="109"/>
    </row>
    <row r="145" spans="1:18" ht="15.6" x14ac:dyDescent="0.3">
      <c r="A145" s="24"/>
      <c r="B145" s="25" t="s">
        <v>54</v>
      </c>
      <c r="C145" s="25"/>
      <c r="D145" s="25"/>
      <c r="E145" s="25"/>
      <c r="F145" s="25"/>
      <c r="G145" s="25"/>
      <c r="H145" s="25"/>
      <c r="I145" s="25"/>
      <c r="J145" s="25"/>
      <c r="K145" s="25"/>
      <c r="L145" s="25"/>
      <c r="M145" s="25"/>
      <c r="N145" s="25"/>
      <c r="O145" s="25"/>
      <c r="P145" s="53">
        <f>SUM(P138:P144)</f>
        <v>19815</v>
      </c>
      <c r="Q145" s="25"/>
      <c r="R145" s="5"/>
    </row>
    <row r="146" spans="1:18" ht="15.6" x14ac:dyDescent="0.3">
      <c r="A146" s="24"/>
      <c r="B146" s="25"/>
      <c r="C146" s="25"/>
      <c r="D146" s="25"/>
      <c r="E146" s="25"/>
      <c r="F146" s="25"/>
      <c r="G146" s="25"/>
      <c r="H146" s="25"/>
      <c r="I146" s="25"/>
      <c r="J146" s="25"/>
      <c r="K146" s="25"/>
      <c r="L146" s="25"/>
      <c r="M146" s="25"/>
      <c r="N146" s="25"/>
      <c r="O146" s="25"/>
      <c r="P146" s="61"/>
      <c r="Q146" s="25"/>
      <c r="R146" s="5"/>
    </row>
    <row r="147" spans="1:18" ht="15.6" x14ac:dyDescent="0.3">
      <c r="A147" s="6"/>
      <c r="B147" s="119" t="s">
        <v>28</v>
      </c>
      <c r="C147" s="8"/>
      <c r="D147" s="8"/>
      <c r="E147" s="8"/>
      <c r="F147" s="8"/>
      <c r="G147" s="8"/>
      <c r="H147" s="8"/>
      <c r="I147" s="8"/>
      <c r="J147" s="8"/>
      <c r="K147" s="8"/>
      <c r="L147" s="8"/>
      <c r="M147" s="8"/>
      <c r="N147" s="8"/>
      <c r="O147" s="8"/>
      <c r="P147" s="52"/>
      <c r="Q147" s="8"/>
      <c r="R147" s="5"/>
    </row>
    <row r="148" spans="1:18" ht="15.6" x14ac:dyDescent="0.3">
      <c r="A148" s="24"/>
      <c r="B148" s="25" t="s">
        <v>55</v>
      </c>
      <c r="C148" s="25"/>
      <c r="D148" s="25"/>
      <c r="E148" s="25"/>
      <c r="F148" s="25"/>
      <c r="G148" s="25"/>
      <c r="H148" s="25"/>
      <c r="I148" s="25"/>
      <c r="J148" s="25"/>
      <c r="K148" s="25"/>
      <c r="L148" s="25"/>
      <c r="M148" s="25"/>
      <c r="N148" s="25"/>
      <c r="O148" s="25"/>
      <c r="P148" s="59" t="s">
        <v>137</v>
      </c>
      <c r="Q148" s="25"/>
      <c r="R148" s="5"/>
    </row>
    <row r="149" spans="1:18" ht="15.6" x14ac:dyDescent="0.3">
      <c r="A149" s="24"/>
      <c r="B149" s="25" t="s">
        <v>56</v>
      </c>
      <c r="C149" s="141"/>
      <c r="D149" s="141"/>
      <c r="E149" s="141"/>
      <c r="F149" s="141"/>
      <c r="G149" s="141"/>
      <c r="H149" s="141"/>
      <c r="I149" s="141"/>
      <c r="J149" s="141"/>
      <c r="K149" s="141"/>
      <c r="L149" s="141"/>
      <c r="M149" s="141"/>
      <c r="N149" s="141"/>
      <c r="O149" s="141"/>
      <c r="P149" s="59" t="s">
        <v>137</v>
      </c>
      <c r="Q149" s="25"/>
      <c r="R149" s="5"/>
    </row>
    <row r="150" spans="1:18" ht="15.6" x14ac:dyDescent="0.3">
      <c r="A150" s="24"/>
      <c r="B150" s="25" t="s">
        <v>57</v>
      </c>
      <c r="C150" s="25"/>
      <c r="D150" s="25"/>
      <c r="E150" s="25"/>
      <c r="F150" s="25"/>
      <c r="G150" s="25"/>
      <c r="H150" s="25"/>
      <c r="I150" s="25"/>
      <c r="J150" s="25"/>
      <c r="K150" s="25"/>
      <c r="L150" s="25"/>
      <c r="M150" s="25"/>
      <c r="N150" s="25"/>
      <c r="O150" s="25"/>
      <c r="P150" s="59" t="s">
        <v>137</v>
      </c>
      <c r="Q150" s="25"/>
      <c r="R150" s="5"/>
    </row>
    <row r="151" spans="1:18" ht="15.6" x14ac:dyDescent="0.3">
      <c r="A151" s="24"/>
      <c r="B151" s="25" t="s">
        <v>58</v>
      </c>
      <c r="C151" s="25"/>
      <c r="D151" s="25"/>
      <c r="E151" s="25"/>
      <c r="F151" s="25"/>
      <c r="G151" s="25"/>
      <c r="H151" s="25"/>
      <c r="I151" s="25"/>
      <c r="J151" s="25"/>
      <c r="K151" s="25"/>
      <c r="L151" s="25"/>
      <c r="M151" s="25"/>
      <c r="N151" s="25"/>
      <c r="O151" s="25"/>
      <c r="P151" s="59" t="s">
        <v>137</v>
      </c>
      <c r="Q151" s="25"/>
      <c r="R151" s="5"/>
    </row>
    <row r="152" spans="1:18" ht="15.6" x14ac:dyDescent="0.3">
      <c r="A152" s="24"/>
      <c r="B152" s="25"/>
      <c r="C152" s="25"/>
      <c r="D152" s="25"/>
      <c r="E152" s="25"/>
      <c r="F152" s="25"/>
      <c r="G152" s="25"/>
      <c r="H152" s="25"/>
      <c r="I152" s="25"/>
      <c r="J152" s="25"/>
      <c r="K152" s="25"/>
      <c r="L152" s="25"/>
      <c r="M152" s="25"/>
      <c r="N152" s="25"/>
      <c r="O152" s="25"/>
      <c r="P152" s="61"/>
      <c r="Q152" s="25"/>
      <c r="R152" s="5"/>
    </row>
    <row r="153" spans="1:18" ht="15.6" x14ac:dyDescent="0.3">
      <c r="A153" s="6"/>
      <c r="B153" s="119" t="s">
        <v>59</v>
      </c>
      <c r="C153" s="8"/>
      <c r="D153" s="8"/>
      <c r="E153" s="8"/>
      <c r="F153" s="8"/>
      <c r="G153" s="8"/>
      <c r="H153" s="8"/>
      <c r="I153" s="8"/>
      <c r="J153" s="8"/>
      <c r="K153" s="8"/>
      <c r="L153" s="8"/>
      <c r="M153" s="8"/>
      <c r="N153" s="8"/>
      <c r="O153" s="8"/>
      <c r="P153" s="63"/>
      <c r="Q153" s="8"/>
      <c r="R153" s="5"/>
    </row>
    <row r="154" spans="1:18" ht="15.6" x14ac:dyDescent="0.3">
      <c r="A154" s="24"/>
      <c r="B154" s="25" t="s">
        <v>60</v>
      </c>
      <c r="C154" s="25"/>
      <c r="D154" s="25"/>
      <c r="E154" s="25"/>
      <c r="F154" s="25"/>
      <c r="G154" s="25"/>
      <c r="H154" s="25"/>
      <c r="I154" s="25"/>
      <c r="J154" s="25"/>
      <c r="K154" s="25"/>
      <c r="L154" s="25"/>
      <c r="M154" s="25"/>
      <c r="N154" s="25"/>
      <c r="O154" s="25"/>
      <c r="P154" s="53">
        <v>0</v>
      </c>
      <c r="Q154" s="25"/>
      <c r="R154" s="5"/>
    </row>
    <row r="155" spans="1:18" ht="15.6" x14ac:dyDescent="0.3">
      <c r="A155" s="24"/>
      <c r="B155" s="25" t="s">
        <v>61</v>
      </c>
      <c r="C155" s="25"/>
      <c r="D155" s="25"/>
      <c r="E155" s="25"/>
      <c r="F155" s="25"/>
      <c r="G155" s="25"/>
      <c r="H155" s="25"/>
      <c r="I155" s="25"/>
      <c r="J155" s="25"/>
      <c r="K155" s="25"/>
      <c r="L155" s="25"/>
      <c r="M155" s="25"/>
      <c r="N155" s="25"/>
      <c r="O155" s="25"/>
      <c r="P155" s="53">
        <f>-P115</f>
        <v>236</v>
      </c>
      <c r="Q155" s="25"/>
      <c r="R155" s="5"/>
    </row>
    <row r="156" spans="1:18" ht="15.6" x14ac:dyDescent="0.3">
      <c r="A156" s="24"/>
      <c r="B156" s="25" t="s">
        <v>62</v>
      </c>
      <c r="C156" s="25"/>
      <c r="D156" s="25"/>
      <c r="E156" s="25"/>
      <c r="F156" s="25"/>
      <c r="G156" s="25"/>
      <c r="H156" s="25"/>
      <c r="I156" s="25"/>
      <c r="J156" s="25"/>
      <c r="K156" s="25"/>
      <c r="L156" s="25"/>
      <c r="M156" s="25"/>
      <c r="N156" s="25"/>
      <c r="O156" s="25"/>
      <c r="P156" s="53">
        <f>P155+P154</f>
        <v>236</v>
      </c>
      <c r="Q156" s="25"/>
      <c r="R156" s="5"/>
    </row>
    <row r="157" spans="1:18" ht="15.6" x14ac:dyDescent="0.3">
      <c r="A157" s="24"/>
      <c r="B157" s="403" t="s">
        <v>297</v>
      </c>
      <c r="C157" s="25"/>
      <c r="D157" s="25"/>
      <c r="E157" s="25"/>
      <c r="F157" s="25"/>
      <c r="G157" s="25"/>
      <c r="H157" s="25"/>
      <c r="I157" s="25"/>
      <c r="J157" s="25"/>
      <c r="K157" s="25"/>
      <c r="L157" s="25"/>
      <c r="M157" s="25"/>
      <c r="N157" s="25"/>
      <c r="O157" s="25"/>
      <c r="P157" s="53">
        <f>P115</f>
        <v>-236</v>
      </c>
      <c r="Q157" s="25"/>
      <c r="R157" s="5"/>
    </row>
    <row r="158" spans="1:18" ht="15.6" x14ac:dyDescent="0.3">
      <c r="A158" s="24"/>
      <c r="B158" s="25" t="s">
        <v>63</v>
      </c>
      <c r="C158" s="25"/>
      <c r="D158" s="25"/>
      <c r="E158" s="25"/>
      <c r="F158" s="25"/>
      <c r="G158" s="25"/>
      <c r="H158" s="25"/>
      <c r="I158" s="25"/>
      <c r="J158" s="25"/>
      <c r="K158" s="25"/>
      <c r="L158" s="25"/>
      <c r="M158" s="25"/>
      <c r="N158" s="25"/>
      <c r="O158" s="25"/>
      <c r="P158" s="53">
        <f>P156+P157</f>
        <v>0</v>
      </c>
      <c r="Q158" s="25"/>
      <c r="R158" s="5"/>
    </row>
    <row r="159" spans="1:18" ht="16.2" thickBot="1" x14ac:dyDescent="0.35">
      <c r="A159" s="24"/>
      <c r="B159" s="25"/>
      <c r="C159" s="25"/>
      <c r="D159" s="25"/>
      <c r="E159" s="25"/>
      <c r="F159" s="25"/>
      <c r="G159" s="25"/>
      <c r="H159" s="25"/>
      <c r="I159" s="25"/>
      <c r="J159" s="25"/>
      <c r="K159" s="25"/>
      <c r="L159" s="25"/>
      <c r="M159" s="25"/>
      <c r="N159" s="25"/>
      <c r="O159" s="25"/>
      <c r="P159" s="61"/>
      <c r="Q159" s="25"/>
      <c r="R159" s="5"/>
    </row>
    <row r="160" spans="1:18" ht="15.6" x14ac:dyDescent="0.3">
      <c r="A160" s="2"/>
      <c r="B160" s="4"/>
      <c r="C160" s="4"/>
      <c r="D160" s="4"/>
      <c r="E160" s="4"/>
      <c r="F160" s="4"/>
      <c r="G160" s="4"/>
      <c r="H160" s="4"/>
      <c r="I160" s="4"/>
      <c r="J160" s="4"/>
      <c r="K160" s="4"/>
      <c r="L160" s="4"/>
      <c r="M160" s="4"/>
      <c r="N160" s="4"/>
      <c r="O160" s="4"/>
      <c r="P160" s="50"/>
      <c r="Q160" s="4"/>
      <c r="R160" s="5"/>
    </row>
    <row r="161" spans="1:19" ht="15.6" x14ac:dyDescent="0.3">
      <c r="A161" s="6"/>
      <c r="B161" s="119" t="s">
        <v>64</v>
      </c>
      <c r="C161" s="8"/>
      <c r="D161" s="8"/>
      <c r="E161" s="8"/>
      <c r="F161" s="8"/>
      <c r="G161" s="8"/>
      <c r="H161" s="8"/>
      <c r="I161" s="8"/>
      <c r="J161" s="8"/>
      <c r="K161" s="8"/>
      <c r="L161" s="8"/>
      <c r="M161" s="8"/>
      <c r="N161" s="8"/>
      <c r="O161" s="8"/>
      <c r="P161" s="52"/>
      <c r="Q161" s="8"/>
      <c r="R161" s="5"/>
    </row>
    <row r="162" spans="1:19" ht="15.6" x14ac:dyDescent="0.3">
      <c r="A162" s="6"/>
      <c r="B162" s="21"/>
      <c r="C162" s="8"/>
      <c r="D162" s="8"/>
      <c r="E162" s="8"/>
      <c r="F162" s="8"/>
      <c r="G162" s="8"/>
      <c r="H162" s="8"/>
      <c r="I162" s="8"/>
      <c r="J162" s="8"/>
      <c r="K162" s="8"/>
      <c r="L162" s="8"/>
      <c r="M162" s="8"/>
      <c r="N162" s="8"/>
      <c r="O162" s="8"/>
      <c r="P162" s="52"/>
      <c r="Q162" s="8"/>
      <c r="R162" s="5"/>
    </row>
    <row r="163" spans="1:19" ht="15.6" x14ac:dyDescent="0.3">
      <c r="A163" s="24"/>
      <c r="B163" s="25" t="s">
        <v>221</v>
      </c>
      <c r="C163" s="25"/>
      <c r="D163" s="25"/>
      <c r="E163" s="25"/>
      <c r="F163" s="25"/>
      <c r="G163" s="25"/>
      <c r="H163" s="25"/>
      <c r="I163" s="25"/>
      <c r="J163" s="25"/>
      <c r="K163" s="25"/>
      <c r="L163" s="25"/>
      <c r="M163" s="25"/>
      <c r="N163" s="25"/>
      <c r="O163" s="25"/>
      <c r="P163" s="53">
        <f>P73</f>
        <v>425859</v>
      </c>
      <c r="Q163" s="25"/>
      <c r="R163" s="5"/>
    </row>
    <row r="164" spans="1:19" ht="15.6" x14ac:dyDescent="0.3">
      <c r="A164" s="24"/>
      <c r="B164" s="25" t="s">
        <v>273</v>
      </c>
      <c r="C164" s="25"/>
      <c r="D164" s="25"/>
      <c r="E164" s="25"/>
      <c r="F164" s="25"/>
      <c r="G164" s="25"/>
      <c r="H164" s="25"/>
      <c r="I164" s="25"/>
      <c r="J164" s="25"/>
      <c r="K164" s="25"/>
      <c r="L164" s="25"/>
      <c r="M164" s="25"/>
      <c r="N164" s="25"/>
      <c r="O164" s="25"/>
      <c r="P164" s="53">
        <f>+P86</f>
        <v>0</v>
      </c>
      <c r="Q164" s="25"/>
      <c r="R164" s="5"/>
    </row>
    <row r="165" spans="1:19" ht="15.6" x14ac:dyDescent="0.3">
      <c r="A165" s="24"/>
      <c r="B165" s="25" t="s">
        <v>65</v>
      </c>
      <c r="C165" s="25"/>
      <c r="D165" s="25"/>
      <c r="E165" s="25"/>
      <c r="F165" s="25"/>
      <c r="G165" s="25"/>
      <c r="H165" s="25"/>
      <c r="I165" s="25"/>
      <c r="J165" s="25"/>
      <c r="K165" s="25"/>
      <c r="L165" s="25"/>
      <c r="M165" s="25"/>
      <c r="N165" s="25"/>
      <c r="O165" s="25"/>
      <c r="P165" s="53">
        <f>P38</f>
        <v>425858.83345247572</v>
      </c>
      <c r="Q165" s="25"/>
      <c r="R165" s="5"/>
      <c r="S165" s="109"/>
    </row>
    <row r="166" spans="1:19" ht="16.2" thickBot="1" x14ac:dyDescent="0.35">
      <c r="A166" s="24"/>
      <c r="B166" s="25"/>
      <c r="C166" s="25"/>
      <c r="D166" s="25"/>
      <c r="E166" s="25"/>
      <c r="F166" s="25"/>
      <c r="G166" s="25"/>
      <c r="H166" s="25"/>
      <c r="I166" s="25"/>
      <c r="J166" s="25"/>
      <c r="K166" s="25"/>
      <c r="L166" s="25"/>
      <c r="M166" s="25"/>
      <c r="N166" s="25"/>
      <c r="O166" s="25"/>
      <c r="P166" s="61"/>
      <c r="Q166" s="25"/>
      <c r="R166" s="5"/>
    </row>
    <row r="167" spans="1:19" ht="15.6" x14ac:dyDescent="0.3">
      <c r="A167" s="2"/>
      <c r="B167" s="4"/>
      <c r="C167" s="4"/>
      <c r="D167" s="4"/>
      <c r="E167" s="4"/>
      <c r="F167" s="4"/>
      <c r="G167" s="4"/>
      <c r="H167" s="4"/>
      <c r="I167" s="4"/>
      <c r="J167" s="4"/>
      <c r="K167" s="4"/>
      <c r="L167" s="4"/>
      <c r="M167" s="4"/>
      <c r="N167" s="4"/>
      <c r="O167" s="4"/>
      <c r="P167" s="50"/>
      <c r="Q167" s="4"/>
      <c r="R167" s="5"/>
    </row>
    <row r="168" spans="1:19" ht="15.6" x14ac:dyDescent="0.3">
      <c r="A168" s="6"/>
      <c r="B168" s="119" t="s">
        <v>66</v>
      </c>
      <c r="C168" s="117"/>
      <c r="D168" s="117"/>
      <c r="E168" s="117"/>
      <c r="F168" s="120"/>
      <c r="G168" s="120"/>
      <c r="H168" s="120"/>
      <c r="I168" s="120"/>
      <c r="J168" s="120"/>
      <c r="K168" s="120"/>
      <c r="L168" s="120"/>
      <c r="M168" s="120" t="s">
        <v>112</v>
      </c>
      <c r="N168" s="120" t="s">
        <v>120</v>
      </c>
      <c r="O168" s="111"/>
      <c r="P168" s="121" t="s">
        <v>129</v>
      </c>
      <c r="Q168" s="10"/>
      <c r="R168" s="5"/>
    </row>
    <row r="169" spans="1:19" ht="15.6" x14ac:dyDescent="0.3">
      <c r="A169" s="24"/>
      <c r="B169" s="25" t="s">
        <v>67</v>
      </c>
      <c r="C169" s="25"/>
      <c r="D169" s="25"/>
      <c r="E169" s="25"/>
      <c r="F169" s="25"/>
      <c r="G169" s="25"/>
      <c r="H169" s="25"/>
      <c r="I169" s="25"/>
      <c r="J169" s="25"/>
      <c r="K169" s="25"/>
      <c r="L169" s="25"/>
      <c r="M169" s="53">
        <v>144000</v>
      </c>
      <c r="N169" s="40">
        <v>0</v>
      </c>
      <c r="O169" s="25"/>
      <c r="P169" s="53"/>
      <c r="Q169" s="25"/>
      <c r="R169" s="5"/>
    </row>
    <row r="170" spans="1:19" ht="15.6" x14ac:dyDescent="0.3">
      <c r="A170" s="24"/>
      <c r="B170" s="25" t="s">
        <v>68</v>
      </c>
      <c r="C170" s="25"/>
      <c r="D170" s="25"/>
      <c r="E170" s="25"/>
      <c r="F170" s="25"/>
      <c r="G170" s="25"/>
      <c r="H170" s="25"/>
      <c r="I170" s="25"/>
      <c r="J170" s="25"/>
      <c r="K170" s="25"/>
      <c r="L170" s="25"/>
      <c r="M170" s="53">
        <f>+'Jan 09'!M172</f>
        <v>82919</v>
      </c>
      <c r="N170" s="53">
        <f>+'Jan 09'!N172</f>
        <v>10097</v>
      </c>
      <c r="O170" s="25"/>
      <c r="P170" s="53">
        <f>M170+N170</f>
        <v>93016</v>
      </c>
      <c r="Q170" s="25"/>
      <c r="R170" s="5"/>
    </row>
    <row r="171" spans="1:19" ht="15.6" x14ac:dyDescent="0.3">
      <c r="A171" s="24"/>
      <c r="B171" s="25" t="s">
        <v>69</v>
      </c>
      <c r="C171" s="25"/>
      <c r="D171" s="25"/>
      <c r="E171" s="25"/>
      <c r="F171" s="25"/>
      <c r="G171" s="25"/>
      <c r="H171" s="25"/>
      <c r="I171" s="25"/>
      <c r="J171" s="25"/>
      <c r="K171" s="25"/>
      <c r="L171" s="25"/>
      <c r="M171" s="34">
        <f>1470+20</f>
        <v>1490</v>
      </c>
      <c r="N171" s="34">
        <f>-N100-N122</f>
        <v>6</v>
      </c>
      <c r="O171" s="25"/>
      <c r="P171" s="53">
        <f>M171+N171</f>
        <v>1496</v>
      </c>
      <c r="Q171" s="25"/>
      <c r="R171" s="5"/>
    </row>
    <row r="172" spans="1:19" ht="15.6" x14ac:dyDescent="0.3">
      <c r="A172" s="24"/>
      <c r="B172" s="25" t="s">
        <v>70</v>
      </c>
      <c r="C172" s="25"/>
      <c r="D172" s="25"/>
      <c r="E172" s="25"/>
      <c r="F172" s="25"/>
      <c r="G172" s="25"/>
      <c r="H172" s="25"/>
      <c r="I172" s="25"/>
      <c r="J172" s="25"/>
      <c r="K172" s="25"/>
      <c r="L172" s="25"/>
      <c r="M172" s="53">
        <f>M170+M171</f>
        <v>84409</v>
      </c>
      <c r="N172" s="53">
        <f>N171+N170</f>
        <v>10103</v>
      </c>
      <c r="O172" s="25"/>
      <c r="P172" s="53">
        <f>M172+N172</f>
        <v>94512</v>
      </c>
      <c r="Q172" s="25"/>
      <c r="R172" s="5"/>
    </row>
    <row r="173" spans="1:19" ht="15.6" x14ac:dyDescent="0.3">
      <c r="A173" s="24"/>
      <c r="B173" s="25" t="s">
        <v>71</v>
      </c>
      <c r="C173" s="25"/>
      <c r="D173" s="25"/>
      <c r="E173" s="25"/>
      <c r="F173" s="25"/>
      <c r="G173" s="25"/>
      <c r="H173" s="25"/>
      <c r="I173" s="25"/>
      <c r="J173" s="25"/>
      <c r="K173" s="25"/>
      <c r="L173" s="25"/>
      <c r="M173" s="53">
        <f>M169-M172-N172</f>
        <v>49488</v>
      </c>
      <c r="N173" s="40"/>
      <c r="O173" s="25"/>
      <c r="P173" s="53"/>
      <c r="Q173" s="25"/>
      <c r="R173" s="5"/>
    </row>
    <row r="174" spans="1:19" ht="16.2" thickBot="1" x14ac:dyDescent="0.35">
      <c r="A174" s="24"/>
      <c r="B174" s="25"/>
      <c r="C174" s="25"/>
      <c r="D174" s="25"/>
      <c r="E174" s="25"/>
      <c r="F174" s="25"/>
      <c r="G174" s="25"/>
      <c r="H174" s="25"/>
      <c r="I174" s="25"/>
      <c r="J174" s="25"/>
      <c r="K174" s="25"/>
      <c r="L174" s="25"/>
      <c r="M174" s="25"/>
      <c r="N174" s="25"/>
      <c r="O174" s="25"/>
      <c r="P174" s="61"/>
      <c r="Q174" s="25"/>
      <c r="R174" s="5"/>
    </row>
    <row r="175" spans="1:19" ht="15.6" x14ac:dyDescent="0.3">
      <c r="A175" s="2"/>
      <c r="B175" s="4"/>
      <c r="C175" s="4"/>
      <c r="D175" s="4"/>
      <c r="E175" s="4"/>
      <c r="F175" s="4"/>
      <c r="G175" s="4"/>
      <c r="H175" s="4"/>
      <c r="I175" s="4"/>
      <c r="J175" s="4"/>
      <c r="K175" s="4"/>
      <c r="L175" s="4"/>
      <c r="M175" s="4"/>
      <c r="N175" s="4"/>
      <c r="O175" s="4"/>
      <c r="P175" s="50"/>
      <c r="Q175" s="4"/>
      <c r="R175" s="5"/>
    </row>
    <row r="176" spans="1:19" ht="15.6" x14ac:dyDescent="0.3">
      <c r="A176" s="6"/>
      <c r="B176" s="119" t="s">
        <v>72</v>
      </c>
      <c r="C176" s="8"/>
      <c r="D176" s="8"/>
      <c r="E176" s="8"/>
      <c r="F176" s="8"/>
      <c r="G176" s="8"/>
      <c r="H176" s="8"/>
      <c r="I176" s="8"/>
      <c r="J176" s="8"/>
      <c r="K176" s="8"/>
      <c r="L176" s="8"/>
      <c r="M176" s="8"/>
      <c r="N176" s="8"/>
      <c r="O176" s="8"/>
      <c r="P176" s="65"/>
      <c r="Q176" s="8"/>
      <c r="R176" s="5"/>
    </row>
    <row r="177" spans="1:18" ht="15.6" x14ac:dyDescent="0.3">
      <c r="A177" s="24"/>
      <c r="B177" s="25" t="s">
        <v>73</v>
      </c>
      <c r="C177" s="25"/>
      <c r="D177" s="25"/>
      <c r="E177" s="25"/>
      <c r="F177" s="25"/>
      <c r="G177" s="25"/>
      <c r="H177" s="25"/>
      <c r="I177" s="25"/>
      <c r="J177" s="25"/>
      <c r="K177" s="25"/>
      <c r="L177" s="25"/>
      <c r="M177" s="25"/>
      <c r="N177" s="25"/>
      <c r="O177" s="25"/>
      <c r="P177" s="66">
        <f>(P103+P105+P106+P107+P108)/-(P109+P110+P111)</f>
        <v>2.0164630908125334</v>
      </c>
      <c r="Q177" s="25" t="s">
        <v>130</v>
      </c>
      <c r="R177" s="5"/>
    </row>
    <row r="178" spans="1:18" ht="15.6" x14ac:dyDescent="0.3">
      <c r="A178" s="24"/>
      <c r="B178" s="25" t="s">
        <v>74</v>
      </c>
      <c r="C178" s="25"/>
      <c r="D178" s="25"/>
      <c r="E178" s="25"/>
      <c r="F178" s="25"/>
      <c r="G178" s="25"/>
      <c r="H178" s="25"/>
      <c r="I178" s="25"/>
      <c r="J178" s="25"/>
      <c r="K178" s="25"/>
      <c r="L178" s="25"/>
      <c r="M178" s="25"/>
      <c r="N178" s="25"/>
      <c r="O178" s="25"/>
      <c r="P178" s="66">
        <v>1.41</v>
      </c>
      <c r="Q178" s="25" t="s">
        <v>130</v>
      </c>
      <c r="R178" s="5"/>
    </row>
    <row r="179" spans="1:18" ht="15.6" x14ac:dyDescent="0.3">
      <c r="A179" s="24"/>
      <c r="B179" s="25" t="s">
        <v>75</v>
      </c>
      <c r="C179" s="25"/>
      <c r="D179" s="25"/>
      <c r="E179" s="25"/>
      <c r="F179" s="25"/>
      <c r="G179" s="25"/>
      <c r="H179" s="25"/>
      <c r="I179" s="25"/>
      <c r="J179" s="25"/>
      <c r="K179" s="25"/>
      <c r="L179" s="25"/>
      <c r="M179" s="25"/>
      <c r="N179" s="25"/>
      <c r="O179" s="25"/>
      <c r="P179" s="59">
        <f>(P103+P105+P106+P107+P108+P109+P110+P111)/-(P112+P113)</f>
        <v>2.985959438377535</v>
      </c>
      <c r="Q179" s="25" t="s">
        <v>130</v>
      </c>
      <c r="R179" s="5"/>
    </row>
    <row r="180" spans="1:18" ht="15.6" x14ac:dyDescent="0.3">
      <c r="A180" s="24"/>
      <c r="B180" s="25" t="s">
        <v>76</v>
      </c>
      <c r="C180" s="25"/>
      <c r="D180" s="25"/>
      <c r="E180" s="25"/>
      <c r="F180" s="25"/>
      <c r="G180" s="25"/>
      <c r="H180" s="25"/>
      <c r="I180" s="25"/>
      <c r="J180" s="25"/>
      <c r="K180" s="25"/>
      <c r="L180" s="25"/>
      <c r="M180" s="25"/>
      <c r="N180" s="25"/>
      <c r="O180" s="25"/>
      <c r="P180" s="66">
        <v>2.31</v>
      </c>
      <c r="Q180" s="25" t="s">
        <v>130</v>
      </c>
      <c r="R180" s="5"/>
    </row>
    <row r="181" spans="1:18" ht="15.6" x14ac:dyDescent="0.3">
      <c r="A181" s="24"/>
      <c r="B181" s="25"/>
      <c r="C181" s="25"/>
      <c r="D181" s="25"/>
      <c r="E181" s="25"/>
      <c r="F181" s="25"/>
      <c r="G181" s="25"/>
      <c r="H181" s="25"/>
      <c r="I181" s="25"/>
      <c r="J181" s="25"/>
      <c r="K181" s="25"/>
      <c r="L181" s="25"/>
      <c r="M181" s="25"/>
      <c r="N181" s="25"/>
      <c r="O181" s="25"/>
      <c r="P181" s="25"/>
      <c r="Q181" s="25"/>
      <c r="R181" s="5"/>
    </row>
    <row r="182" spans="1:18" ht="15.6" x14ac:dyDescent="0.3">
      <c r="A182" s="24"/>
      <c r="B182" s="25"/>
      <c r="C182" s="25"/>
      <c r="D182" s="25"/>
      <c r="E182" s="25"/>
      <c r="F182" s="25"/>
      <c r="G182" s="25"/>
      <c r="H182" s="25"/>
      <c r="I182" s="25"/>
      <c r="J182" s="25"/>
      <c r="K182" s="25"/>
      <c r="L182" s="25"/>
      <c r="M182" s="25"/>
      <c r="N182" s="25"/>
      <c r="O182" s="25"/>
      <c r="P182" s="25"/>
      <c r="Q182" s="25"/>
      <c r="R182" s="5"/>
    </row>
    <row r="183" spans="1:18" ht="15.6" x14ac:dyDescent="0.3">
      <c r="A183" s="6"/>
      <c r="B183" s="8"/>
      <c r="C183" s="8"/>
      <c r="D183" s="8"/>
      <c r="E183" s="8"/>
      <c r="F183" s="8"/>
      <c r="G183" s="8"/>
      <c r="H183" s="8"/>
      <c r="I183" s="8"/>
      <c r="J183" s="8"/>
      <c r="K183" s="8"/>
      <c r="L183" s="8"/>
      <c r="M183" s="8"/>
      <c r="N183" s="8"/>
      <c r="O183" s="8"/>
      <c r="P183" s="8"/>
      <c r="Q183" s="8"/>
      <c r="R183" s="5"/>
    </row>
    <row r="184" spans="1:18" ht="18" thickBot="1" x14ac:dyDescent="0.35">
      <c r="A184" s="101"/>
      <c r="B184" s="102" t="str">
        <f>B133</f>
        <v>PM7 INVESTOR REPORT QUARTER ENDING APRIL 2009</v>
      </c>
      <c r="C184" s="143"/>
      <c r="D184" s="143"/>
      <c r="E184" s="143"/>
      <c r="F184" s="143"/>
      <c r="G184" s="143"/>
      <c r="H184" s="143"/>
      <c r="I184" s="143"/>
      <c r="J184" s="143"/>
      <c r="K184" s="143"/>
      <c r="L184" s="143"/>
      <c r="M184" s="143"/>
      <c r="N184" s="143"/>
      <c r="O184" s="143"/>
      <c r="P184" s="143"/>
      <c r="Q184" s="144"/>
      <c r="R184" s="5"/>
    </row>
    <row r="185" spans="1:18" ht="15.6" x14ac:dyDescent="0.3">
      <c r="A185" s="67"/>
      <c r="B185" s="60" t="s">
        <v>77</v>
      </c>
      <c r="C185" s="68"/>
      <c r="D185" s="68"/>
      <c r="E185" s="69"/>
      <c r="F185" s="69"/>
      <c r="G185" s="69"/>
      <c r="H185" s="69"/>
      <c r="I185" s="69"/>
      <c r="J185" s="69"/>
      <c r="K185" s="69"/>
      <c r="L185" s="69"/>
      <c r="M185" s="69"/>
      <c r="N185" s="70">
        <f>H90</f>
        <v>39933</v>
      </c>
      <c r="O185" s="4"/>
      <c r="P185" s="4"/>
      <c r="Q185" s="4"/>
      <c r="R185" s="5"/>
    </row>
    <row r="186" spans="1:18" ht="15.6" x14ac:dyDescent="0.3">
      <c r="A186" s="71"/>
      <c r="B186" s="72"/>
      <c r="C186" s="73"/>
      <c r="D186" s="73"/>
      <c r="E186" s="74"/>
      <c r="F186" s="74"/>
      <c r="G186" s="74"/>
      <c r="H186" s="74"/>
      <c r="I186" s="74"/>
      <c r="J186" s="74"/>
      <c r="K186" s="74"/>
      <c r="L186" s="74"/>
      <c r="M186" s="74"/>
      <c r="N186" s="74"/>
      <c r="O186" s="8"/>
      <c r="P186" s="8"/>
      <c r="Q186" s="8"/>
      <c r="R186" s="5"/>
    </row>
    <row r="187" spans="1:18" ht="15.6" x14ac:dyDescent="0.3">
      <c r="A187" s="75"/>
      <c r="B187" s="76" t="s">
        <v>78</v>
      </c>
      <c r="C187" s="77"/>
      <c r="D187" s="77"/>
      <c r="E187" s="64"/>
      <c r="F187" s="64"/>
      <c r="G187" s="64"/>
      <c r="H187" s="64"/>
      <c r="I187" s="64"/>
      <c r="J187" s="64"/>
      <c r="K187" s="64"/>
      <c r="L187" s="64"/>
      <c r="M187" s="64"/>
      <c r="N187" s="78">
        <v>5.8069999999999997E-2</v>
      </c>
      <c r="O187" s="25"/>
      <c r="P187" s="25"/>
      <c r="Q187" s="25"/>
      <c r="R187" s="5"/>
    </row>
    <row r="188" spans="1:18" ht="15.6" x14ac:dyDescent="0.3">
      <c r="A188" s="75"/>
      <c r="B188" s="76" t="s">
        <v>219</v>
      </c>
      <c r="C188" s="77"/>
      <c r="D188" s="77"/>
      <c r="E188" s="64"/>
      <c r="F188" s="64"/>
      <c r="G188" s="64"/>
      <c r="H188" s="64"/>
      <c r="I188" s="64"/>
      <c r="J188" s="64"/>
      <c r="K188" s="64"/>
      <c r="L188" s="64"/>
      <c r="M188" s="64"/>
      <c r="N188" s="39">
        <v>5.1499999999999997E-2</v>
      </c>
      <c r="O188" s="25"/>
      <c r="P188" s="25"/>
      <c r="Q188" s="25"/>
      <c r="R188" s="5"/>
    </row>
    <row r="189" spans="1:18" ht="15.6" x14ac:dyDescent="0.3">
      <c r="A189" s="75"/>
      <c r="B189" s="76" t="s">
        <v>79</v>
      </c>
      <c r="C189" s="77"/>
      <c r="D189" s="77"/>
      <c r="E189" s="64"/>
      <c r="F189" s="64"/>
      <c r="G189" s="64"/>
      <c r="H189" s="64"/>
      <c r="I189" s="64"/>
      <c r="J189" s="64"/>
      <c r="K189" s="64"/>
      <c r="L189" s="64"/>
      <c r="M189" s="64"/>
      <c r="N189" s="78">
        <f>N187-N188</f>
        <v>6.5699999999999995E-3</v>
      </c>
      <c r="O189" s="25"/>
      <c r="P189" s="25"/>
      <c r="Q189" s="25"/>
      <c r="R189" s="5"/>
    </row>
    <row r="190" spans="1:18" ht="15.6" x14ac:dyDescent="0.3">
      <c r="A190" s="75"/>
      <c r="B190" s="76" t="s">
        <v>80</v>
      </c>
      <c r="C190" s="77"/>
      <c r="D190" s="77"/>
      <c r="E190" s="64"/>
      <c r="F190" s="64"/>
      <c r="G190" s="64"/>
      <c r="H190" s="64"/>
      <c r="I190" s="64"/>
      <c r="J190" s="64"/>
      <c r="K190" s="64"/>
      <c r="L190" s="64"/>
      <c r="M190" s="64"/>
      <c r="N190" s="78">
        <v>3.9449999999999999E-2</v>
      </c>
      <c r="O190" s="25"/>
      <c r="P190" s="25"/>
      <c r="Q190" s="25"/>
      <c r="R190" s="5"/>
    </row>
    <row r="191" spans="1:18" ht="15.6" x14ac:dyDescent="0.3">
      <c r="A191" s="75"/>
      <c r="B191" s="76" t="s">
        <v>241</v>
      </c>
      <c r="C191" s="77"/>
      <c r="D191" s="77"/>
      <c r="E191" s="64"/>
      <c r="F191" s="64"/>
      <c r="G191" s="64"/>
      <c r="H191" s="64"/>
      <c r="I191" s="64"/>
      <c r="J191" s="64"/>
      <c r="K191" s="64"/>
      <c r="L191" s="64"/>
      <c r="M191" s="64"/>
      <c r="N191" s="78">
        <f>+P45</f>
        <v>2.4719658115729907E-2</v>
      </c>
      <c r="O191" s="25"/>
      <c r="P191" s="25"/>
      <c r="Q191" s="25"/>
      <c r="R191" s="5"/>
    </row>
    <row r="192" spans="1:18" ht="15.6" x14ac:dyDescent="0.3">
      <c r="A192" s="75"/>
      <c r="B192" s="76" t="s">
        <v>81</v>
      </c>
      <c r="C192" s="77"/>
      <c r="D192" s="77"/>
      <c r="E192" s="64"/>
      <c r="F192" s="64"/>
      <c r="G192" s="64"/>
      <c r="H192" s="64"/>
      <c r="I192" s="64"/>
      <c r="J192" s="64"/>
      <c r="K192" s="64"/>
      <c r="L192" s="64"/>
      <c r="M192" s="64"/>
      <c r="N192" s="78">
        <f>N190-N191</f>
        <v>1.4730341884270092E-2</v>
      </c>
      <c r="O192" s="25"/>
      <c r="P192" s="25"/>
      <c r="Q192" s="25"/>
      <c r="R192" s="5"/>
    </row>
    <row r="193" spans="1:18" ht="15.6" x14ac:dyDescent="0.3">
      <c r="A193" s="75"/>
      <c r="B193" s="76" t="s">
        <v>257</v>
      </c>
      <c r="C193" s="77"/>
      <c r="D193" s="77"/>
      <c r="E193" s="64"/>
      <c r="F193" s="64"/>
      <c r="G193" s="64"/>
      <c r="H193" s="64"/>
      <c r="I193" s="64"/>
      <c r="J193" s="64"/>
      <c r="K193" s="64"/>
      <c r="L193" s="64"/>
      <c r="M193" s="64"/>
      <c r="N193" s="78">
        <f>+P103/H73</f>
        <v>1.2165506935039462E-2</v>
      </c>
      <c r="O193" s="25"/>
      <c r="P193" s="25"/>
      <c r="Q193" s="25"/>
      <c r="R193" s="5"/>
    </row>
    <row r="194" spans="1:18" ht="15.6" x14ac:dyDescent="0.3">
      <c r="A194" s="75"/>
      <c r="B194" s="76" t="s">
        <v>170</v>
      </c>
      <c r="C194" s="77"/>
      <c r="D194" s="77"/>
      <c r="E194" s="64"/>
      <c r="F194" s="64"/>
      <c r="G194" s="64"/>
      <c r="H194" s="64"/>
      <c r="I194" s="64"/>
      <c r="J194" s="64"/>
      <c r="K194" s="64"/>
      <c r="L194" s="64"/>
      <c r="M194" s="64"/>
      <c r="N194" s="133">
        <v>49065</v>
      </c>
      <c r="O194" s="25"/>
      <c r="P194" s="25"/>
      <c r="Q194" s="25"/>
      <c r="R194" s="5"/>
    </row>
    <row r="195" spans="1:18" ht="15.6" x14ac:dyDescent="0.3">
      <c r="A195" s="75"/>
      <c r="B195" s="76" t="s">
        <v>171</v>
      </c>
      <c r="C195" s="77"/>
      <c r="D195" s="77"/>
      <c r="E195" s="64"/>
      <c r="F195" s="64"/>
      <c r="G195" s="64"/>
      <c r="H195" s="64"/>
      <c r="I195" s="64"/>
      <c r="J195" s="64"/>
      <c r="K195" s="64"/>
      <c r="L195" s="64"/>
      <c r="M195" s="64"/>
      <c r="N195" s="133">
        <v>49065</v>
      </c>
      <c r="O195" s="25"/>
      <c r="P195" s="25"/>
      <c r="Q195" s="25"/>
      <c r="R195" s="5"/>
    </row>
    <row r="196" spans="1:18" ht="15.6" x14ac:dyDescent="0.3">
      <c r="A196" s="75"/>
      <c r="B196" s="76" t="s">
        <v>172</v>
      </c>
      <c r="C196" s="77"/>
      <c r="D196" s="77"/>
      <c r="E196" s="64"/>
      <c r="F196" s="64"/>
      <c r="G196" s="64"/>
      <c r="H196" s="64"/>
      <c r="I196" s="64"/>
      <c r="J196" s="64"/>
      <c r="K196" s="64"/>
      <c r="L196" s="64"/>
      <c r="M196" s="64"/>
      <c r="N196" s="133">
        <v>49065</v>
      </c>
      <c r="O196" s="25"/>
      <c r="P196" s="25"/>
      <c r="Q196" s="25"/>
      <c r="R196" s="5"/>
    </row>
    <row r="197" spans="1:18" ht="15.6" x14ac:dyDescent="0.3">
      <c r="A197" s="75"/>
      <c r="B197" s="76" t="s">
        <v>138</v>
      </c>
      <c r="C197" s="77"/>
      <c r="D197" s="77"/>
      <c r="E197" s="64"/>
      <c r="F197" s="64"/>
      <c r="G197" s="64"/>
      <c r="H197" s="64"/>
      <c r="I197" s="64"/>
      <c r="J197" s="64"/>
      <c r="K197" s="64"/>
      <c r="L197" s="64"/>
      <c r="M197" s="64"/>
      <c r="N197" s="133">
        <v>52352</v>
      </c>
      <c r="O197" s="25"/>
      <c r="P197" s="25"/>
      <c r="Q197" s="25"/>
      <c r="R197" s="5"/>
    </row>
    <row r="198" spans="1:18" ht="15.6" x14ac:dyDescent="0.3">
      <c r="A198" s="75"/>
      <c r="B198" s="76" t="s">
        <v>139</v>
      </c>
      <c r="C198" s="77"/>
      <c r="D198" s="77"/>
      <c r="E198" s="64"/>
      <c r="F198" s="64"/>
      <c r="G198" s="64"/>
      <c r="H198" s="64"/>
      <c r="I198" s="64"/>
      <c r="J198" s="64"/>
      <c r="K198" s="64"/>
      <c r="L198" s="64"/>
      <c r="M198" s="64"/>
      <c r="N198" s="133">
        <v>52352</v>
      </c>
      <c r="O198" s="25"/>
      <c r="P198" s="25"/>
      <c r="Q198" s="25"/>
      <c r="R198" s="5"/>
    </row>
    <row r="199" spans="1:18" ht="15.6" x14ac:dyDescent="0.3">
      <c r="A199" s="75"/>
      <c r="B199" s="76" t="s">
        <v>82</v>
      </c>
      <c r="C199" s="77"/>
      <c r="D199" s="77"/>
      <c r="E199" s="64"/>
      <c r="F199" s="64"/>
      <c r="G199" s="64"/>
      <c r="H199" s="64"/>
      <c r="I199" s="64"/>
      <c r="J199" s="64"/>
      <c r="K199" s="64"/>
      <c r="L199" s="64"/>
      <c r="M199" s="64"/>
      <c r="N199" s="137">
        <v>20.45</v>
      </c>
      <c r="O199" s="25" t="s">
        <v>125</v>
      </c>
      <c r="P199" s="25"/>
      <c r="Q199" s="25"/>
      <c r="R199" s="5"/>
    </row>
    <row r="200" spans="1:18" ht="15.6" x14ac:dyDescent="0.3">
      <c r="A200" s="75"/>
      <c r="B200" s="76" t="s">
        <v>83</v>
      </c>
      <c r="C200" s="77"/>
      <c r="D200" s="77"/>
      <c r="E200" s="64"/>
      <c r="F200" s="64"/>
      <c r="G200" s="64"/>
      <c r="H200" s="64"/>
      <c r="I200" s="64"/>
      <c r="J200" s="64"/>
      <c r="K200" s="64"/>
      <c r="L200" s="64"/>
      <c r="M200" s="64"/>
      <c r="N200" s="137">
        <v>16.96</v>
      </c>
      <c r="O200" s="25" t="s">
        <v>125</v>
      </c>
      <c r="P200" s="25"/>
      <c r="Q200" s="25"/>
      <c r="R200" s="5"/>
    </row>
    <row r="201" spans="1:18" ht="15.6" x14ac:dyDescent="0.3">
      <c r="A201" s="75"/>
      <c r="B201" s="76" t="s">
        <v>84</v>
      </c>
      <c r="C201" s="77"/>
      <c r="D201" s="77"/>
      <c r="E201" s="64"/>
      <c r="F201" s="64"/>
      <c r="G201" s="64"/>
      <c r="H201" s="64"/>
      <c r="I201" s="64"/>
      <c r="J201" s="64"/>
      <c r="K201" s="64"/>
      <c r="L201" s="64"/>
      <c r="M201" s="64"/>
      <c r="N201" s="78">
        <f>J70/H70</f>
        <v>9.0996123849997664E-3</v>
      </c>
      <c r="O201" s="25"/>
      <c r="P201" s="25"/>
      <c r="Q201" s="25"/>
      <c r="R201" s="5"/>
    </row>
    <row r="202" spans="1:18" ht="15.6" x14ac:dyDescent="0.3">
      <c r="A202" s="75"/>
      <c r="B202" s="76" t="s">
        <v>85</v>
      </c>
      <c r="C202" s="77"/>
      <c r="D202" s="77"/>
      <c r="E202" s="64"/>
      <c r="F202" s="64"/>
      <c r="G202" s="64"/>
      <c r="H202" s="64"/>
      <c r="I202" s="64"/>
      <c r="J202" s="64"/>
      <c r="K202" s="64"/>
      <c r="L202" s="64"/>
      <c r="M202" s="64"/>
      <c r="N202" s="78">
        <v>0.1676</v>
      </c>
      <c r="O202" s="25"/>
      <c r="P202" s="25"/>
      <c r="Q202" s="25"/>
      <c r="R202" s="5"/>
    </row>
    <row r="203" spans="1:18" ht="15.6" x14ac:dyDescent="0.3">
      <c r="A203" s="75"/>
      <c r="B203" s="76"/>
      <c r="C203" s="76"/>
      <c r="D203" s="76"/>
      <c r="E203" s="25"/>
      <c r="F203" s="25"/>
      <c r="G203" s="25"/>
      <c r="H203" s="25"/>
      <c r="I203" s="25"/>
      <c r="J203" s="25"/>
      <c r="K203" s="25"/>
      <c r="L203" s="25"/>
      <c r="M203" s="25"/>
      <c r="N203" s="61"/>
      <c r="O203" s="25"/>
      <c r="P203" s="79"/>
      <c r="Q203" s="25"/>
      <c r="R203" s="5"/>
    </row>
    <row r="204" spans="1:18" ht="15.6" x14ac:dyDescent="0.3">
      <c r="A204" s="80"/>
      <c r="B204" s="14" t="s">
        <v>86</v>
      </c>
      <c r="C204" s="81"/>
      <c r="D204" s="82"/>
      <c r="E204" s="81"/>
      <c r="F204" s="17"/>
      <c r="G204" s="17"/>
      <c r="H204" s="17"/>
      <c r="I204" s="17"/>
      <c r="J204" s="17"/>
      <c r="K204" s="17"/>
      <c r="L204" s="17"/>
      <c r="M204" s="17" t="s">
        <v>113</v>
      </c>
      <c r="N204" s="83" t="s">
        <v>121</v>
      </c>
      <c r="O204" s="8"/>
      <c r="P204" s="8"/>
      <c r="Q204" s="8"/>
      <c r="R204" s="5"/>
    </row>
    <row r="205" spans="1:18" ht="15.6" x14ac:dyDescent="0.3">
      <c r="A205" s="84"/>
      <c r="B205" s="76" t="s">
        <v>87</v>
      </c>
      <c r="C205" s="54"/>
      <c r="D205" s="25"/>
      <c r="E205" s="25"/>
      <c r="F205" s="30"/>
      <c r="G205" s="30"/>
      <c r="H205" s="30"/>
      <c r="I205" s="30"/>
      <c r="J205" s="30"/>
      <c r="K205" s="30"/>
      <c r="L205" s="30"/>
      <c r="M205" s="30">
        <v>0</v>
      </c>
      <c r="N205" s="85">
        <v>0</v>
      </c>
      <c r="O205" s="25"/>
      <c r="P205" s="79"/>
      <c r="Q205" s="86"/>
      <c r="R205" s="5"/>
    </row>
    <row r="206" spans="1:18" ht="15.6" x14ac:dyDescent="0.3">
      <c r="A206" s="84"/>
      <c r="B206" s="76" t="s">
        <v>203</v>
      </c>
      <c r="C206" s="54"/>
      <c r="D206" s="25"/>
      <c r="E206" s="25"/>
      <c r="F206" s="30"/>
      <c r="G206" s="30"/>
      <c r="H206" s="30"/>
      <c r="I206" s="30"/>
      <c r="J206" s="30"/>
      <c r="K206" s="30"/>
      <c r="L206" s="30"/>
      <c r="M206" s="151">
        <f>+L243</f>
        <v>93</v>
      </c>
      <c r="N206" s="85">
        <f>+N243</f>
        <v>15521</v>
      </c>
      <c r="O206" s="25"/>
      <c r="P206" s="79"/>
      <c r="Q206" s="86"/>
      <c r="R206" s="5"/>
    </row>
    <row r="207" spans="1:18" ht="15.6" x14ac:dyDescent="0.3">
      <c r="A207" s="84"/>
      <c r="B207" s="76" t="s">
        <v>88</v>
      </c>
      <c r="C207" s="54"/>
      <c r="D207" s="25"/>
      <c r="E207" s="25"/>
      <c r="F207" s="30"/>
      <c r="G207" s="30"/>
      <c r="H207" s="30"/>
      <c r="I207" s="30"/>
      <c r="J207" s="30"/>
      <c r="K207" s="30"/>
      <c r="L207" s="30"/>
      <c r="M207" s="151">
        <f>+L254</f>
        <v>2</v>
      </c>
      <c r="N207" s="85">
        <f>+N254</f>
        <v>177</v>
      </c>
      <c r="O207" s="25"/>
      <c r="P207" s="79"/>
      <c r="Q207" s="86"/>
      <c r="R207" s="5"/>
    </row>
    <row r="208" spans="1:18" ht="15.6" x14ac:dyDescent="0.3">
      <c r="A208" s="84"/>
      <c r="B208" s="122" t="s">
        <v>89</v>
      </c>
      <c r="C208" s="54"/>
      <c r="D208" s="25"/>
      <c r="E208" s="25"/>
      <c r="F208" s="25"/>
      <c r="G208" s="25"/>
      <c r="H208" s="25"/>
      <c r="I208" s="25"/>
      <c r="J208" s="25"/>
      <c r="K208" s="25"/>
      <c r="L208" s="25"/>
      <c r="M208" s="25"/>
      <c r="N208" s="85">
        <v>0</v>
      </c>
      <c r="O208" s="25"/>
      <c r="P208" s="79"/>
      <c r="Q208" s="86"/>
      <c r="R208" s="5"/>
    </row>
    <row r="209" spans="1:18" ht="15.6" x14ac:dyDescent="0.3">
      <c r="A209" s="84"/>
      <c r="B209" s="122" t="s">
        <v>90</v>
      </c>
      <c r="C209" s="54"/>
      <c r="D209" s="25"/>
      <c r="E209" s="25"/>
      <c r="F209" s="25"/>
      <c r="G209" s="25"/>
      <c r="H209" s="25"/>
      <c r="I209" s="25"/>
      <c r="J209" s="25"/>
      <c r="K209" s="25"/>
      <c r="L209" s="25"/>
      <c r="M209" s="25"/>
      <c r="N209" s="62" t="s">
        <v>122</v>
      </c>
      <c r="O209" s="25"/>
      <c r="P209" s="79"/>
      <c r="Q209" s="86"/>
      <c r="R209" s="5"/>
    </row>
    <row r="210" spans="1:18" ht="15.6" x14ac:dyDescent="0.3">
      <c r="A210" s="87"/>
      <c r="B210" s="122" t="s">
        <v>91</v>
      </c>
      <c r="C210" s="76"/>
      <c r="D210" s="76"/>
      <c r="E210" s="25"/>
      <c r="F210" s="25"/>
      <c r="G210" s="25"/>
      <c r="H210" s="25"/>
      <c r="I210" s="25"/>
      <c r="J210" s="167"/>
      <c r="K210" s="25"/>
      <c r="L210" s="25"/>
      <c r="M210" s="25"/>
      <c r="N210" s="85"/>
      <c r="O210" s="25"/>
      <c r="P210" s="79"/>
      <c r="Q210" s="88"/>
      <c r="R210" s="5"/>
    </row>
    <row r="211" spans="1:18" ht="15.6" x14ac:dyDescent="0.3">
      <c r="A211" s="87"/>
      <c r="B211" s="135" t="s">
        <v>92</v>
      </c>
      <c r="C211" s="76"/>
      <c r="D211" s="76"/>
      <c r="E211" s="25"/>
      <c r="F211" s="25"/>
      <c r="G211" s="25"/>
      <c r="H211" s="25"/>
      <c r="I211" s="25"/>
      <c r="J211" s="25"/>
      <c r="K211" s="25"/>
      <c r="L211" s="25"/>
      <c r="M211" s="25"/>
      <c r="N211" s="85">
        <f>P155</f>
        <v>236</v>
      </c>
      <c r="O211" s="25"/>
      <c r="P211" s="79"/>
      <c r="Q211" s="88"/>
      <c r="R211" s="5"/>
    </row>
    <row r="212" spans="1:18" ht="15.6" x14ac:dyDescent="0.3">
      <c r="A212" s="84"/>
      <c r="B212" s="76" t="s">
        <v>93</v>
      </c>
      <c r="C212" s="54"/>
      <c r="D212" s="54"/>
      <c r="E212" s="25"/>
      <c r="F212" s="25"/>
      <c r="G212" s="25"/>
      <c r="H212" s="25"/>
      <c r="I212" s="25"/>
      <c r="J212" s="25"/>
      <c r="K212" s="25"/>
      <c r="L212" s="25"/>
      <c r="M212" s="25"/>
      <c r="N212" s="85">
        <f>'Jan 09'!N212+'April 09'!N211</f>
        <v>1640</v>
      </c>
      <c r="O212" s="25"/>
      <c r="P212" s="79"/>
      <c r="Q212" s="88"/>
      <c r="R212" s="5"/>
    </row>
    <row r="213" spans="1:18" ht="15.6" x14ac:dyDescent="0.3">
      <c r="A213" s="87"/>
      <c r="B213" s="122" t="s">
        <v>278</v>
      </c>
      <c r="C213" s="76"/>
      <c r="D213" s="76"/>
      <c r="E213" s="25"/>
      <c r="F213" s="25"/>
      <c r="G213" s="25"/>
      <c r="H213" s="25"/>
      <c r="I213" s="25"/>
      <c r="J213" s="25"/>
      <c r="K213" s="25"/>
      <c r="L213" s="25"/>
      <c r="M213" s="25"/>
      <c r="N213" s="85"/>
      <c r="O213" s="25"/>
      <c r="P213" s="79"/>
      <c r="Q213" s="88"/>
      <c r="R213" s="5"/>
    </row>
    <row r="214" spans="1:18" ht="15.6" x14ac:dyDescent="0.3">
      <c r="A214" s="87"/>
      <c r="B214" s="76" t="s">
        <v>276</v>
      </c>
      <c r="C214" s="76"/>
      <c r="D214" s="76"/>
      <c r="E214" s="25"/>
      <c r="F214" s="25"/>
      <c r="G214" s="25"/>
      <c r="H214" s="25"/>
      <c r="I214" s="25"/>
      <c r="J214" s="25"/>
      <c r="K214" s="25"/>
      <c r="L214" s="25"/>
      <c r="M214" s="30">
        <v>0</v>
      </c>
      <c r="N214" s="85">
        <v>0</v>
      </c>
      <c r="O214" s="25"/>
      <c r="P214" s="79"/>
      <c r="Q214" s="88"/>
      <c r="R214" s="5"/>
    </row>
    <row r="215" spans="1:18" ht="15.6" x14ac:dyDescent="0.3">
      <c r="A215" s="84"/>
      <c r="B215" s="76" t="s">
        <v>95</v>
      </c>
      <c r="C215" s="89"/>
      <c r="D215" s="90"/>
      <c r="E215" s="25"/>
      <c r="F215" s="25"/>
      <c r="G215" s="25"/>
      <c r="H215" s="25"/>
      <c r="I215" s="25"/>
      <c r="J215" s="25"/>
      <c r="K215" s="25"/>
      <c r="L215" s="25"/>
      <c r="M215" s="25"/>
      <c r="N215" s="62">
        <v>0</v>
      </c>
      <c r="O215" s="25"/>
      <c r="P215" s="79"/>
      <c r="Q215" s="88"/>
      <c r="R215" s="5"/>
    </row>
    <row r="216" spans="1:18" ht="15.6" x14ac:dyDescent="0.3">
      <c r="A216" s="84"/>
      <c r="B216" s="76" t="s">
        <v>96</v>
      </c>
      <c r="C216" s="89"/>
      <c r="D216" s="90"/>
      <c r="E216" s="25"/>
      <c r="F216" s="25"/>
      <c r="G216" s="25"/>
      <c r="H216" s="25"/>
      <c r="I216" s="25"/>
      <c r="J216" s="25"/>
      <c r="K216" s="25"/>
      <c r="L216" s="25"/>
      <c r="M216" s="25"/>
      <c r="N216" s="62">
        <v>0</v>
      </c>
      <c r="O216" s="25"/>
      <c r="P216" s="79"/>
      <c r="Q216" s="88"/>
      <c r="R216" s="5"/>
    </row>
    <row r="217" spans="1:18" ht="15.6" x14ac:dyDescent="0.3">
      <c r="A217" s="84"/>
      <c r="B217" s="122" t="s">
        <v>251</v>
      </c>
      <c r="C217" s="89"/>
      <c r="D217" s="90"/>
      <c r="E217" s="25"/>
      <c r="F217" s="25"/>
      <c r="G217" s="25"/>
      <c r="H217" s="25"/>
      <c r="I217" s="25"/>
      <c r="J217" s="25"/>
      <c r="K217" s="25"/>
      <c r="L217" s="25"/>
      <c r="M217" s="25"/>
      <c r="N217" s="91"/>
      <c r="O217" s="25"/>
      <c r="P217" s="79"/>
      <c r="Q217" s="88"/>
      <c r="R217" s="5"/>
    </row>
    <row r="218" spans="1:18" ht="15.6" x14ac:dyDescent="0.3">
      <c r="A218" s="84"/>
      <c r="B218" s="76" t="s">
        <v>276</v>
      </c>
      <c r="C218" s="89"/>
      <c r="D218" s="90"/>
      <c r="E218" s="25"/>
      <c r="F218" s="25"/>
      <c r="G218" s="25"/>
      <c r="H218" s="25"/>
      <c r="I218" s="25"/>
      <c r="J218" s="25"/>
      <c r="K218" s="25"/>
      <c r="L218" s="25"/>
      <c r="M218" s="30">
        <v>7</v>
      </c>
      <c r="N218" s="85">
        <v>992</v>
      </c>
      <c r="O218" s="25"/>
      <c r="P218" s="79"/>
      <c r="Q218" s="88"/>
      <c r="R218" s="5"/>
    </row>
    <row r="219" spans="1:18" ht="15.6" x14ac:dyDescent="0.3">
      <c r="A219" s="84"/>
      <c r="B219" s="76" t="s">
        <v>252</v>
      </c>
      <c r="C219" s="89"/>
      <c r="D219" s="90"/>
      <c r="E219" s="25"/>
      <c r="F219" s="25"/>
      <c r="G219" s="25"/>
      <c r="H219" s="25"/>
      <c r="I219" s="25"/>
      <c r="J219" s="25"/>
      <c r="K219" s="25"/>
      <c r="L219" s="25"/>
      <c r="M219" s="25"/>
      <c r="N219" s="62">
        <v>16.54</v>
      </c>
      <c r="O219" s="25"/>
      <c r="P219" s="79"/>
      <c r="Q219" s="88"/>
      <c r="R219" s="5"/>
    </row>
    <row r="220" spans="1:18" ht="15.6" x14ac:dyDescent="0.3">
      <c r="A220" s="84"/>
      <c r="B220" s="76"/>
      <c r="C220" s="89"/>
      <c r="D220" s="90"/>
      <c r="E220" s="25"/>
      <c r="F220" s="25"/>
      <c r="G220" s="25"/>
      <c r="H220" s="25"/>
      <c r="I220" s="25"/>
      <c r="J220" s="25"/>
      <c r="K220" s="25"/>
      <c r="L220" s="25"/>
      <c r="M220" s="25"/>
      <c r="N220" s="91"/>
      <c r="O220" s="25"/>
      <c r="P220" s="79"/>
      <c r="Q220" s="88"/>
      <c r="R220" s="5"/>
    </row>
    <row r="221" spans="1:18" ht="17.399999999999999" x14ac:dyDescent="0.3">
      <c r="A221" s="84"/>
      <c r="B221" s="160" t="s">
        <v>244</v>
      </c>
      <c r="C221" s="161"/>
      <c r="D221" s="162"/>
      <c r="E221" s="163"/>
      <c r="F221" s="163"/>
      <c r="G221" s="163"/>
      <c r="H221" s="163"/>
      <c r="I221" s="166"/>
      <c r="J221" s="169" t="s">
        <v>243</v>
      </c>
      <c r="K221" s="163"/>
      <c r="L221" s="163"/>
      <c r="M221" s="25"/>
      <c r="N221" s="91"/>
      <c r="O221" s="25"/>
      <c r="P221" s="79"/>
      <c r="Q221" s="88"/>
      <c r="R221" s="5"/>
    </row>
    <row r="222" spans="1:18" ht="15.6" x14ac:dyDescent="0.3">
      <c r="A222" s="84"/>
      <c r="B222" s="156"/>
      <c r="C222" s="157"/>
      <c r="D222" s="158"/>
      <c r="E222" s="146"/>
      <c r="F222" s="146"/>
      <c r="G222" s="146"/>
      <c r="H222" s="146"/>
      <c r="I222" s="146"/>
      <c r="J222" s="146"/>
      <c r="K222" s="146"/>
      <c r="L222" s="146"/>
      <c r="M222" s="25"/>
      <c r="N222" s="91"/>
      <c r="O222" s="25"/>
      <c r="P222" s="79"/>
      <c r="Q222" s="88"/>
      <c r="R222" s="5"/>
    </row>
    <row r="223" spans="1:18" ht="15.6" x14ac:dyDescent="0.3">
      <c r="A223" s="6"/>
      <c r="B223" s="14" t="s">
        <v>236</v>
      </c>
      <c r="C223" s="81"/>
      <c r="D223" s="82"/>
      <c r="E223" s="81"/>
      <c r="F223" s="17"/>
      <c r="G223" s="17"/>
      <c r="H223" s="17"/>
      <c r="I223" s="17"/>
      <c r="J223" s="17"/>
      <c r="K223" s="17"/>
      <c r="L223" s="83" t="s">
        <v>113</v>
      </c>
      <c r="M223" s="17" t="s">
        <v>114</v>
      </c>
      <c r="N223" s="83" t="s">
        <v>123</v>
      </c>
      <c r="O223" s="17" t="s">
        <v>114</v>
      </c>
      <c r="P223" s="8"/>
      <c r="Q223" s="92"/>
      <c r="R223" s="5"/>
    </row>
    <row r="224" spans="1:18" ht="15.6" x14ac:dyDescent="0.3">
      <c r="A224" s="24"/>
      <c r="B224" s="54" t="s">
        <v>98</v>
      </c>
      <c r="C224" s="93"/>
      <c r="D224" s="25"/>
      <c r="E224" s="93"/>
      <c r="F224" s="93"/>
      <c r="G224" s="93"/>
      <c r="H224" s="93"/>
      <c r="I224" s="93"/>
      <c r="J224" s="93"/>
      <c r="K224" s="93"/>
      <c r="L224" s="54">
        <v>3696</v>
      </c>
      <c r="M224" s="94">
        <f t="shared" ref="M224:M231" si="1">L224/$L$232</f>
        <v>0.97777777777777775</v>
      </c>
      <c r="N224" s="53">
        <v>403091</v>
      </c>
      <c r="O224" s="136">
        <f t="shared" ref="O224:O231" si="2">N224/$N$232</f>
        <v>0.98276286628909137</v>
      </c>
      <c r="P224" s="79"/>
      <c r="Q224" s="88"/>
      <c r="R224" s="5"/>
    </row>
    <row r="225" spans="1:18" ht="15.6" x14ac:dyDescent="0.3">
      <c r="A225" s="24"/>
      <c r="B225" s="54" t="s">
        <v>99</v>
      </c>
      <c r="C225" s="93"/>
      <c r="D225" s="25"/>
      <c r="E225" s="94"/>
      <c r="F225" s="93"/>
      <c r="G225" s="93"/>
      <c r="H225" s="93"/>
      <c r="I225" s="93"/>
      <c r="J225" s="93"/>
      <c r="K225" s="93"/>
      <c r="L225" s="54">
        <v>58</v>
      </c>
      <c r="M225" s="94">
        <f t="shared" si="1"/>
        <v>1.5343915343915344E-2</v>
      </c>
      <c r="N225" s="53">
        <v>5284</v>
      </c>
      <c r="O225" s="136">
        <f t="shared" si="2"/>
        <v>1.2882746043626771E-2</v>
      </c>
      <c r="P225" s="79"/>
      <c r="Q225" s="88"/>
      <c r="R225" s="5"/>
    </row>
    <row r="226" spans="1:18" ht="15.6" x14ac:dyDescent="0.3">
      <c r="A226" s="24"/>
      <c r="B226" s="54" t="s">
        <v>100</v>
      </c>
      <c r="C226" s="93"/>
      <c r="D226" s="25"/>
      <c r="E226" s="94"/>
      <c r="F226" s="93"/>
      <c r="G226" s="93"/>
      <c r="H226" s="93"/>
      <c r="I226" s="93"/>
      <c r="J226" s="93"/>
      <c r="K226" s="93"/>
      <c r="L226" s="54">
        <v>16</v>
      </c>
      <c r="M226" s="94">
        <f t="shared" si="1"/>
        <v>4.2328042328042331E-3</v>
      </c>
      <c r="N226" s="53">
        <v>792</v>
      </c>
      <c r="O226" s="136">
        <f t="shared" si="2"/>
        <v>1.9309490663422411E-3</v>
      </c>
      <c r="P226" s="79"/>
      <c r="Q226" s="88"/>
      <c r="R226" s="5"/>
    </row>
    <row r="227" spans="1:18" ht="15.6" x14ac:dyDescent="0.3">
      <c r="A227" s="24"/>
      <c r="B227" s="54" t="s">
        <v>227</v>
      </c>
      <c r="C227" s="93"/>
      <c r="D227" s="25"/>
      <c r="E227" s="94"/>
      <c r="F227" s="93"/>
      <c r="G227" s="93"/>
      <c r="H227" s="93"/>
      <c r="I227" s="93"/>
      <c r="J227" s="93"/>
      <c r="K227" s="93"/>
      <c r="L227" s="54">
        <v>1</v>
      </c>
      <c r="M227" s="94">
        <f t="shared" si="1"/>
        <v>2.6455026455026457E-4</v>
      </c>
      <c r="N227" s="53">
        <v>141</v>
      </c>
      <c r="O227" s="136">
        <f t="shared" si="2"/>
        <v>3.4376744741698994E-4</v>
      </c>
      <c r="P227" s="79"/>
      <c r="Q227" s="88"/>
      <c r="R227" s="5"/>
    </row>
    <row r="228" spans="1:18" ht="15.6" x14ac:dyDescent="0.3">
      <c r="A228" s="24"/>
      <c r="B228" s="54" t="s">
        <v>228</v>
      </c>
      <c r="C228" s="93"/>
      <c r="D228" s="25"/>
      <c r="E228" s="94"/>
      <c r="F228" s="93"/>
      <c r="G228" s="93"/>
      <c r="H228" s="93"/>
      <c r="I228" s="93"/>
      <c r="J228" s="93"/>
      <c r="K228" s="93"/>
      <c r="L228" s="54">
        <v>2</v>
      </c>
      <c r="M228" s="94">
        <f t="shared" si="1"/>
        <v>5.2910052910052914E-4</v>
      </c>
      <c r="N228" s="53">
        <v>254</v>
      </c>
      <c r="O228" s="136">
        <f t="shared" si="2"/>
        <v>6.1926901875117334E-4</v>
      </c>
      <c r="P228" s="79"/>
      <c r="Q228" s="88"/>
      <c r="R228" s="5"/>
    </row>
    <row r="229" spans="1:18" ht="15.6" x14ac:dyDescent="0.3">
      <c r="A229" s="24"/>
      <c r="B229" s="54" t="s">
        <v>229</v>
      </c>
      <c r="C229" s="93"/>
      <c r="D229" s="25"/>
      <c r="E229" s="94"/>
      <c r="F229" s="93"/>
      <c r="G229" s="93"/>
      <c r="H229" s="93"/>
      <c r="I229" s="93"/>
      <c r="J229" s="93"/>
      <c r="K229" s="93"/>
      <c r="L229" s="54">
        <v>3</v>
      </c>
      <c r="M229" s="94">
        <f t="shared" si="1"/>
        <v>7.9365079365079365E-4</v>
      </c>
      <c r="N229" s="53">
        <v>253</v>
      </c>
      <c r="O229" s="136">
        <f t="shared" si="2"/>
        <v>6.168309517482159E-4</v>
      </c>
      <c r="P229" s="79"/>
      <c r="Q229" s="88"/>
      <c r="R229" s="5"/>
    </row>
    <row r="230" spans="1:18" ht="15.6" x14ac:dyDescent="0.3">
      <c r="A230" s="24"/>
      <c r="B230" s="54" t="s">
        <v>230</v>
      </c>
      <c r="C230" s="93"/>
      <c r="D230" s="25"/>
      <c r="E230" s="94"/>
      <c r="F230" s="93"/>
      <c r="G230" s="93"/>
      <c r="H230" s="93"/>
      <c r="I230" s="93"/>
      <c r="J230" s="93"/>
      <c r="K230" s="93"/>
      <c r="L230" s="54">
        <v>3</v>
      </c>
      <c r="M230" s="94">
        <f t="shared" si="1"/>
        <v>7.9365079365079365E-4</v>
      </c>
      <c r="N230" s="53">
        <v>240</v>
      </c>
      <c r="O230" s="136">
        <f t="shared" si="2"/>
        <v>5.8513608070977002E-4</v>
      </c>
      <c r="P230" s="79"/>
      <c r="Q230" s="88"/>
      <c r="R230" s="5"/>
    </row>
    <row r="231" spans="1:18" ht="15.6" x14ac:dyDescent="0.3">
      <c r="A231" s="24"/>
      <c r="B231" s="54" t="s">
        <v>231</v>
      </c>
      <c r="C231" s="93"/>
      <c r="D231" s="25"/>
      <c r="E231" s="94"/>
      <c r="F231" s="93"/>
      <c r="G231" s="93"/>
      <c r="H231" s="93"/>
      <c r="I231" s="93"/>
      <c r="J231" s="93"/>
      <c r="K231" s="93"/>
      <c r="L231" s="54">
        <v>1</v>
      </c>
      <c r="M231" s="94">
        <f t="shared" si="1"/>
        <v>2.6455026455026457E-4</v>
      </c>
      <c r="N231" s="53">
        <v>106</v>
      </c>
      <c r="O231" s="136">
        <f t="shared" si="2"/>
        <v>2.584351023134818E-4</v>
      </c>
      <c r="P231" s="79"/>
      <c r="Q231" s="88"/>
      <c r="R231" s="5"/>
    </row>
    <row r="232" spans="1:18" ht="15.6" x14ac:dyDescent="0.3">
      <c r="A232" s="24"/>
      <c r="B232" s="25" t="s">
        <v>129</v>
      </c>
      <c r="C232" s="25"/>
      <c r="D232" s="25"/>
      <c r="E232" s="25"/>
      <c r="F232" s="95"/>
      <c r="G232" s="95"/>
      <c r="H232" s="95"/>
      <c r="I232" s="95"/>
      <c r="J232" s="95"/>
      <c r="K232" s="95"/>
      <c r="L232" s="34">
        <f>SUM(L224:L231)</f>
        <v>3780</v>
      </c>
      <c r="M232" s="136">
        <f>SUM(M224:M231)</f>
        <v>1</v>
      </c>
      <c r="N232" s="53">
        <f>SUM(N224:N231)</f>
        <v>410161</v>
      </c>
      <c r="O232" s="136">
        <f>SUM(O224:O231)</f>
        <v>1.0000000000000002</v>
      </c>
      <c r="P232" s="25"/>
      <c r="Q232" s="25"/>
      <c r="R232" s="5"/>
    </row>
    <row r="233" spans="1:18" ht="15.6" x14ac:dyDescent="0.3">
      <c r="A233" s="24"/>
      <c r="B233" s="25"/>
      <c r="C233" s="25"/>
      <c r="D233" s="25"/>
      <c r="E233" s="25"/>
      <c r="F233" s="95"/>
      <c r="G233" s="95"/>
      <c r="H233" s="95"/>
      <c r="I233" s="95"/>
      <c r="J233" s="95"/>
      <c r="K233" s="95"/>
      <c r="L233" s="34"/>
      <c r="M233" s="136"/>
      <c r="N233" s="53"/>
      <c r="O233" s="136"/>
      <c r="P233" s="25"/>
      <c r="Q233" s="25"/>
      <c r="R233" s="5"/>
    </row>
    <row r="234" spans="1:18" ht="15.6" x14ac:dyDescent="0.3">
      <c r="A234" s="148"/>
      <c r="B234" s="14" t="s">
        <v>238</v>
      </c>
      <c r="C234" s="81"/>
      <c r="D234" s="82"/>
      <c r="E234" s="81"/>
      <c r="F234" s="17"/>
      <c r="G234" s="17"/>
      <c r="H234" s="17"/>
      <c r="I234" s="17"/>
      <c r="J234" s="17"/>
      <c r="K234" s="17"/>
      <c r="L234" s="83" t="s">
        <v>113</v>
      </c>
      <c r="M234" s="17" t="s">
        <v>114</v>
      </c>
      <c r="N234" s="83" t="s">
        <v>123</v>
      </c>
      <c r="O234" s="17" t="s">
        <v>114</v>
      </c>
      <c r="P234" s="8"/>
      <c r="Q234" s="149"/>
      <c r="R234" s="5"/>
    </row>
    <row r="235" spans="1:18" ht="15.6" x14ac:dyDescent="0.3">
      <c r="A235" s="24"/>
      <c r="B235" s="54" t="s">
        <v>98</v>
      </c>
      <c r="C235" s="93"/>
      <c r="D235" s="25"/>
      <c r="E235" s="93"/>
      <c r="F235" s="93"/>
      <c r="G235" s="93"/>
      <c r="H235" s="93"/>
      <c r="I235" s="93"/>
      <c r="J235" s="93"/>
      <c r="K235" s="93"/>
      <c r="L235" s="54">
        <v>12</v>
      </c>
      <c r="M235" s="94">
        <f t="shared" ref="M235:M242" si="3">L235/$L$243</f>
        <v>0.12903225806451613</v>
      </c>
      <c r="N235" s="53">
        <v>1674</v>
      </c>
      <c r="O235" s="136">
        <f t="shared" ref="O235:O242" si="4">N235/$N$243</f>
        <v>0.10785387539462664</v>
      </c>
      <c r="P235" s="79"/>
      <c r="Q235" s="25"/>
      <c r="R235" s="5"/>
    </row>
    <row r="236" spans="1:18" ht="15.6" x14ac:dyDescent="0.3">
      <c r="A236" s="24"/>
      <c r="B236" s="54" t="s">
        <v>99</v>
      </c>
      <c r="C236" s="93"/>
      <c r="D236" s="25"/>
      <c r="E236" s="94"/>
      <c r="F236" s="93"/>
      <c r="G236" s="93"/>
      <c r="H236" s="93"/>
      <c r="I236" s="93"/>
      <c r="J236" s="93"/>
      <c r="K236" s="93"/>
      <c r="L236" s="54">
        <v>34</v>
      </c>
      <c r="M236" s="94">
        <f t="shared" si="3"/>
        <v>0.36559139784946237</v>
      </c>
      <c r="N236" s="53">
        <v>5714</v>
      </c>
      <c r="O236" s="136">
        <f t="shared" si="4"/>
        <v>0.36814638232072677</v>
      </c>
      <c r="P236" s="79"/>
      <c r="Q236" s="25"/>
      <c r="R236" s="5"/>
    </row>
    <row r="237" spans="1:18" ht="15.6" x14ac:dyDescent="0.3">
      <c r="A237" s="24"/>
      <c r="B237" s="54" t="s">
        <v>100</v>
      </c>
      <c r="C237" s="93"/>
      <c r="D237" s="25"/>
      <c r="E237" s="94"/>
      <c r="F237" s="93"/>
      <c r="G237" s="93"/>
      <c r="H237" s="93"/>
      <c r="I237" s="93"/>
      <c r="J237" s="93"/>
      <c r="K237" s="93"/>
      <c r="L237" s="54">
        <v>12</v>
      </c>
      <c r="M237" s="94">
        <f t="shared" si="3"/>
        <v>0.12903225806451613</v>
      </c>
      <c r="N237" s="53">
        <v>1395</v>
      </c>
      <c r="O237" s="136">
        <f t="shared" si="4"/>
        <v>8.9878229495522197E-2</v>
      </c>
      <c r="P237" s="79"/>
      <c r="Q237" s="25"/>
      <c r="R237" s="5"/>
    </row>
    <row r="238" spans="1:18" ht="15.6" x14ac:dyDescent="0.3">
      <c r="A238" s="24"/>
      <c r="B238" s="54" t="s">
        <v>227</v>
      </c>
      <c r="C238" s="93"/>
      <c r="D238" s="25"/>
      <c r="E238" s="94"/>
      <c r="F238" s="93"/>
      <c r="G238" s="93"/>
      <c r="H238" s="93"/>
      <c r="I238" s="93"/>
      <c r="J238" s="93"/>
      <c r="K238" s="93"/>
      <c r="L238" s="54">
        <v>1</v>
      </c>
      <c r="M238" s="94">
        <f t="shared" si="3"/>
        <v>1.0752688172043012E-2</v>
      </c>
      <c r="N238" s="53">
        <v>337</v>
      </c>
      <c r="O238" s="136">
        <f t="shared" si="4"/>
        <v>2.1712518523291025E-2</v>
      </c>
      <c r="P238" s="79"/>
      <c r="Q238" s="25"/>
      <c r="R238" s="5"/>
    </row>
    <row r="239" spans="1:18" ht="15.6" x14ac:dyDescent="0.3">
      <c r="A239" s="24"/>
      <c r="B239" s="54" t="s">
        <v>228</v>
      </c>
      <c r="C239" s="93"/>
      <c r="D239" s="25"/>
      <c r="E239" s="94"/>
      <c r="F239" s="93"/>
      <c r="G239" s="93"/>
      <c r="H239" s="93"/>
      <c r="I239" s="93"/>
      <c r="J239" s="93"/>
      <c r="K239" s="93"/>
      <c r="L239" s="54">
        <v>2</v>
      </c>
      <c r="M239" s="94">
        <f t="shared" si="3"/>
        <v>2.1505376344086023E-2</v>
      </c>
      <c r="N239" s="53">
        <v>629</v>
      </c>
      <c r="O239" s="136">
        <f t="shared" si="4"/>
        <v>4.0525739320920046E-2</v>
      </c>
      <c r="P239" s="79"/>
      <c r="Q239" s="25"/>
      <c r="R239" s="5"/>
    </row>
    <row r="240" spans="1:18" ht="15.6" x14ac:dyDescent="0.3">
      <c r="A240" s="24"/>
      <c r="B240" s="54" t="s">
        <v>229</v>
      </c>
      <c r="C240" s="93"/>
      <c r="D240" s="25"/>
      <c r="E240" s="94"/>
      <c r="F240" s="93"/>
      <c r="G240" s="93"/>
      <c r="H240" s="93"/>
      <c r="I240" s="93"/>
      <c r="J240" s="93"/>
      <c r="K240" s="93"/>
      <c r="L240" s="54">
        <v>9</v>
      </c>
      <c r="M240" s="94">
        <f t="shared" si="3"/>
        <v>9.6774193548387094E-2</v>
      </c>
      <c r="N240" s="53">
        <v>2223</v>
      </c>
      <c r="O240" s="136">
        <f t="shared" si="4"/>
        <v>0.14322530764770311</v>
      </c>
      <c r="P240" s="79"/>
      <c r="Q240" s="25"/>
      <c r="R240" s="5"/>
    </row>
    <row r="241" spans="1:18" ht="15.6" x14ac:dyDescent="0.3">
      <c r="A241" s="24"/>
      <c r="B241" s="54" t="s">
        <v>230</v>
      </c>
      <c r="C241" s="93"/>
      <c r="D241" s="25"/>
      <c r="E241" s="94"/>
      <c r="F241" s="93"/>
      <c r="G241" s="93"/>
      <c r="H241" s="93"/>
      <c r="I241" s="93"/>
      <c r="J241" s="93"/>
      <c r="K241" s="93"/>
      <c r="L241" s="54">
        <v>13</v>
      </c>
      <c r="M241" s="94">
        <f t="shared" si="3"/>
        <v>0.13978494623655913</v>
      </c>
      <c r="N241" s="53">
        <v>2004</v>
      </c>
      <c r="O241" s="136">
        <f t="shared" si="4"/>
        <v>0.12911539204948136</v>
      </c>
      <c r="P241" s="79"/>
      <c r="Q241" s="25"/>
      <c r="R241" s="5"/>
    </row>
    <row r="242" spans="1:18" ht="15.6" x14ac:dyDescent="0.3">
      <c r="A242" s="24"/>
      <c r="B242" s="54" t="s">
        <v>231</v>
      </c>
      <c r="C242" s="93"/>
      <c r="D242" s="25"/>
      <c r="E242" s="94"/>
      <c r="F242" s="93"/>
      <c r="G242" s="93"/>
      <c r="H242" s="93"/>
      <c r="I242" s="93"/>
      <c r="J242" s="93"/>
      <c r="K242" s="93"/>
      <c r="L242" s="54">
        <v>10</v>
      </c>
      <c r="M242" s="94">
        <f t="shared" si="3"/>
        <v>0.10752688172043011</v>
      </c>
      <c r="N242" s="53">
        <v>1545</v>
      </c>
      <c r="O242" s="136">
        <f t="shared" si="4"/>
        <v>9.9542555247728884E-2</v>
      </c>
      <c r="P242" s="79"/>
      <c r="Q242" s="25"/>
      <c r="R242" s="5"/>
    </row>
    <row r="243" spans="1:18" ht="15.6" x14ac:dyDescent="0.3">
      <c r="A243" s="24"/>
      <c r="B243" s="25" t="s">
        <v>129</v>
      </c>
      <c r="C243" s="25"/>
      <c r="D243" s="25"/>
      <c r="E243" s="25"/>
      <c r="F243" s="95"/>
      <c r="G243" s="95"/>
      <c r="H243" s="95"/>
      <c r="I243" s="95"/>
      <c r="J243" s="95"/>
      <c r="K243" s="95"/>
      <c r="L243" s="34">
        <f>SUM(L235:L242)</f>
        <v>93</v>
      </c>
      <c r="M243" s="136">
        <f>SUM(M235:M242)</f>
        <v>1</v>
      </c>
      <c r="N243" s="53">
        <f>SUM(N235:N242)</f>
        <v>15521</v>
      </c>
      <c r="O243" s="136">
        <f>SUM(O235:O242)</f>
        <v>1.0000000000000002</v>
      </c>
      <c r="P243" s="25"/>
      <c r="Q243" s="25"/>
      <c r="R243" s="5"/>
    </row>
    <row r="244" spans="1:18" ht="15.6" x14ac:dyDescent="0.3">
      <c r="A244" s="24"/>
      <c r="B244" s="25"/>
      <c r="C244" s="25"/>
      <c r="D244" s="25"/>
      <c r="E244" s="25"/>
      <c r="F244" s="95"/>
      <c r="G244" s="95"/>
      <c r="H244" s="95"/>
      <c r="I244" s="95"/>
      <c r="J244" s="95"/>
      <c r="K244" s="95"/>
      <c r="L244" s="34"/>
      <c r="M244" s="136"/>
      <c r="N244" s="53"/>
      <c r="O244" s="136"/>
      <c r="P244" s="25"/>
      <c r="Q244" s="25"/>
      <c r="R244" s="5"/>
    </row>
    <row r="245" spans="1:18" ht="15.6" x14ac:dyDescent="0.3">
      <c r="A245" s="148"/>
      <c r="B245" s="14" t="s">
        <v>239</v>
      </c>
      <c r="C245" s="81"/>
      <c r="D245" s="82"/>
      <c r="E245" s="81"/>
      <c r="F245" s="17"/>
      <c r="G245" s="17"/>
      <c r="H245" s="17"/>
      <c r="I245" s="17"/>
      <c r="J245" s="17"/>
      <c r="K245" s="17"/>
      <c r="L245" s="83" t="s">
        <v>113</v>
      </c>
      <c r="M245" s="17" t="s">
        <v>114</v>
      </c>
      <c r="N245" s="83" t="s">
        <v>123</v>
      </c>
      <c r="O245" s="17" t="s">
        <v>114</v>
      </c>
      <c r="P245" s="150"/>
      <c r="Q245" s="149"/>
      <c r="R245" s="5"/>
    </row>
    <row r="246" spans="1:18" ht="15.6" x14ac:dyDescent="0.3">
      <c r="A246" s="24"/>
      <c r="B246" s="54" t="s">
        <v>98</v>
      </c>
      <c r="C246" s="93"/>
      <c r="D246" s="25"/>
      <c r="E246" s="93"/>
      <c r="F246" s="93"/>
      <c r="G246" s="93"/>
      <c r="H246" s="93"/>
      <c r="I246" s="93"/>
      <c r="J246" s="93"/>
      <c r="K246" s="93"/>
      <c r="L246" s="54">
        <v>0</v>
      </c>
      <c r="M246" s="136">
        <f t="shared" ref="M246:M254" si="5">L246/$L$254</f>
        <v>0</v>
      </c>
      <c r="N246" s="53">
        <v>0</v>
      </c>
      <c r="O246" s="136">
        <f t="shared" ref="O246:O254" si="6">N246/$N$254</f>
        <v>0</v>
      </c>
      <c r="P246" s="25"/>
      <c r="Q246" s="25"/>
      <c r="R246" s="5"/>
    </row>
    <row r="247" spans="1:18" ht="15.6" x14ac:dyDescent="0.3">
      <c r="A247" s="24"/>
      <c r="B247" s="54" t="s">
        <v>99</v>
      </c>
      <c r="C247" s="93"/>
      <c r="D247" s="25"/>
      <c r="E247" s="94"/>
      <c r="F247" s="93"/>
      <c r="G247" s="93"/>
      <c r="H247" s="93"/>
      <c r="I247" s="93"/>
      <c r="J247" s="93"/>
      <c r="K247" s="93"/>
      <c r="L247" s="54">
        <v>0</v>
      </c>
      <c r="M247" s="136">
        <f t="shared" si="5"/>
        <v>0</v>
      </c>
      <c r="N247" s="53">
        <v>0</v>
      </c>
      <c r="O247" s="136">
        <f t="shared" si="6"/>
        <v>0</v>
      </c>
      <c r="P247" s="25"/>
      <c r="Q247" s="25"/>
      <c r="R247" s="5"/>
    </row>
    <row r="248" spans="1:18" ht="15.6" x14ac:dyDescent="0.3">
      <c r="A248" s="24"/>
      <c r="B248" s="54" t="s">
        <v>100</v>
      </c>
      <c r="C248" s="93"/>
      <c r="D248" s="25"/>
      <c r="E248" s="94"/>
      <c r="F248" s="93"/>
      <c r="G248" s="93"/>
      <c r="H248" s="93"/>
      <c r="I248" s="93"/>
      <c r="J248" s="93"/>
      <c r="K248" s="93"/>
      <c r="L248" s="54">
        <v>0</v>
      </c>
      <c r="M248" s="136">
        <f t="shared" si="5"/>
        <v>0</v>
      </c>
      <c r="N248" s="53">
        <v>0</v>
      </c>
      <c r="O248" s="136">
        <f t="shared" si="6"/>
        <v>0</v>
      </c>
      <c r="P248" s="25"/>
      <c r="Q248" s="25"/>
      <c r="R248" s="5"/>
    </row>
    <row r="249" spans="1:18" ht="15.6" x14ac:dyDescent="0.3">
      <c r="A249" s="24"/>
      <c r="B249" s="54" t="s">
        <v>227</v>
      </c>
      <c r="C249" s="93"/>
      <c r="D249" s="25"/>
      <c r="E249" s="94"/>
      <c r="F249" s="93"/>
      <c r="G249" s="93"/>
      <c r="H249" s="93"/>
      <c r="I249" s="93"/>
      <c r="J249" s="93"/>
      <c r="K249" s="93"/>
      <c r="L249" s="54">
        <v>0</v>
      </c>
      <c r="M249" s="136">
        <f t="shared" si="5"/>
        <v>0</v>
      </c>
      <c r="N249" s="53">
        <v>0</v>
      </c>
      <c r="O249" s="136">
        <f t="shared" si="6"/>
        <v>0</v>
      </c>
      <c r="P249" s="25"/>
      <c r="Q249" s="25"/>
      <c r="R249" s="5"/>
    </row>
    <row r="250" spans="1:18" ht="15.6" x14ac:dyDescent="0.3">
      <c r="A250" s="24"/>
      <c r="B250" s="54" t="s">
        <v>228</v>
      </c>
      <c r="C250" s="93"/>
      <c r="D250" s="25"/>
      <c r="E250" s="94"/>
      <c r="F250" s="93"/>
      <c r="G250" s="93"/>
      <c r="H250" s="93"/>
      <c r="I250" s="93"/>
      <c r="J250" s="93"/>
      <c r="K250" s="93"/>
      <c r="L250" s="54">
        <v>0</v>
      </c>
      <c r="M250" s="136">
        <f t="shared" si="5"/>
        <v>0</v>
      </c>
      <c r="N250" s="53">
        <v>0</v>
      </c>
      <c r="O250" s="136">
        <f t="shared" si="6"/>
        <v>0</v>
      </c>
      <c r="P250" s="25"/>
      <c r="Q250" s="25"/>
      <c r="R250" s="5"/>
    </row>
    <row r="251" spans="1:18" ht="15.6" x14ac:dyDescent="0.3">
      <c r="A251" s="24"/>
      <c r="B251" s="54" t="s">
        <v>229</v>
      </c>
      <c r="C251" s="93"/>
      <c r="D251" s="25"/>
      <c r="E251" s="94"/>
      <c r="F251" s="93"/>
      <c r="G251" s="93"/>
      <c r="H251" s="93"/>
      <c r="I251" s="93"/>
      <c r="J251" s="93"/>
      <c r="K251" s="93"/>
      <c r="L251" s="54">
        <v>0</v>
      </c>
      <c r="M251" s="136">
        <f t="shared" si="5"/>
        <v>0</v>
      </c>
      <c r="N251" s="53">
        <v>0</v>
      </c>
      <c r="O251" s="136">
        <f t="shared" si="6"/>
        <v>0</v>
      </c>
      <c r="P251" s="25"/>
      <c r="Q251" s="25"/>
      <c r="R251" s="5"/>
    </row>
    <row r="252" spans="1:18" ht="15.6" x14ac:dyDescent="0.3">
      <c r="A252" s="24"/>
      <c r="B252" s="54" t="s">
        <v>230</v>
      </c>
      <c r="C252" s="93"/>
      <c r="D252" s="25"/>
      <c r="E252" s="94"/>
      <c r="F252" s="93"/>
      <c r="G252" s="93"/>
      <c r="H252" s="93"/>
      <c r="I252" s="93"/>
      <c r="J252" s="93"/>
      <c r="K252" s="93"/>
      <c r="L252" s="54">
        <v>0</v>
      </c>
      <c r="M252" s="136">
        <f t="shared" si="5"/>
        <v>0</v>
      </c>
      <c r="N252" s="53">
        <v>0</v>
      </c>
      <c r="O252" s="136">
        <f t="shared" si="6"/>
        <v>0</v>
      </c>
      <c r="P252" s="25"/>
      <c r="Q252" s="25"/>
      <c r="R252" s="5"/>
    </row>
    <row r="253" spans="1:18" ht="15.6" x14ac:dyDescent="0.3">
      <c r="A253" s="24"/>
      <c r="B253" s="54" t="s">
        <v>231</v>
      </c>
      <c r="C253" s="93"/>
      <c r="D253" s="25"/>
      <c r="E253" s="94"/>
      <c r="F253" s="93"/>
      <c r="G253" s="93"/>
      <c r="H253" s="93"/>
      <c r="I253" s="93"/>
      <c r="J253" s="93"/>
      <c r="K253" s="93"/>
      <c r="L253" s="54">
        <v>2</v>
      </c>
      <c r="M253" s="136">
        <f t="shared" si="5"/>
        <v>1</v>
      </c>
      <c r="N253" s="53">
        <v>177</v>
      </c>
      <c r="O253" s="136">
        <f t="shared" si="6"/>
        <v>1</v>
      </c>
      <c r="P253" s="25"/>
      <c r="Q253" s="25"/>
      <c r="R253" s="5"/>
    </row>
    <row r="254" spans="1:18" ht="15.6" x14ac:dyDescent="0.3">
      <c r="A254" s="24"/>
      <c r="B254" s="25" t="s">
        <v>129</v>
      </c>
      <c r="C254" s="25"/>
      <c r="D254" s="25"/>
      <c r="E254" s="25"/>
      <c r="F254" s="95"/>
      <c r="G254" s="95"/>
      <c r="H254" s="95"/>
      <c r="I254" s="95"/>
      <c r="J254" s="95"/>
      <c r="K254" s="95"/>
      <c r="L254" s="34">
        <f>SUM(L246:L253)</f>
        <v>2</v>
      </c>
      <c r="M254" s="136">
        <f t="shared" si="5"/>
        <v>1</v>
      </c>
      <c r="N254" s="53">
        <f>SUM(N246:N253)</f>
        <v>177</v>
      </c>
      <c r="O254" s="136">
        <f t="shared" si="6"/>
        <v>1</v>
      </c>
      <c r="P254" s="25"/>
      <c r="Q254" s="25"/>
      <c r="R254" s="5"/>
    </row>
    <row r="255" spans="1:18" ht="15.6" x14ac:dyDescent="0.3">
      <c r="A255" s="24"/>
      <c r="B255" s="25"/>
      <c r="C255" s="25"/>
      <c r="D255" s="25"/>
      <c r="E255" s="25"/>
      <c r="F255" s="95"/>
      <c r="G255" s="95"/>
      <c r="H255" s="95"/>
      <c r="I255" s="95"/>
      <c r="J255" s="95"/>
      <c r="K255" s="95"/>
      <c r="L255" s="34"/>
      <c r="M255" s="136"/>
      <c r="N255" s="53"/>
      <c r="O255" s="136"/>
      <c r="P255" s="25"/>
      <c r="Q255" s="25"/>
      <c r="R255" s="5"/>
    </row>
    <row r="256" spans="1:18" ht="15.6" x14ac:dyDescent="0.3">
      <c r="A256" s="24"/>
      <c r="B256" s="152" t="s">
        <v>240</v>
      </c>
      <c r="C256" s="25"/>
      <c r="D256" s="25"/>
      <c r="E256" s="25"/>
      <c r="F256" s="95"/>
      <c r="G256" s="95"/>
      <c r="H256" s="95"/>
      <c r="I256" s="95"/>
      <c r="J256" s="95"/>
      <c r="K256" s="95"/>
      <c r="L256" s="173">
        <f>+L232+L243+L254</f>
        <v>3875</v>
      </c>
      <c r="M256" s="136"/>
      <c r="N256" s="175">
        <f>+N254+N243+N232</f>
        <v>425859</v>
      </c>
      <c r="O256" s="136"/>
      <c r="P256" s="25"/>
      <c r="Q256" s="25"/>
      <c r="R256" s="5"/>
    </row>
    <row r="257" spans="1:18" ht="15.6" x14ac:dyDescent="0.3">
      <c r="A257" s="24"/>
      <c r="B257" s="25"/>
      <c r="C257" s="25"/>
      <c r="D257" s="25"/>
      <c r="E257" s="25"/>
      <c r="F257" s="95"/>
      <c r="G257" s="95"/>
      <c r="H257" s="95"/>
      <c r="I257" s="95"/>
      <c r="J257" s="95"/>
      <c r="K257" s="95"/>
      <c r="L257" s="95"/>
      <c r="M257" s="95"/>
      <c r="N257" s="53"/>
      <c r="O257" s="95"/>
      <c r="P257" s="25"/>
      <c r="Q257" s="25"/>
      <c r="R257" s="5"/>
    </row>
    <row r="258" spans="1:18" ht="15.6" x14ac:dyDescent="0.3">
      <c r="A258" s="6"/>
      <c r="B258" s="8"/>
      <c r="C258" s="8"/>
      <c r="D258" s="8"/>
      <c r="E258" s="8"/>
      <c r="F258" s="96"/>
      <c r="G258" s="96"/>
      <c r="H258" s="96"/>
      <c r="I258" s="96"/>
      <c r="J258" s="96"/>
      <c r="K258" s="96"/>
      <c r="L258" s="96"/>
      <c r="M258" s="96"/>
      <c r="N258" s="97"/>
      <c r="O258" s="96"/>
      <c r="P258" s="8"/>
      <c r="Q258" s="8"/>
      <c r="R258" s="5"/>
    </row>
    <row r="259" spans="1:18" ht="15.6" x14ac:dyDescent="0.3">
      <c r="A259" s="145"/>
      <c r="B259" s="14" t="s">
        <v>102</v>
      </c>
      <c r="C259" s="15"/>
      <c r="D259" s="15"/>
      <c r="E259" s="15"/>
      <c r="F259" s="17" t="s">
        <v>108</v>
      </c>
      <c r="G259" s="15"/>
      <c r="H259" s="14" t="s">
        <v>110</v>
      </c>
      <c r="I259" s="140"/>
      <c r="J259" s="140"/>
      <c r="K259" s="140"/>
      <c r="L259" s="140"/>
      <c r="M259" s="140"/>
      <c r="N259" s="140"/>
      <c r="O259" s="140"/>
      <c r="P259" s="140"/>
      <c r="Q259" s="140"/>
      <c r="R259" s="5"/>
    </row>
    <row r="260" spans="1:18" ht="15.6" x14ac:dyDescent="0.3">
      <c r="A260" s="145"/>
      <c r="B260" s="140"/>
      <c r="C260" s="8"/>
      <c r="D260" s="8"/>
      <c r="E260" s="8"/>
      <c r="F260" s="8"/>
      <c r="G260" s="8"/>
      <c r="H260" s="8"/>
      <c r="I260" s="140"/>
      <c r="J260" s="140"/>
      <c r="K260" s="140"/>
      <c r="L260" s="140"/>
      <c r="M260" s="140"/>
      <c r="N260" s="140"/>
      <c r="O260" s="140"/>
      <c r="P260" s="140"/>
      <c r="Q260" s="140"/>
      <c r="R260" s="5"/>
    </row>
    <row r="261" spans="1:18" ht="15.6" x14ac:dyDescent="0.3">
      <c r="A261" s="145"/>
      <c r="B261" s="13" t="s">
        <v>103</v>
      </c>
      <c r="C261" s="13"/>
      <c r="D261" s="13"/>
      <c r="E261" s="13"/>
      <c r="F261" s="134" t="s">
        <v>212</v>
      </c>
      <c r="G261" s="13"/>
      <c r="H261" s="13" t="s">
        <v>222</v>
      </c>
      <c r="I261" s="140"/>
      <c r="J261" s="140"/>
      <c r="K261" s="140"/>
      <c r="L261" s="140"/>
      <c r="M261" s="140"/>
      <c r="N261" s="140"/>
      <c r="O261" s="140"/>
      <c r="P261" s="140"/>
      <c r="Q261" s="140"/>
      <c r="R261" s="5"/>
    </row>
    <row r="262" spans="1:18" ht="15.6" x14ac:dyDescent="0.3">
      <c r="A262" s="145"/>
      <c r="B262" s="13" t="s">
        <v>263</v>
      </c>
      <c r="C262" s="13"/>
      <c r="D262" s="13"/>
      <c r="E262" s="13"/>
      <c r="F262" s="134" t="s">
        <v>264</v>
      </c>
      <c r="G262" s="13"/>
      <c r="H262" s="13" t="s">
        <v>265</v>
      </c>
      <c r="I262" s="140"/>
      <c r="J262" s="140"/>
      <c r="K262" s="140"/>
      <c r="L262" s="140"/>
      <c r="M262" s="140"/>
      <c r="N262" s="140"/>
      <c r="O262" s="140"/>
      <c r="P262" s="140"/>
      <c r="Q262" s="140"/>
      <c r="R262" s="5"/>
    </row>
    <row r="263" spans="1:18" ht="15.6" x14ac:dyDescent="0.3">
      <c r="A263" s="145"/>
      <c r="B263" s="13" t="s">
        <v>104</v>
      </c>
      <c r="C263" s="13"/>
      <c r="D263" s="13"/>
      <c r="E263" s="13"/>
      <c r="F263" s="134" t="s">
        <v>211</v>
      </c>
      <c r="G263" s="13"/>
      <c r="H263" s="13" t="s">
        <v>223</v>
      </c>
      <c r="I263" s="140"/>
      <c r="J263" s="140"/>
      <c r="K263" s="140"/>
      <c r="L263" s="140"/>
      <c r="M263" s="140"/>
      <c r="N263" s="140"/>
      <c r="O263" s="140"/>
      <c r="P263" s="140"/>
      <c r="Q263" s="140"/>
      <c r="R263" s="5"/>
    </row>
    <row r="264" spans="1:18" ht="15.6" x14ac:dyDescent="0.3">
      <c r="A264" s="145"/>
      <c r="B264" s="13"/>
      <c r="C264" s="13"/>
      <c r="D264" s="13"/>
      <c r="E264" s="99"/>
      <c r="F264" s="140"/>
      <c r="G264" s="140"/>
      <c r="H264" s="140"/>
      <c r="I264" s="140"/>
      <c r="J264" s="140"/>
      <c r="K264" s="140"/>
      <c r="L264" s="140"/>
      <c r="M264" s="140"/>
      <c r="N264" s="140"/>
      <c r="O264" s="140"/>
      <c r="P264" s="140"/>
      <c r="Q264" s="140"/>
      <c r="R264" s="5"/>
    </row>
    <row r="265" spans="1:18" ht="15.6" x14ac:dyDescent="0.3">
      <c r="A265" s="145"/>
      <c r="B265" s="13"/>
      <c r="C265" s="13"/>
      <c r="D265" s="13"/>
      <c r="E265" s="99"/>
      <c r="F265" s="140"/>
      <c r="G265" s="140"/>
      <c r="H265" s="140"/>
      <c r="I265" s="140"/>
      <c r="J265" s="140"/>
      <c r="K265" s="140"/>
      <c r="L265" s="140"/>
      <c r="M265" s="140"/>
      <c r="N265" s="140"/>
      <c r="O265" s="140"/>
      <c r="P265" s="140"/>
      <c r="Q265" s="140"/>
      <c r="R265" s="5"/>
    </row>
    <row r="266" spans="1:18" ht="18" thickBot="1" x14ac:dyDescent="0.35">
      <c r="A266" s="145"/>
      <c r="B266" s="49" t="str">
        <f>B184</f>
        <v>PM7 INVESTOR REPORT QUARTER ENDING APRIL 2009</v>
      </c>
      <c r="C266" s="13"/>
      <c r="D266" s="13"/>
      <c r="E266" s="99"/>
      <c r="F266" s="140"/>
      <c r="G266" s="140"/>
      <c r="H266" s="140"/>
      <c r="I266" s="140"/>
      <c r="J266" s="140"/>
      <c r="K266" s="140"/>
      <c r="L266" s="140"/>
      <c r="M266" s="140"/>
      <c r="N266" s="140"/>
      <c r="O266" s="140"/>
      <c r="P266" s="140"/>
      <c r="Q266" s="140"/>
      <c r="R266" s="5"/>
    </row>
    <row r="267" spans="1:18" x14ac:dyDescent="0.25">
      <c r="A267" s="100"/>
      <c r="B267" s="100"/>
      <c r="C267" s="100"/>
      <c r="D267" s="100"/>
      <c r="E267" s="100"/>
      <c r="F267" s="100"/>
      <c r="G267" s="100"/>
      <c r="H267" s="100"/>
      <c r="I267" s="100"/>
      <c r="J267" s="100"/>
      <c r="K267" s="100"/>
      <c r="L267" s="100"/>
      <c r="M267" s="100"/>
      <c r="N267" s="100"/>
      <c r="O267" s="100"/>
      <c r="P267" s="100"/>
      <c r="Q267" s="100"/>
    </row>
  </sheetData>
  <phoneticPr fontId="0" type="noConversion"/>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3" max="14" man="1"/>
    <brk id="184" max="1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8"/>
  </sheetPr>
  <dimension ref="A1:S226"/>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14.453125" style="1" bestFit="1" customWidth="1"/>
    <col min="7" max="7" width="2.1796875" style="1" customWidth="1"/>
    <col min="8" max="8" width="14.90625" style="1" customWidth="1"/>
    <col min="9" max="9" width="2.36328125" style="1" customWidth="1"/>
    <col min="10" max="10" width="15.5429687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4"/>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5.6" x14ac:dyDescent="0.3">
      <c r="A9" s="6"/>
      <c r="B9" s="140"/>
      <c r="C9" s="8"/>
      <c r="D9" s="8"/>
      <c r="E9" s="8"/>
      <c r="F9" s="8"/>
      <c r="G9" s="8"/>
      <c r="H9" s="8"/>
      <c r="I9" s="8"/>
      <c r="J9" s="8"/>
      <c r="K9" s="8"/>
      <c r="L9" s="8"/>
      <c r="M9" s="8"/>
      <c r="N9" s="8"/>
      <c r="O9" s="8"/>
      <c r="P9" s="8"/>
      <c r="Q9" s="8"/>
      <c r="R9" s="5"/>
    </row>
    <row r="10" spans="1:18" ht="15.6" x14ac:dyDescent="0.3">
      <c r="A10" s="6"/>
      <c r="B10" s="11"/>
      <c r="C10" s="13"/>
      <c r="D10" s="8"/>
      <c r="E10" s="8"/>
      <c r="F10" s="8"/>
      <c r="G10" s="8"/>
      <c r="H10" s="8"/>
      <c r="I10" s="8"/>
      <c r="J10" s="8"/>
      <c r="K10" s="8"/>
      <c r="L10" s="8"/>
      <c r="M10" s="8"/>
      <c r="N10" s="8"/>
      <c r="O10" s="8"/>
      <c r="P10" s="8"/>
      <c r="Q10" s="8"/>
      <c r="R10" s="5"/>
    </row>
    <row r="11" spans="1:18" ht="15.6" x14ac:dyDescent="0.3">
      <c r="A11" s="6"/>
      <c r="B11" s="14" t="s">
        <v>0</v>
      </c>
      <c r="C11" s="8"/>
      <c r="D11" s="8"/>
      <c r="E11" s="8"/>
      <c r="F11" s="8"/>
      <c r="G11" s="8"/>
      <c r="H11" s="8"/>
      <c r="I11" s="8"/>
      <c r="J11" s="8"/>
      <c r="K11" s="8"/>
      <c r="L11" s="8"/>
      <c r="M11" s="8"/>
      <c r="N11" s="8"/>
      <c r="O11" s="8"/>
      <c r="P11" s="8"/>
      <c r="Q11" s="8"/>
      <c r="R11" s="5"/>
    </row>
    <row r="12" spans="1:18" ht="16.2" thickBot="1" x14ac:dyDescent="0.35">
      <c r="A12" s="6"/>
      <c r="B12" s="13"/>
      <c r="C12" s="8"/>
      <c r="D12" s="8"/>
      <c r="E12" s="8"/>
      <c r="F12" s="8"/>
      <c r="G12" s="8"/>
      <c r="H12" s="8"/>
      <c r="I12" s="8"/>
      <c r="J12" s="8"/>
      <c r="K12" s="8"/>
      <c r="L12" s="8"/>
      <c r="M12" s="8"/>
      <c r="N12" s="8"/>
      <c r="O12" s="8"/>
      <c r="P12" s="8"/>
      <c r="Q12" s="8"/>
      <c r="R12" s="5"/>
    </row>
    <row r="13" spans="1:18" ht="15.6" x14ac:dyDescent="0.3">
      <c r="A13" s="2"/>
      <c r="B13" s="4"/>
      <c r="C13" s="4"/>
      <c r="D13" s="4"/>
      <c r="E13" s="4"/>
      <c r="F13" s="4"/>
      <c r="G13" s="4"/>
      <c r="H13" s="4"/>
      <c r="I13" s="4"/>
      <c r="J13" s="4"/>
      <c r="K13" s="4"/>
      <c r="L13" s="4"/>
      <c r="M13" s="4"/>
      <c r="N13" s="4"/>
      <c r="O13" s="4"/>
      <c r="P13" s="4"/>
      <c r="Q13" s="4"/>
      <c r="R13" s="5"/>
    </row>
    <row r="14" spans="1:18" ht="15.6" x14ac:dyDescent="0.3">
      <c r="A14" s="6"/>
      <c r="B14" s="14" t="s">
        <v>1</v>
      </c>
      <c r="C14" s="15"/>
      <c r="D14" s="15"/>
      <c r="E14" s="15"/>
      <c r="F14" s="15"/>
      <c r="G14" s="15"/>
      <c r="H14" s="15"/>
      <c r="I14" s="15"/>
      <c r="J14" s="15"/>
      <c r="K14" s="15"/>
      <c r="L14" s="15"/>
      <c r="M14" s="15"/>
      <c r="N14" s="15"/>
      <c r="O14" s="15"/>
      <c r="P14" s="16" t="s">
        <v>167</v>
      </c>
      <c r="Q14" s="15"/>
      <c r="R14" s="5"/>
    </row>
    <row r="15" spans="1:18" ht="15.6" x14ac:dyDescent="0.3">
      <c r="A15" s="6"/>
      <c r="B15" s="14" t="s">
        <v>2</v>
      </c>
      <c r="C15" s="15"/>
      <c r="D15" s="15"/>
      <c r="E15" s="15"/>
      <c r="F15" s="18"/>
      <c r="G15" s="18"/>
      <c r="H15" s="18"/>
      <c r="I15" s="18"/>
      <c r="J15" s="18"/>
      <c r="K15" s="18"/>
      <c r="L15" s="18" t="s">
        <v>115</v>
      </c>
      <c r="M15" s="138">
        <v>0.91859999999999997</v>
      </c>
      <c r="N15" s="17" t="s">
        <v>173</v>
      </c>
      <c r="O15" s="138">
        <v>8.14E-2</v>
      </c>
      <c r="P15" s="16"/>
      <c r="Q15" s="15"/>
      <c r="R15" s="5"/>
    </row>
    <row r="16" spans="1:18" ht="15.6" x14ac:dyDescent="0.3">
      <c r="A16" s="6"/>
      <c r="B16" s="14" t="s">
        <v>3</v>
      </c>
      <c r="C16" s="15"/>
      <c r="D16" s="15"/>
      <c r="E16" s="15"/>
      <c r="F16" s="18"/>
      <c r="G16" s="18"/>
      <c r="H16" s="18"/>
      <c r="I16" s="18"/>
      <c r="J16" s="18"/>
      <c r="K16" s="18"/>
      <c r="L16" s="18" t="s">
        <v>115</v>
      </c>
      <c r="M16" s="138">
        <v>0.93689999999999996</v>
      </c>
      <c r="N16" s="17" t="s">
        <v>173</v>
      </c>
      <c r="O16" s="138">
        <v>6.3100000000000003E-2</v>
      </c>
      <c r="P16" s="16"/>
      <c r="Q16" s="15"/>
      <c r="R16" s="5"/>
    </row>
    <row r="17" spans="1:18" ht="15.6" x14ac:dyDescent="0.3">
      <c r="A17" s="6"/>
      <c r="B17" s="14" t="s">
        <v>4</v>
      </c>
      <c r="C17" s="15"/>
      <c r="D17" s="15"/>
      <c r="E17" s="15"/>
      <c r="F17" s="15"/>
      <c r="G17" s="15"/>
      <c r="H17" s="15"/>
      <c r="I17" s="15"/>
      <c r="J17" s="15"/>
      <c r="K17" s="15"/>
      <c r="L17" s="15"/>
      <c r="M17" s="15"/>
      <c r="N17" s="15"/>
      <c r="O17" s="15"/>
      <c r="P17" s="19">
        <v>38133</v>
      </c>
      <c r="Q17" s="15"/>
      <c r="R17" s="5"/>
    </row>
    <row r="18" spans="1:18" ht="15.6" x14ac:dyDescent="0.3">
      <c r="A18" s="6"/>
      <c r="B18" s="14" t="s">
        <v>5</v>
      </c>
      <c r="C18" s="15"/>
      <c r="D18" s="15"/>
      <c r="E18" s="15"/>
      <c r="F18" s="15"/>
      <c r="G18" s="15"/>
      <c r="H18" s="15"/>
      <c r="I18" s="15"/>
      <c r="J18" s="15"/>
      <c r="K18" s="15"/>
      <c r="L18" s="15"/>
      <c r="M18" s="15"/>
      <c r="N18" s="15"/>
      <c r="O18" s="15"/>
      <c r="P18" s="19">
        <v>38398</v>
      </c>
      <c r="Q18" s="15"/>
      <c r="R18" s="5"/>
    </row>
    <row r="19" spans="1:18" ht="15.6" x14ac:dyDescent="0.3">
      <c r="A19" s="6"/>
      <c r="B19" s="8"/>
      <c r="C19" s="8"/>
      <c r="D19" s="8"/>
      <c r="E19" s="8"/>
      <c r="F19" s="8"/>
      <c r="G19" s="8"/>
      <c r="H19" s="8"/>
      <c r="I19" s="8"/>
      <c r="J19" s="8"/>
      <c r="K19" s="8"/>
      <c r="L19" s="8"/>
      <c r="M19" s="8"/>
      <c r="N19" s="8"/>
      <c r="O19" s="8"/>
      <c r="P19" s="20"/>
      <c r="Q19" s="8"/>
      <c r="R19" s="5"/>
    </row>
    <row r="20" spans="1:18" ht="15.6" x14ac:dyDescent="0.3">
      <c r="A20" s="6"/>
      <c r="B20" s="21" t="s">
        <v>6</v>
      </c>
      <c r="C20" s="8"/>
      <c r="D20" s="8"/>
      <c r="E20" s="8"/>
      <c r="F20" s="8"/>
      <c r="G20" s="8"/>
      <c r="H20" s="8"/>
      <c r="I20" s="8"/>
      <c r="J20" s="8"/>
      <c r="K20" s="8"/>
      <c r="L20" s="8"/>
      <c r="M20" s="8"/>
      <c r="N20" s="20" t="s">
        <v>116</v>
      </c>
      <c r="O20" s="8"/>
      <c r="P20" s="140"/>
      <c r="Q20" s="8"/>
      <c r="R20" s="5"/>
    </row>
    <row r="21" spans="1:18" ht="15.6" x14ac:dyDescent="0.3">
      <c r="A21" s="6"/>
      <c r="B21" s="8"/>
      <c r="C21" s="8"/>
      <c r="D21" s="8"/>
      <c r="E21" s="8"/>
      <c r="F21" s="8"/>
      <c r="G21" s="8"/>
      <c r="H21" s="8"/>
      <c r="I21" s="8"/>
      <c r="J21" s="8"/>
      <c r="K21" s="8"/>
      <c r="L21" s="8"/>
      <c r="M21" s="8"/>
      <c r="N21" s="8"/>
      <c r="O21" s="8"/>
      <c r="P21" s="22"/>
      <c r="Q21" s="8"/>
      <c r="R21" s="5"/>
    </row>
    <row r="22" spans="1:18" ht="15.6" x14ac:dyDescent="0.3">
      <c r="A22" s="6"/>
      <c r="B22" s="8"/>
      <c r="C22" s="112"/>
      <c r="D22" s="112" t="s">
        <v>168</v>
      </c>
      <c r="E22" s="112"/>
      <c r="F22" s="112" t="s">
        <v>169</v>
      </c>
      <c r="G22" s="112"/>
      <c r="H22" s="112" t="s">
        <v>174</v>
      </c>
      <c r="I22" s="112"/>
      <c r="J22" s="112" t="s">
        <v>133</v>
      </c>
      <c r="K22" s="112"/>
      <c r="L22" s="112" t="s">
        <v>134</v>
      </c>
      <c r="M22" s="113"/>
      <c r="N22" s="23"/>
      <c r="O22" s="140"/>
      <c r="P22" s="140"/>
      <c r="Q22" s="8"/>
      <c r="R22" s="5"/>
    </row>
    <row r="23" spans="1:18" ht="15.6" x14ac:dyDescent="0.3">
      <c r="A23" s="24"/>
      <c r="B23" s="25" t="s">
        <v>7</v>
      </c>
      <c r="C23" s="26"/>
      <c r="D23" s="26" t="s">
        <v>175</v>
      </c>
      <c r="E23" s="26"/>
      <c r="F23" s="26" t="s">
        <v>175</v>
      </c>
      <c r="G23" s="26"/>
      <c r="H23" s="26" t="s">
        <v>175</v>
      </c>
      <c r="I23" s="26"/>
      <c r="J23" s="26" t="s">
        <v>176</v>
      </c>
      <c r="K23" s="26"/>
      <c r="L23" s="26" t="s">
        <v>176</v>
      </c>
      <c r="M23" s="26"/>
      <c r="N23" s="26"/>
      <c r="O23" s="141"/>
      <c r="P23" s="141"/>
      <c r="Q23" s="25"/>
      <c r="R23" s="5"/>
    </row>
    <row r="24" spans="1:18" ht="15.6" x14ac:dyDescent="0.3">
      <c r="A24" s="24"/>
      <c r="B24" s="25" t="s">
        <v>8</v>
      </c>
      <c r="C24" s="26"/>
      <c r="D24" s="26" t="s">
        <v>177</v>
      </c>
      <c r="E24" s="26"/>
      <c r="F24" s="26" t="s">
        <v>177</v>
      </c>
      <c r="G24" s="26"/>
      <c r="H24" s="26" t="s">
        <v>177</v>
      </c>
      <c r="I24" s="26"/>
      <c r="J24" s="26" t="s">
        <v>178</v>
      </c>
      <c r="K24" s="26"/>
      <c r="L24" s="26" t="s">
        <v>178</v>
      </c>
      <c r="M24" s="26"/>
      <c r="N24" s="26"/>
      <c r="O24" s="141"/>
      <c r="P24" s="141"/>
      <c r="Q24" s="25"/>
      <c r="R24" s="5"/>
    </row>
    <row r="25" spans="1:18" ht="15.6" x14ac:dyDescent="0.3">
      <c r="A25" s="24"/>
      <c r="B25" s="25" t="s">
        <v>135</v>
      </c>
      <c r="C25" s="26"/>
      <c r="D25" s="26" t="s">
        <v>177</v>
      </c>
      <c r="E25" s="26"/>
      <c r="F25" s="26" t="s">
        <v>177</v>
      </c>
      <c r="G25" s="26"/>
      <c r="H25" s="26" t="s">
        <v>177</v>
      </c>
      <c r="I25" s="26"/>
      <c r="J25" s="26" t="s">
        <v>178</v>
      </c>
      <c r="K25" s="26"/>
      <c r="L25" s="26" t="s">
        <v>178</v>
      </c>
      <c r="M25" s="26"/>
      <c r="N25" s="26"/>
      <c r="O25" s="141"/>
      <c r="P25" s="141"/>
      <c r="Q25" s="25"/>
      <c r="R25" s="5"/>
    </row>
    <row r="26" spans="1:18" ht="15.6" x14ac:dyDescent="0.3">
      <c r="A26" s="28"/>
      <c r="B26" s="29" t="s">
        <v>9</v>
      </c>
      <c r="C26" s="123"/>
      <c r="D26" s="123" t="s">
        <v>175</v>
      </c>
      <c r="E26" s="123"/>
      <c r="F26" s="123" t="s">
        <v>175</v>
      </c>
      <c r="G26" s="123"/>
      <c r="H26" s="123" t="s">
        <v>175</v>
      </c>
      <c r="I26" s="123"/>
      <c r="J26" s="123" t="s">
        <v>176</v>
      </c>
      <c r="K26" s="123"/>
      <c r="L26" s="123" t="s">
        <v>176</v>
      </c>
      <c r="M26" s="123"/>
      <c r="N26" s="26"/>
      <c r="O26" s="141"/>
      <c r="P26" s="141"/>
      <c r="Q26" s="25"/>
      <c r="R26" s="5"/>
    </row>
    <row r="27" spans="1:18" ht="15.6" x14ac:dyDescent="0.3">
      <c r="A27" s="28"/>
      <c r="B27" s="29" t="s">
        <v>10</v>
      </c>
      <c r="C27" s="123"/>
      <c r="D27" s="123" t="s">
        <v>177</v>
      </c>
      <c r="E27" s="123"/>
      <c r="F27" s="123" t="s">
        <v>177</v>
      </c>
      <c r="G27" s="123"/>
      <c r="H27" s="123" t="s">
        <v>177</v>
      </c>
      <c r="I27" s="123"/>
      <c r="J27" s="123" t="s">
        <v>178</v>
      </c>
      <c r="K27" s="123"/>
      <c r="L27" s="123" t="s">
        <v>178</v>
      </c>
      <c r="M27" s="123"/>
      <c r="N27" s="26"/>
      <c r="O27" s="141"/>
      <c r="P27" s="141"/>
      <c r="Q27" s="25"/>
      <c r="R27" s="5"/>
    </row>
    <row r="28" spans="1:18" ht="15.6" x14ac:dyDescent="0.3">
      <c r="A28" s="28"/>
      <c r="B28" s="29" t="s">
        <v>136</v>
      </c>
      <c r="C28" s="123"/>
      <c r="D28" s="123" t="s">
        <v>177</v>
      </c>
      <c r="E28" s="123"/>
      <c r="F28" s="123" t="s">
        <v>177</v>
      </c>
      <c r="G28" s="123"/>
      <c r="H28" s="123" t="s">
        <v>177</v>
      </c>
      <c r="I28" s="123"/>
      <c r="J28" s="123" t="s">
        <v>178</v>
      </c>
      <c r="K28" s="123"/>
      <c r="L28" s="123" t="s">
        <v>178</v>
      </c>
      <c r="M28" s="123"/>
      <c r="N28" s="26"/>
      <c r="O28" s="141"/>
      <c r="P28" s="141"/>
      <c r="Q28" s="25"/>
      <c r="R28" s="5"/>
    </row>
    <row r="29" spans="1:18" ht="15.6" x14ac:dyDescent="0.3">
      <c r="A29" s="24"/>
      <c r="B29" s="25" t="s">
        <v>11</v>
      </c>
      <c r="C29" s="26"/>
      <c r="D29" s="30" t="s">
        <v>181</v>
      </c>
      <c r="E29" s="26"/>
      <c r="F29" s="26" t="s">
        <v>183</v>
      </c>
      <c r="G29" s="26"/>
      <c r="H29" s="26" t="s">
        <v>184</v>
      </c>
      <c r="I29" s="26"/>
      <c r="J29" s="26" t="s">
        <v>185</v>
      </c>
      <c r="K29" s="26"/>
      <c r="L29" s="26" t="s">
        <v>189</v>
      </c>
      <c r="M29" s="26"/>
      <c r="N29" s="30"/>
      <c r="O29" s="141"/>
      <c r="P29" s="141"/>
      <c r="Q29" s="25"/>
      <c r="R29" s="5"/>
    </row>
    <row r="30" spans="1:18" ht="15.6" x14ac:dyDescent="0.3">
      <c r="A30" s="24"/>
      <c r="B30" s="25" t="s">
        <v>11</v>
      </c>
      <c r="C30" s="26"/>
      <c r="D30" s="30" t="s">
        <v>182</v>
      </c>
      <c r="E30" s="26"/>
      <c r="F30" s="30" t="s">
        <v>137</v>
      </c>
      <c r="G30" s="26"/>
      <c r="H30" s="30" t="s">
        <v>137</v>
      </c>
      <c r="I30" s="26"/>
      <c r="J30" s="30" t="s">
        <v>186</v>
      </c>
      <c r="K30" s="26"/>
      <c r="L30" s="30" t="s">
        <v>137</v>
      </c>
      <c r="M30" s="26"/>
      <c r="N30" s="30"/>
      <c r="O30" s="141"/>
      <c r="P30" s="141"/>
      <c r="Q30" s="25"/>
      <c r="R30" s="5"/>
    </row>
    <row r="31" spans="1:18" ht="15.6" x14ac:dyDescent="0.3">
      <c r="A31" s="24"/>
      <c r="B31" s="25"/>
      <c r="C31" s="26"/>
      <c r="D31" s="26"/>
      <c r="E31" s="26"/>
      <c r="F31" s="26"/>
      <c r="G31" s="26"/>
      <c r="H31" s="26"/>
      <c r="I31" s="26"/>
      <c r="J31" s="26"/>
      <c r="K31" s="26"/>
      <c r="L31" s="26"/>
      <c r="M31" s="26"/>
      <c r="N31" s="26"/>
      <c r="O31" s="141"/>
      <c r="P31" s="141"/>
      <c r="Q31" s="25"/>
      <c r="R31" s="5"/>
    </row>
    <row r="32" spans="1:18" ht="15.6" x14ac:dyDescent="0.3">
      <c r="A32" s="24"/>
      <c r="B32" s="25" t="s">
        <v>157</v>
      </c>
      <c r="C32" s="32"/>
      <c r="D32" s="130">
        <v>450000</v>
      </c>
      <c r="E32" s="31"/>
      <c r="F32" s="131">
        <v>220000</v>
      </c>
      <c r="G32" s="31"/>
      <c r="H32" s="124">
        <v>500000</v>
      </c>
      <c r="I32" s="31"/>
      <c r="J32" s="130">
        <v>82500</v>
      </c>
      <c r="K32" s="31"/>
      <c r="L32" s="124">
        <v>65000</v>
      </c>
      <c r="M32" s="31"/>
      <c r="N32" s="31"/>
      <c r="O32" s="142"/>
      <c r="P32" s="31"/>
      <c r="Q32" s="34"/>
      <c r="R32" s="5"/>
    </row>
    <row r="33" spans="1:18" ht="15.6" x14ac:dyDescent="0.3">
      <c r="A33" s="24"/>
      <c r="B33" s="25" t="s">
        <v>156</v>
      </c>
      <c r="C33" s="32"/>
      <c r="D33" s="130">
        <f>+D32*D39</f>
        <v>429923.69999999995</v>
      </c>
      <c r="E33" s="31"/>
      <c r="F33" s="131">
        <f>+F32*F39</f>
        <v>210182.94</v>
      </c>
      <c r="G33" s="31"/>
      <c r="H33" s="124">
        <f>+H32*H39</f>
        <v>477694</v>
      </c>
      <c r="I33" s="31"/>
      <c r="J33" s="130">
        <v>82500</v>
      </c>
      <c r="K33" s="31"/>
      <c r="L33" s="124">
        <v>65000</v>
      </c>
      <c r="M33" s="31"/>
      <c r="N33" s="31"/>
      <c r="O33" s="142"/>
      <c r="P33" s="31"/>
      <c r="Q33" s="34"/>
      <c r="R33" s="5"/>
    </row>
    <row r="34" spans="1:18" ht="15.6" x14ac:dyDescent="0.3">
      <c r="A34" s="28"/>
      <c r="B34" s="29" t="s">
        <v>158</v>
      </c>
      <c r="C34" s="36"/>
      <c r="D34" s="129">
        <f>+D32*D38</f>
        <v>417872.7</v>
      </c>
      <c r="E34" s="35"/>
      <c r="F34" s="132">
        <f>+F32*F38</f>
        <v>204290.02000000002</v>
      </c>
      <c r="G34" s="35"/>
      <c r="H34" s="125">
        <f>+H32*H38</f>
        <v>464304.5</v>
      </c>
      <c r="I34" s="35"/>
      <c r="J34" s="129">
        <v>82500</v>
      </c>
      <c r="K34" s="35"/>
      <c r="L34" s="125">
        <v>65000</v>
      </c>
      <c r="M34" s="35"/>
      <c r="N34" s="35"/>
      <c r="O34" s="37"/>
      <c r="P34" s="35"/>
      <c r="Q34" s="34"/>
      <c r="R34" s="5"/>
    </row>
    <row r="35" spans="1:18" ht="15.6" x14ac:dyDescent="0.3">
      <c r="A35" s="24"/>
      <c r="B35" s="25" t="s">
        <v>279</v>
      </c>
      <c r="C35" s="32"/>
      <c r="D35" s="31">
        <v>252951</v>
      </c>
      <c r="E35" s="31"/>
      <c r="F35" s="31">
        <v>220000</v>
      </c>
      <c r="G35" s="31"/>
      <c r="H35" s="31">
        <v>337500</v>
      </c>
      <c r="I35" s="31"/>
      <c r="J35" s="31">
        <v>46374</v>
      </c>
      <c r="K35" s="31"/>
      <c r="L35" s="31">
        <v>43875</v>
      </c>
      <c r="M35" s="31"/>
      <c r="N35" s="31"/>
      <c r="O35" s="142"/>
      <c r="P35" s="31">
        <f>SUM(C35:L35)</f>
        <v>900700</v>
      </c>
      <c r="Q35" s="34"/>
      <c r="R35" s="5"/>
    </row>
    <row r="36" spans="1:18" ht="15.6" x14ac:dyDescent="0.3">
      <c r="A36" s="24"/>
      <c r="B36" s="25" t="s">
        <v>280</v>
      </c>
      <c r="C36" s="32"/>
      <c r="D36" s="31">
        <f>+D33/1.779</f>
        <v>241665.93591905563</v>
      </c>
      <c r="E36" s="31"/>
      <c r="F36" s="31">
        <f>+F33</f>
        <v>210182.94</v>
      </c>
      <c r="G36" s="31"/>
      <c r="H36" s="31">
        <f>+H33/1.481481</f>
        <v>322443.55479415529</v>
      </c>
      <c r="I36" s="31"/>
      <c r="J36" s="31">
        <v>46374</v>
      </c>
      <c r="K36" s="31"/>
      <c r="L36" s="31">
        <v>43875</v>
      </c>
      <c r="M36" s="31"/>
      <c r="N36" s="31"/>
      <c r="O36" s="142"/>
      <c r="P36" s="31">
        <f>SUM(C36:L36)+1</f>
        <v>864542.43071321095</v>
      </c>
      <c r="Q36" s="34"/>
      <c r="R36" s="5"/>
    </row>
    <row r="37" spans="1:18" ht="15.6" x14ac:dyDescent="0.3">
      <c r="A37" s="28"/>
      <c r="B37" s="29" t="s">
        <v>281</v>
      </c>
      <c r="C37" s="36"/>
      <c r="D37" s="35">
        <f>D34/1.779</f>
        <v>234891.90556492412</v>
      </c>
      <c r="E37" s="35"/>
      <c r="F37" s="35">
        <f>+F34</f>
        <v>204290.02000000002</v>
      </c>
      <c r="G37" s="35"/>
      <c r="H37" s="35">
        <f>H34/1.481481</f>
        <v>313405.63935683278</v>
      </c>
      <c r="I37" s="35"/>
      <c r="J37" s="35">
        <v>46374</v>
      </c>
      <c r="K37" s="35"/>
      <c r="L37" s="35">
        <v>43875</v>
      </c>
      <c r="M37" s="35"/>
      <c r="N37" s="35"/>
      <c r="O37" s="37"/>
      <c r="P37" s="35">
        <f>SUM(D37:L37)+1</f>
        <v>842837.56492175697</v>
      </c>
      <c r="Q37" s="34"/>
      <c r="R37" s="5"/>
    </row>
    <row r="38" spans="1:18" ht="15.6" x14ac:dyDescent="0.3">
      <c r="A38" s="28"/>
      <c r="B38" s="122" t="s">
        <v>154</v>
      </c>
      <c r="C38" s="126"/>
      <c r="D38" s="139">
        <v>0.92860600000000004</v>
      </c>
      <c r="E38" s="139"/>
      <c r="F38" s="139">
        <v>0.92859100000000006</v>
      </c>
      <c r="G38" s="139"/>
      <c r="H38" s="139">
        <v>0.92860900000000002</v>
      </c>
      <c r="I38" s="139"/>
      <c r="J38" s="139">
        <v>1</v>
      </c>
      <c r="K38" s="139"/>
      <c r="L38" s="139">
        <v>1</v>
      </c>
      <c r="M38" s="31"/>
      <c r="N38" s="31"/>
      <c r="O38" s="142"/>
      <c r="P38" s="31"/>
      <c r="Q38" s="34"/>
      <c r="R38" s="5"/>
    </row>
    <row r="39" spans="1:18" ht="15.6" x14ac:dyDescent="0.3">
      <c r="A39" s="28"/>
      <c r="B39" s="122" t="s">
        <v>155</v>
      </c>
      <c r="C39" s="126"/>
      <c r="D39" s="139">
        <v>0.95538599999999996</v>
      </c>
      <c r="E39" s="139"/>
      <c r="F39" s="139">
        <v>0.95537700000000003</v>
      </c>
      <c r="G39" s="139"/>
      <c r="H39" s="139">
        <v>0.95538800000000001</v>
      </c>
      <c r="I39" s="139"/>
      <c r="J39" s="139">
        <v>1</v>
      </c>
      <c r="K39" s="139"/>
      <c r="L39" s="139">
        <v>1</v>
      </c>
      <c r="M39" s="128"/>
      <c r="N39" s="128"/>
      <c r="O39" s="142"/>
      <c r="P39" s="31"/>
      <c r="Q39" s="34"/>
      <c r="R39" s="5"/>
    </row>
    <row r="40" spans="1:18" ht="15.6" x14ac:dyDescent="0.3">
      <c r="A40" s="24"/>
      <c r="B40" s="25" t="s">
        <v>12</v>
      </c>
      <c r="C40" s="25"/>
      <c r="D40" s="30" t="s">
        <v>179</v>
      </c>
      <c r="E40" s="30"/>
      <c r="F40" s="30" t="s">
        <v>179</v>
      </c>
      <c r="G40" s="30"/>
      <c r="H40" s="30" t="s">
        <v>179</v>
      </c>
      <c r="I40" s="30"/>
      <c r="J40" s="30" t="s">
        <v>187</v>
      </c>
      <c r="K40" s="30"/>
      <c r="L40" s="30" t="s">
        <v>187</v>
      </c>
      <c r="M40" s="30"/>
      <c r="N40" s="30"/>
      <c r="O40" s="141"/>
      <c r="P40" s="141"/>
      <c r="Q40" s="25"/>
      <c r="R40" s="5"/>
    </row>
    <row r="41" spans="1:18" ht="15.6" x14ac:dyDescent="0.3">
      <c r="A41" s="24"/>
      <c r="B41" s="25" t="s">
        <v>13</v>
      </c>
      <c r="C41" s="25"/>
      <c r="D41" s="38">
        <v>2.5000000000000001E-2</v>
      </c>
      <c r="E41" s="39"/>
      <c r="F41" s="38">
        <v>5.0999999999999997E-2</v>
      </c>
      <c r="G41" s="39"/>
      <c r="H41" s="38">
        <v>2.3820000000000001E-2</v>
      </c>
      <c r="I41" s="39"/>
      <c r="J41" s="38">
        <v>3.04E-2</v>
      </c>
      <c r="K41" s="39"/>
      <c r="L41" s="38">
        <v>2.9219999999999999E-2</v>
      </c>
      <c r="M41" s="39"/>
      <c r="N41" s="38"/>
      <c r="O41" s="141"/>
      <c r="P41" s="39"/>
      <c r="Q41" s="25"/>
      <c r="R41" s="5"/>
    </row>
    <row r="42" spans="1:18" ht="15.6" x14ac:dyDescent="0.3">
      <c r="A42" s="24"/>
      <c r="B42" s="25" t="s">
        <v>14</v>
      </c>
      <c r="C42" s="25"/>
      <c r="D42" s="38">
        <v>1.76452E-2</v>
      </c>
      <c r="E42" s="39"/>
      <c r="F42" s="38">
        <v>5.02569E-2</v>
      </c>
      <c r="G42" s="39"/>
      <c r="H42" s="38">
        <v>2.3570000000000001E-2</v>
      </c>
      <c r="I42" s="39"/>
      <c r="J42" s="38">
        <v>2.3045199999999998E-2</v>
      </c>
      <c r="K42" s="39"/>
      <c r="L42" s="38">
        <v>2.8969999999999999E-2</v>
      </c>
      <c r="M42" s="39"/>
      <c r="N42" s="38"/>
      <c r="O42" s="141"/>
      <c r="P42" s="141"/>
      <c r="Q42" s="25"/>
      <c r="R42" s="5"/>
    </row>
    <row r="43" spans="1:18" ht="15.6" x14ac:dyDescent="0.3">
      <c r="A43" s="24"/>
      <c r="B43" s="25" t="s">
        <v>282</v>
      </c>
      <c r="C43" s="25"/>
      <c r="D43" s="30" t="s">
        <v>204</v>
      </c>
      <c r="E43" s="30"/>
      <c r="F43" s="30" t="s">
        <v>179</v>
      </c>
      <c r="G43" s="30"/>
      <c r="H43" s="30" t="s">
        <v>205</v>
      </c>
      <c r="I43" s="30"/>
      <c r="J43" s="30" t="s">
        <v>206</v>
      </c>
      <c r="K43" s="30"/>
      <c r="L43" s="30" t="s">
        <v>206</v>
      </c>
      <c r="M43" s="39"/>
      <c r="N43" s="38"/>
      <c r="O43" s="141"/>
      <c r="P43" s="39"/>
      <c r="Q43" s="25"/>
      <c r="R43" s="5"/>
    </row>
    <row r="44" spans="1:18" ht="15.6" x14ac:dyDescent="0.3">
      <c r="A44" s="24"/>
      <c r="B44" s="25" t="s">
        <v>285</v>
      </c>
      <c r="C44" s="25"/>
      <c r="D44" s="38">
        <v>5.1944999999999998E-2</v>
      </c>
      <c r="E44" s="39"/>
      <c r="F44" s="38">
        <v>5.0999999999999997E-2</v>
      </c>
      <c r="G44" s="39"/>
      <c r="H44" s="38">
        <v>5.1825000000000003E-2</v>
      </c>
      <c r="I44" s="39"/>
      <c r="J44" s="38">
        <v>5.8075000000000002E-2</v>
      </c>
      <c r="K44" s="39"/>
      <c r="L44" s="38">
        <v>5.8075000000000002E-2</v>
      </c>
      <c r="M44" s="39"/>
      <c r="N44" s="38"/>
      <c r="O44" s="141"/>
      <c r="P44" s="39">
        <f>SUMPRODUCT(D44:L44,D36:L36)/P36</f>
        <v>5.2310347389444074E-2</v>
      </c>
      <c r="Q44" s="25"/>
      <c r="R44" s="5"/>
    </row>
    <row r="45" spans="1:18" ht="15.6" x14ac:dyDescent="0.3">
      <c r="A45" s="24"/>
      <c r="B45" s="25" t="s">
        <v>283</v>
      </c>
      <c r="C45" s="25"/>
      <c r="D45" s="38">
        <v>5.1201900000000002E-2</v>
      </c>
      <c r="E45" s="39"/>
      <c r="F45" s="38">
        <v>5.02569E-2</v>
      </c>
      <c r="G45" s="39"/>
      <c r="H45" s="38">
        <v>5.10819E-2</v>
      </c>
      <c r="I45" s="39"/>
      <c r="J45" s="38">
        <v>5.7331899999999998E-2</v>
      </c>
      <c r="K45" s="39"/>
      <c r="L45" s="38">
        <v>5.7331899999999998E-2</v>
      </c>
      <c r="M45" s="39"/>
      <c r="N45" s="38"/>
      <c r="O45" s="141"/>
      <c r="P45" s="141"/>
      <c r="Q45" s="25"/>
      <c r="R45" s="5"/>
    </row>
    <row r="46" spans="1:18" ht="15.6" x14ac:dyDescent="0.3">
      <c r="A46" s="24"/>
      <c r="B46" s="25" t="s">
        <v>15</v>
      </c>
      <c r="C46" s="110"/>
      <c r="D46" s="110">
        <v>39583</v>
      </c>
      <c r="E46" s="110"/>
      <c r="F46" s="110">
        <v>39583</v>
      </c>
      <c r="G46" s="110"/>
      <c r="H46" s="110">
        <v>39583</v>
      </c>
      <c r="I46" s="110"/>
      <c r="J46" s="110">
        <v>39583</v>
      </c>
      <c r="K46" s="110"/>
      <c r="L46" s="110">
        <v>39583</v>
      </c>
      <c r="M46" s="30"/>
      <c r="N46" s="30"/>
      <c r="O46" s="141"/>
      <c r="P46" s="141"/>
      <c r="Q46" s="25"/>
      <c r="R46" s="5"/>
    </row>
    <row r="47" spans="1:18" ht="15.6" x14ac:dyDescent="0.3">
      <c r="A47" s="24"/>
      <c r="B47" s="25" t="s">
        <v>16</v>
      </c>
      <c r="C47" s="110"/>
      <c r="D47" s="110">
        <v>40313</v>
      </c>
      <c r="E47" s="110"/>
      <c r="F47" s="110">
        <v>40313</v>
      </c>
      <c r="G47" s="30"/>
      <c r="H47" s="110">
        <v>40313</v>
      </c>
      <c r="I47" s="30"/>
      <c r="J47" s="110">
        <v>40313</v>
      </c>
      <c r="K47" s="30"/>
      <c r="L47" s="110">
        <v>40313</v>
      </c>
      <c r="M47" s="30"/>
      <c r="N47" s="30"/>
      <c r="O47" s="141"/>
      <c r="P47" s="141"/>
      <c r="Q47" s="25"/>
      <c r="R47" s="5"/>
    </row>
    <row r="48" spans="1:18" ht="15.6" x14ac:dyDescent="0.3">
      <c r="A48" s="24"/>
      <c r="B48" s="25" t="s">
        <v>140</v>
      </c>
      <c r="C48" s="25"/>
      <c r="D48" s="30" t="s">
        <v>180</v>
      </c>
      <c r="E48" s="30"/>
      <c r="F48" s="30" t="s">
        <v>180</v>
      </c>
      <c r="G48" s="30"/>
      <c r="H48" s="30" t="s">
        <v>180</v>
      </c>
      <c r="I48" s="30"/>
      <c r="J48" s="30" t="s">
        <v>188</v>
      </c>
      <c r="K48" s="30"/>
      <c r="L48" s="30" t="s">
        <v>188</v>
      </c>
      <c r="M48" s="30"/>
      <c r="N48" s="30"/>
      <c r="O48" s="141"/>
      <c r="P48" s="141"/>
      <c r="Q48" s="25"/>
      <c r="R48" s="5"/>
    </row>
    <row r="49" spans="1:18" ht="15.6" x14ac:dyDescent="0.3">
      <c r="A49" s="24"/>
      <c r="B49" s="25" t="s">
        <v>284</v>
      </c>
      <c r="C49" s="25"/>
      <c r="D49" s="30" t="s">
        <v>207</v>
      </c>
      <c r="E49" s="30"/>
      <c r="F49" s="30" t="s">
        <v>180</v>
      </c>
      <c r="G49" s="30"/>
      <c r="H49" s="30" t="s">
        <v>208</v>
      </c>
      <c r="I49" s="30"/>
      <c r="J49" s="30" t="s">
        <v>209</v>
      </c>
      <c r="K49" s="30"/>
      <c r="L49" s="30" t="s">
        <v>209</v>
      </c>
      <c r="M49" s="30"/>
      <c r="N49" s="30"/>
      <c r="O49" s="141"/>
      <c r="P49" s="141"/>
      <c r="Q49" s="25"/>
      <c r="R49" s="5"/>
    </row>
    <row r="50" spans="1:18" ht="15.6" x14ac:dyDescent="0.3">
      <c r="A50" s="24"/>
      <c r="B50" s="25"/>
      <c r="C50" s="25"/>
      <c r="D50" s="30"/>
      <c r="E50" s="30"/>
      <c r="F50" s="40"/>
      <c r="G50" s="40"/>
      <c r="H50" s="40"/>
      <c r="I50" s="40"/>
      <c r="J50" s="40"/>
      <c r="K50" s="40"/>
      <c r="L50" s="40"/>
      <c r="M50" s="40"/>
      <c r="N50" s="40"/>
      <c r="O50" s="40"/>
      <c r="P50" s="40"/>
      <c r="Q50" s="25"/>
      <c r="R50" s="5"/>
    </row>
    <row r="51" spans="1:18" ht="15.6" x14ac:dyDescent="0.3">
      <c r="A51" s="24"/>
      <c r="B51" s="25" t="s">
        <v>17</v>
      </c>
      <c r="C51" s="25"/>
      <c r="D51" s="41"/>
      <c r="E51" s="25"/>
      <c r="F51" s="25"/>
      <c r="G51" s="25"/>
      <c r="H51" s="25"/>
      <c r="I51" s="25"/>
      <c r="J51" s="25"/>
      <c r="K51" s="25"/>
      <c r="L51" s="25"/>
      <c r="M51" s="25"/>
      <c r="N51" s="25"/>
      <c r="O51" s="25"/>
      <c r="P51" s="39">
        <f>SUM(J35:L35)/SUM(D35:H35)</f>
        <v>0.11135651631005453</v>
      </c>
      <c r="Q51" s="25"/>
      <c r="R51" s="5"/>
    </row>
    <row r="52" spans="1:18" ht="15.6" x14ac:dyDescent="0.3">
      <c r="A52" s="24"/>
      <c r="B52" s="25" t="s">
        <v>18</v>
      </c>
      <c r="C52" s="25"/>
      <c r="D52" s="41"/>
      <c r="E52" s="25"/>
      <c r="F52" s="25"/>
      <c r="G52" s="25"/>
      <c r="H52" s="25"/>
      <c r="I52" s="25"/>
      <c r="J52" s="25"/>
      <c r="K52" s="25"/>
      <c r="L52" s="25"/>
      <c r="M52" s="25"/>
      <c r="N52" s="25"/>
      <c r="O52" s="25"/>
      <c r="P52" s="39">
        <f>SUM(J37:L37)/SUM(D37:H37)</f>
        <v>0.11991827158263341</v>
      </c>
      <c r="Q52" s="25"/>
      <c r="R52" s="5"/>
    </row>
    <row r="53" spans="1:18" ht="15.6" x14ac:dyDescent="0.3">
      <c r="A53" s="24"/>
      <c r="B53" s="25" t="s">
        <v>19</v>
      </c>
      <c r="C53" s="25"/>
      <c r="D53" s="25"/>
      <c r="E53" s="25"/>
      <c r="F53" s="25"/>
      <c r="G53" s="25"/>
      <c r="H53" s="25"/>
      <c r="I53" s="25"/>
      <c r="J53" s="25"/>
      <c r="K53" s="25"/>
      <c r="L53" s="25"/>
      <c r="M53" s="25"/>
      <c r="N53" s="30" t="s">
        <v>117</v>
      </c>
      <c r="O53" s="30" t="s">
        <v>124</v>
      </c>
      <c r="P53" s="31">
        <f>+P35/2-SUM(J35:L35)</f>
        <v>360101</v>
      </c>
      <c r="Q53" s="25"/>
      <c r="R53" s="5"/>
    </row>
    <row r="54" spans="1:18" ht="15.6" x14ac:dyDescent="0.3">
      <c r="A54" s="24"/>
      <c r="B54" s="25"/>
      <c r="C54" s="25"/>
      <c r="D54" s="25"/>
      <c r="E54" s="25"/>
      <c r="F54" s="25"/>
      <c r="G54" s="25"/>
      <c r="H54" s="25"/>
      <c r="I54" s="25"/>
      <c r="J54" s="25"/>
      <c r="K54" s="25"/>
      <c r="L54" s="25"/>
      <c r="M54" s="25"/>
      <c r="N54" s="25" t="s">
        <v>275</v>
      </c>
      <c r="O54" s="25"/>
      <c r="P54" s="42"/>
      <c r="Q54" s="25"/>
      <c r="R54" s="5"/>
    </row>
    <row r="55" spans="1:18" ht="15.6" x14ac:dyDescent="0.3">
      <c r="A55" s="24"/>
      <c r="B55" s="25" t="s">
        <v>193</v>
      </c>
      <c r="C55" s="25"/>
      <c r="D55" s="25"/>
      <c r="E55" s="25"/>
      <c r="F55" s="25"/>
      <c r="G55" s="25"/>
      <c r="H55" s="25"/>
      <c r="I55" s="25"/>
      <c r="J55" s="25"/>
      <c r="K55" s="25"/>
      <c r="L55" s="25"/>
      <c r="M55" s="25"/>
      <c r="N55" s="30"/>
      <c r="O55" s="30"/>
      <c r="P55" s="30" t="s">
        <v>126</v>
      </c>
      <c r="Q55" s="25"/>
      <c r="R55" s="5"/>
    </row>
    <row r="56" spans="1:18" ht="15.6" x14ac:dyDescent="0.3">
      <c r="A56" s="24"/>
      <c r="B56" s="29" t="s">
        <v>194</v>
      </c>
      <c r="C56" s="29"/>
      <c r="D56" s="29"/>
      <c r="E56" s="29"/>
      <c r="F56" s="29"/>
      <c r="G56" s="29"/>
      <c r="H56" s="29"/>
      <c r="I56" s="29"/>
      <c r="J56" s="29"/>
      <c r="K56" s="29"/>
      <c r="L56" s="29"/>
      <c r="M56" s="29"/>
      <c r="N56" s="43"/>
      <c r="O56" s="43"/>
      <c r="P56" s="44">
        <v>38398</v>
      </c>
      <c r="Q56" s="25"/>
      <c r="R56" s="5"/>
    </row>
    <row r="57" spans="1:18" ht="15.6" x14ac:dyDescent="0.3">
      <c r="A57" s="24"/>
      <c r="B57" s="25" t="s">
        <v>142</v>
      </c>
      <c r="C57" s="25"/>
      <c r="D57" s="25"/>
      <c r="E57" s="25"/>
      <c r="F57" s="58"/>
      <c r="G57" s="58"/>
      <c r="H57" s="58"/>
      <c r="I57" s="58"/>
      <c r="J57" s="58"/>
      <c r="K57" s="58"/>
      <c r="L57" s="25">
        <f>+P57-N57+1</f>
        <v>173</v>
      </c>
      <c r="M57" s="58"/>
      <c r="N57" s="45">
        <v>38133</v>
      </c>
      <c r="O57" s="46"/>
      <c r="P57" s="45">
        <v>38305</v>
      </c>
      <c r="Q57" s="25"/>
      <c r="R57" s="5"/>
    </row>
    <row r="58" spans="1:18" ht="15.6" x14ac:dyDescent="0.3">
      <c r="A58" s="24"/>
      <c r="B58" s="25" t="s">
        <v>143</v>
      </c>
      <c r="C58" s="25"/>
      <c r="D58" s="25"/>
      <c r="E58" s="25"/>
      <c r="F58" s="25"/>
      <c r="G58" s="25"/>
      <c r="H58" s="25"/>
      <c r="I58" s="25"/>
      <c r="J58" s="25"/>
      <c r="K58" s="25"/>
      <c r="L58" s="25">
        <f>+P58-N58+1</f>
        <v>92</v>
      </c>
      <c r="M58" s="25"/>
      <c r="N58" s="45">
        <v>38306</v>
      </c>
      <c r="O58" s="46"/>
      <c r="P58" s="45">
        <v>38397</v>
      </c>
      <c r="Q58" s="25"/>
      <c r="R58" s="5"/>
    </row>
    <row r="59" spans="1:18" ht="15.6" x14ac:dyDescent="0.3">
      <c r="A59" s="24"/>
      <c r="B59" s="25" t="s">
        <v>216</v>
      </c>
      <c r="C59" s="25"/>
      <c r="D59" s="25"/>
      <c r="E59" s="25"/>
      <c r="F59" s="25"/>
      <c r="G59" s="25"/>
      <c r="H59" s="25"/>
      <c r="I59" s="25"/>
      <c r="J59" s="25"/>
      <c r="K59" s="25"/>
      <c r="L59" s="25"/>
      <c r="M59" s="25"/>
      <c r="N59" s="45"/>
      <c r="O59" s="46"/>
      <c r="P59" s="45" t="s">
        <v>141</v>
      </c>
      <c r="Q59" s="25"/>
      <c r="R59" s="5"/>
    </row>
    <row r="60" spans="1:18" ht="15.6" x14ac:dyDescent="0.3">
      <c r="A60" s="24"/>
      <c r="B60" s="25" t="s">
        <v>213</v>
      </c>
      <c r="C60" s="25"/>
      <c r="D60" s="25"/>
      <c r="E60" s="25"/>
      <c r="F60" s="25"/>
      <c r="G60" s="25"/>
      <c r="H60" s="25"/>
      <c r="I60" s="25"/>
      <c r="J60" s="25"/>
      <c r="K60" s="25"/>
      <c r="L60" s="25"/>
      <c r="M60" s="25"/>
      <c r="N60" s="45"/>
      <c r="O60" s="46"/>
      <c r="P60" s="45" t="s">
        <v>225</v>
      </c>
      <c r="Q60" s="25"/>
      <c r="R60" s="5"/>
    </row>
    <row r="61" spans="1:18" ht="15.6" x14ac:dyDescent="0.3">
      <c r="A61" s="24"/>
      <c r="B61" s="25" t="s">
        <v>20</v>
      </c>
      <c r="C61" s="25"/>
      <c r="D61" s="25"/>
      <c r="E61" s="25"/>
      <c r="F61" s="25"/>
      <c r="G61" s="25"/>
      <c r="H61" s="25"/>
      <c r="I61" s="25"/>
      <c r="J61" s="25"/>
      <c r="K61" s="25"/>
      <c r="L61" s="25"/>
      <c r="M61" s="25"/>
      <c r="N61" s="45"/>
      <c r="O61" s="46"/>
      <c r="P61" s="45">
        <v>38384</v>
      </c>
      <c r="Q61" s="25"/>
      <c r="R61" s="5"/>
    </row>
    <row r="62" spans="1:18" ht="15.6" x14ac:dyDescent="0.3">
      <c r="A62" s="24"/>
      <c r="B62" s="25"/>
      <c r="C62" s="25"/>
      <c r="D62" s="25"/>
      <c r="E62" s="25"/>
      <c r="F62" s="25"/>
      <c r="G62" s="25"/>
      <c r="H62" s="25"/>
      <c r="I62" s="25"/>
      <c r="J62" s="25"/>
      <c r="K62" s="25"/>
      <c r="L62" s="25"/>
      <c r="M62" s="25"/>
      <c r="N62" s="45"/>
      <c r="O62" s="46"/>
      <c r="P62" s="45"/>
      <c r="Q62" s="25"/>
      <c r="R62" s="5"/>
    </row>
    <row r="63" spans="1:18" ht="15.6" x14ac:dyDescent="0.3">
      <c r="A63" s="6"/>
      <c r="B63" s="8"/>
      <c r="C63" s="8"/>
      <c r="D63" s="8"/>
      <c r="E63" s="8"/>
      <c r="F63" s="8"/>
      <c r="G63" s="8"/>
      <c r="H63" s="8"/>
      <c r="I63" s="8"/>
      <c r="J63" s="8"/>
      <c r="K63" s="8"/>
      <c r="L63" s="8"/>
      <c r="M63" s="8"/>
      <c r="N63" s="47"/>
      <c r="O63" s="48"/>
      <c r="P63" s="47"/>
      <c r="Q63" s="8"/>
      <c r="R63" s="5"/>
    </row>
    <row r="64" spans="1:18" ht="18" thickBot="1" x14ac:dyDescent="0.35">
      <c r="A64" s="101"/>
      <c r="B64" s="102" t="s">
        <v>224</v>
      </c>
      <c r="C64" s="103"/>
      <c r="D64" s="103"/>
      <c r="E64" s="103"/>
      <c r="F64" s="103"/>
      <c r="G64" s="103"/>
      <c r="H64" s="103"/>
      <c r="I64" s="103"/>
      <c r="J64" s="103"/>
      <c r="K64" s="103"/>
      <c r="L64" s="103"/>
      <c r="M64" s="103"/>
      <c r="N64" s="103"/>
      <c r="O64" s="103"/>
      <c r="P64" s="104"/>
      <c r="Q64" s="105"/>
      <c r="R64" s="5"/>
    </row>
    <row r="65" spans="1:18" ht="15.6" x14ac:dyDescent="0.3">
      <c r="A65" s="2"/>
      <c r="B65" s="4"/>
      <c r="C65" s="4"/>
      <c r="D65" s="4"/>
      <c r="E65" s="4"/>
      <c r="F65" s="4"/>
      <c r="G65" s="4"/>
      <c r="H65" s="4"/>
      <c r="I65" s="4"/>
      <c r="J65" s="4"/>
      <c r="K65" s="4"/>
      <c r="L65" s="4"/>
      <c r="M65" s="4"/>
      <c r="N65" s="4"/>
      <c r="O65" s="4"/>
      <c r="P65" s="50"/>
      <c r="Q65" s="4"/>
      <c r="R65" s="5"/>
    </row>
    <row r="66" spans="1:18" ht="15.6" x14ac:dyDescent="0.3">
      <c r="A66" s="6"/>
      <c r="B66" s="51" t="s">
        <v>21</v>
      </c>
      <c r="C66" s="8"/>
      <c r="D66" s="8"/>
      <c r="E66" s="8"/>
      <c r="F66" s="8"/>
      <c r="G66" s="8"/>
      <c r="H66" s="8"/>
      <c r="I66" s="8"/>
      <c r="J66" s="8"/>
      <c r="K66" s="8"/>
      <c r="L66" s="8"/>
      <c r="M66" s="8"/>
      <c r="N66" s="8"/>
      <c r="O66" s="8"/>
      <c r="P66" s="52"/>
      <c r="Q66" s="8"/>
      <c r="R66" s="5"/>
    </row>
    <row r="67" spans="1:18" ht="15.6" x14ac:dyDescent="0.3">
      <c r="A67" s="6"/>
      <c r="B67" s="13"/>
      <c r="C67" s="8"/>
      <c r="D67" s="8"/>
      <c r="E67" s="8"/>
      <c r="F67" s="8"/>
      <c r="G67" s="8"/>
      <c r="H67" s="8"/>
      <c r="I67" s="8"/>
      <c r="J67" s="8"/>
      <c r="K67" s="8"/>
      <c r="L67" s="8"/>
      <c r="M67" s="8"/>
      <c r="N67" s="8"/>
      <c r="O67" s="8"/>
      <c r="P67" s="52"/>
      <c r="Q67" s="8"/>
      <c r="R67" s="5"/>
    </row>
    <row r="68" spans="1:18" ht="46.8" x14ac:dyDescent="0.3">
      <c r="A68" s="6"/>
      <c r="B68" s="114" t="s">
        <v>22</v>
      </c>
      <c r="C68" s="115"/>
      <c r="D68" s="115"/>
      <c r="E68" s="115"/>
      <c r="F68" s="115" t="s">
        <v>105</v>
      </c>
      <c r="G68" s="115"/>
      <c r="H68" s="115" t="s">
        <v>107</v>
      </c>
      <c r="I68" s="115"/>
      <c r="J68" s="115" t="s">
        <v>109</v>
      </c>
      <c r="K68" s="115"/>
      <c r="L68" s="115" t="s">
        <v>111</v>
      </c>
      <c r="M68" s="115"/>
      <c r="N68" s="115" t="s">
        <v>118</v>
      </c>
      <c r="O68" s="115"/>
      <c r="P68" s="116" t="s">
        <v>127</v>
      </c>
      <c r="Q68" s="117"/>
      <c r="R68" s="5"/>
    </row>
    <row r="69" spans="1:18" ht="15.6" x14ac:dyDescent="0.3">
      <c r="A69" s="24"/>
      <c r="B69" s="25" t="s">
        <v>23</v>
      </c>
      <c r="C69" s="34"/>
      <c r="D69" s="34"/>
      <c r="E69" s="34"/>
      <c r="F69" s="34">
        <v>690290</v>
      </c>
      <c r="G69" s="34"/>
      <c r="H69" s="53">
        <v>864542</v>
      </c>
      <c r="I69" s="34"/>
      <c r="J69" s="34">
        <f>21239+465+9360</f>
        <v>31064</v>
      </c>
      <c r="K69" s="34"/>
      <c r="L69" s="34">
        <v>9360</v>
      </c>
      <c r="M69" s="34"/>
      <c r="N69" s="34">
        <v>0</v>
      </c>
      <c r="O69" s="34"/>
      <c r="P69" s="53">
        <f>+H69-J69+L69-N69</f>
        <v>842838</v>
      </c>
      <c r="Q69" s="25"/>
      <c r="R69" s="5"/>
    </row>
    <row r="70" spans="1:18" ht="15.6" x14ac:dyDescent="0.3">
      <c r="A70" s="24"/>
      <c r="B70" s="25" t="s">
        <v>24</v>
      </c>
      <c r="C70" s="34"/>
      <c r="D70" s="34"/>
      <c r="E70" s="34"/>
      <c r="F70" s="34">
        <v>201</v>
      </c>
      <c r="G70" s="34"/>
      <c r="H70" s="53">
        <v>0</v>
      </c>
      <c r="I70" s="34"/>
      <c r="J70" s="34">
        <v>0</v>
      </c>
      <c r="K70" s="34"/>
      <c r="L70" s="34">
        <v>0</v>
      </c>
      <c r="M70" s="34"/>
      <c r="N70" s="34">
        <v>0</v>
      </c>
      <c r="O70" s="34"/>
      <c r="P70" s="53">
        <f>+H70-J70+L70</f>
        <v>0</v>
      </c>
      <c r="Q70" s="25"/>
      <c r="R70" s="5"/>
    </row>
    <row r="71" spans="1:18" ht="15.6" x14ac:dyDescent="0.3">
      <c r="A71" s="24"/>
      <c r="B71" s="25"/>
      <c r="C71" s="34"/>
      <c r="D71" s="34"/>
      <c r="E71" s="34"/>
      <c r="F71" s="34"/>
      <c r="G71" s="34"/>
      <c r="H71" s="53"/>
      <c r="I71" s="34"/>
      <c r="J71" s="34"/>
      <c r="K71" s="34"/>
      <c r="L71" s="34"/>
      <c r="M71" s="34"/>
      <c r="N71" s="34"/>
      <c r="O71" s="34"/>
      <c r="P71" s="53"/>
      <c r="Q71" s="25"/>
      <c r="R71" s="5"/>
    </row>
    <row r="72" spans="1:18" ht="15.6" x14ac:dyDescent="0.3">
      <c r="A72" s="24"/>
      <c r="B72" s="25" t="s">
        <v>25</v>
      </c>
      <c r="C72" s="34"/>
      <c r="D72" s="34"/>
      <c r="E72" s="34"/>
      <c r="F72" s="34">
        <f>SUM(F69:F71)</f>
        <v>690491</v>
      </c>
      <c r="G72" s="34"/>
      <c r="H72" s="54">
        <f>H69+H70</f>
        <v>864542</v>
      </c>
      <c r="I72" s="34"/>
      <c r="J72" s="34">
        <f>SUM(J69:J71)</f>
        <v>31064</v>
      </c>
      <c r="K72" s="34"/>
      <c r="L72" s="34">
        <f>SUM(L69:L71)</f>
        <v>9360</v>
      </c>
      <c r="M72" s="34"/>
      <c r="N72" s="34">
        <f>SUM(N69:N71)</f>
        <v>0</v>
      </c>
      <c r="O72" s="34"/>
      <c r="P72" s="54">
        <f>SUM(P69:P71)</f>
        <v>842838</v>
      </c>
      <c r="Q72" s="25"/>
      <c r="R72" s="5"/>
    </row>
    <row r="73" spans="1:18" ht="15.6" x14ac:dyDescent="0.3">
      <c r="A73" s="24"/>
      <c r="B73" s="25"/>
      <c r="C73" s="34"/>
      <c r="D73" s="34"/>
      <c r="E73" s="34"/>
      <c r="F73" s="34"/>
      <c r="G73" s="34"/>
      <c r="H73" s="34"/>
      <c r="I73" s="34"/>
      <c r="J73" s="34"/>
      <c r="K73" s="34"/>
      <c r="L73" s="34"/>
      <c r="M73" s="34"/>
      <c r="N73" s="34"/>
      <c r="O73" s="34"/>
      <c r="P73" s="54"/>
      <c r="Q73" s="25"/>
      <c r="R73" s="5"/>
    </row>
    <row r="74" spans="1:18" ht="15.6" x14ac:dyDescent="0.3">
      <c r="A74" s="6"/>
      <c r="B74" s="111" t="s">
        <v>26</v>
      </c>
      <c r="C74" s="55"/>
      <c r="D74" s="55"/>
      <c r="E74" s="55"/>
      <c r="F74" s="55"/>
      <c r="G74" s="55"/>
      <c r="H74" s="55"/>
      <c r="I74" s="55"/>
      <c r="J74" s="55"/>
      <c r="K74" s="55"/>
      <c r="L74" s="55"/>
      <c r="M74" s="55"/>
      <c r="N74" s="55"/>
      <c r="O74" s="55"/>
      <c r="P74" s="56"/>
      <c r="Q74" s="8"/>
      <c r="R74" s="5"/>
    </row>
    <row r="75" spans="1:18" ht="15.6" x14ac:dyDescent="0.3">
      <c r="A75" s="6"/>
      <c r="B75" s="8"/>
      <c r="C75" s="55"/>
      <c r="D75" s="55"/>
      <c r="E75" s="55"/>
      <c r="F75" s="55"/>
      <c r="G75" s="55"/>
      <c r="H75" s="55"/>
      <c r="I75" s="55"/>
      <c r="J75" s="55"/>
      <c r="K75" s="55"/>
      <c r="L75" s="55"/>
      <c r="M75" s="55"/>
      <c r="N75" s="55"/>
      <c r="O75" s="55"/>
      <c r="P75" s="56"/>
      <c r="Q75" s="8"/>
      <c r="R75" s="5"/>
    </row>
    <row r="76" spans="1:18" ht="15.6" x14ac:dyDescent="0.3">
      <c r="A76" s="24"/>
      <c r="B76" s="25" t="s">
        <v>23</v>
      </c>
      <c r="C76" s="34"/>
      <c r="D76" s="34"/>
      <c r="E76" s="34"/>
      <c r="F76" s="34"/>
      <c r="G76" s="34"/>
      <c r="H76" s="34"/>
      <c r="I76" s="34"/>
      <c r="J76" s="34"/>
      <c r="K76" s="34"/>
      <c r="L76" s="34"/>
      <c r="M76" s="34"/>
      <c r="N76" s="34"/>
      <c r="O76" s="34"/>
      <c r="P76" s="54"/>
      <c r="Q76" s="25"/>
      <c r="R76" s="5"/>
    </row>
    <row r="77" spans="1:18" ht="15.6" x14ac:dyDescent="0.3">
      <c r="A77" s="24"/>
      <c r="B77" s="25" t="s">
        <v>24</v>
      </c>
      <c r="C77" s="34"/>
      <c r="D77" s="34"/>
      <c r="E77" s="34"/>
      <c r="F77" s="34"/>
      <c r="G77" s="34"/>
      <c r="H77" s="34"/>
      <c r="I77" s="34"/>
      <c r="J77" s="34"/>
      <c r="K77" s="34"/>
      <c r="L77" s="34"/>
      <c r="M77" s="34"/>
      <c r="N77" s="34"/>
      <c r="O77" s="34"/>
      <c r="P77" s="54"/>
      <c r="Q77" s="25"/>
      <c r="R77" s="5"/>
    </row>
    <row r="78" spans="1:18" ht="15.6" x14ac:dyDescent="0.3">
      <c r="A78" s="24"/>
      <c r="B78" s="25"/>
      <c r="C78" s="34"/>
      <c r="D78" s="34"/>
      <c r="E78" s="34"/>
      <c r="F78" s="34"/>
      <c r="G78" s="34"/>
      <c r="H78" s="34"/>
      <c r="I78" s="34"/>
      <c r="J78" s="34"/>
      <c r="K78" s="34"/>
      <c r="L78" s="34"/>
      <c r="M78" s="34"/>
      <c r="N78" s="34"/>
      <c r="O78" s="34"/>
      <c r="P78" s="54"/>
      <c r="Q78" s="25"/>
      <c r="R78" s="5"/>
    </row>
    <row r="79" spans="1:18" ht="15.6" x14ac:dyDescent="0.3">
      <c r="A79" s="24"/>
      <c r="B79" s="25" t="s">
        <v>25</v>
      </c>
      <c r="C79" s="34"/>
      <c r="D79" s="34"/>
      <c r="E79" s="34"/>
      <c r="F79" s="34"/>
      <c r="G79" s="34"/>
      <c r="H79" s="34"/>
      <c r="I79" s="34"/>
      <c r="J79" s="34"/>
      <c r="K79" s="34"/>
      <c r="L79" s="34"/>
      <c r="M79" s="34"/>
      <c r="N79" s="34"/>
      <c r="O79" s="34"/>
      <c r="P79" s="34"/>
      <c r="Q79" s="25"/>
      <c r="R79" s="5"/>
    </row>
    <row r="80" spans="1:18" ht="15.6" x14ac:dyDescent="0.3">
      <c r="A80" s="24"/>
      <c r="B80" s="25"/>
      <c r="C80" s="34"/>
      <c r="D80" s="34"/>
      <c r="E80" s="34"/>
      <c r="F80" s="34"/>
      <c r="G80" s="34"/>
      <c r="H80" s="34"/>
      <c r="I80" s="34"/>
      <c r="J80" s="34"/>
      <c r="K80" s="34"/>
      <c r="L80" s="34"/>
      <c r="M80" s="34"/>
      <c r="N80" s="34"/>
      <c r="O80" s="34"/>
      <c r="P80" s="34"/>
      <c r="Q80" s="25"/>
      <c r="R80" s="5"/>
    </row>
    <row r="81" spans="1:19" ht="15.6" x14ac:dyDescent="0.3">
      <c r="A81" s="24"/>
      <c r="B81" s="25" t="s">
        <v>27</v>
      </c>
      <c r="C81" s="34"/>
      <c r="D81" s="34"/>
      <c r="E81" s="34"/>
      <c r="F81" s="34">
        <v>0</v>
      </c>
      <c r="G81" s="34"/>
      <c r="H81" s="34">
        <v>0</v>
      </c>
      <c r="I81" s="34"/>
      <c r="J81" s="34"/>
      <c r="K81" s="34"/>
      <c r="L81" s="34"/>
      <c r="M81" s="34"/>
      <c r="N81" s="34"/>
      <c r="O81" s="34"/>
      <c r="P81" s="53">
        <v>0</v>
      </c>
      <c r="Q81" s="25"/>
      <c r="R81" s="5"/>
    </row>
    <row r="82" spans="1:19" ht="15.6" x14ac:dyDescent="0.3">
      <c r="A82" s="24"/>
      <c r="B82" s="25" t="s">
        <v>132</v>
      </c>
      <c r="C82" s="34"/>
      <c r="D82" s="34"/>
      <c r="E82" s="34"/>
      <c r="F82" s="34">
        <v>210000</v>
      </c>
      <c r="G82" s="34"/>
      <c r="H82" s="34">
        <v>0</v>
      </c>
      <c r="I82" s="34"/>
      <c r="J82" s="34"/>
      <c r="K82" s="34"/>
      <c r="L82" s="34">
        <v>0</v>
      </c>
      <c r="M82" s="34"/>
      <c r="N82" s="34"/>
      <c r="O82" s="34"/>
      <c r="P82" s="54">
        <f>SUM(H82:L82)</f>
        <v>0</v>
      </c>
      <c r="Q82" s="25"/>
      <c r="R82" s="5"/>
    </row>
    <row r="83" spans="1:19" ht="15.6" x14ac:dyDescent="0.3">
      <c r="A83" s="24"/>
      <c r="B83" s="25" t="s">
        <v>210</v>
      </c>
      <c r="C83" s="34"/>
      <c r="D83" s="34"/>
      <c r="E83" s="34"/>
      <c r="F83" s="34">
        <v>209</v>
      </c>
      <c r="G83" s="34"/>
      <c r="H83" s="34">
        <v>0</v>
      </c>
      <c r="I83" s="34"/>
      <c r="J83" s="34"/>
      <c r="K83" s="34"/>
      <c r="L83" s="34">
        <v>0</v>
      </c>
      <c r="M83" s="34"/>
      <c r="N83" s="34"/>
      <c r="O83" s="34"/>
      <c r="P83" s="54">
        <f>SUM(H83:L83)</f>
        <v>0</v>
      </c>
      <c r="Q83" s="25"/>
      <c r="R83" s="5"/>
    </row>
    <row r="84" spans="1:19" ht="15.6" x14ac:dyDescent="0.3">
      <c r="A84" s="24"/>
      <c r="B84" s="25" t="s">
        <v>29</v>
      </c>
      <c r="C84" s="34"/>
      <c r="D84" s="34"/>
      <c r="E84" s="34"/>
      <c r="F84" s="34">
        <v>0</v>
      </c>
      <c r="G84" s="34"/>
      <c r="H84" s="34">
        <v>0</v>
      </c>
      <c r="I84" s="34"/>
      <c r="J84" s="34"/>
      <c r="K84" s="34"/>
      <c r="L84" s="34"/>
      <c r="M84" s="34"/>
      <c r="N84" s="34"/>
      <c r="O84" s="34"/>
      <c r="P84" s="54">
        <v>0</v>
      </c>
      <c r="Q84" s="25"/>
      <c r="R84" s="5"/>
    </row>
    <row r="85" spans="1:19" ht="15.6" x14ac:dyDescent="0.3">
      <c r="A85" s="24"/>
      <c r="B85" s="25" t="s">
        <v>30</v>
      </c>
      <c r="C85" s="34"/>
      <c r="D85" s="54"/>
      <c r="E85" s="34"/>
      <c r="F85" s="54">
        <f>SUM(F72:F84)</f>
        <v>900700</v>
      </c>
      <c r="G85" s="54"/>
      <c r="H85" s="54">
        <f>SUM(H72:H84)</f>
        <v>864542</v>
      </c>
      <c r="I85" s="34"/>
      <c r="J85" s="34"/>
      <c r="K85" s="34"/>
      <c r="L85" s="34"/>
      <c r="M85" s="34"/>
      <c r="N85" s="54"/>
      <c r="O85" s="34"/>
      <c r="P85" s="54">
        <f>SUM(P72:P84)</f>
        <v>842838</v>
      </c>
      <c r="Q85" s="25"/>
      <c r="R85" s="5"/>
    </row>
    <row r="86" spans="1:19" ht="15.6" x14ac:dyDescent="0.3">
      <c r="A86" s="24"/>
      <c r="B86" s="25"/>
      <c r="C86" s="34"/>
      <c r="D86" s="34"/>
      <c r="E86" s="34"/>
      <c r="F86" s="34"/>
      <c r="G86" s="34"/>
      <c r="H86" s="34"/>
      <c r="I86" s="34"/>
      <c r="J86" s="34"/>
      <c r="K86" s="34"/>
      <c r="L86" s="34"/>
      <c r="M86" s="34"/>
      <c r="N86" s="34"/>
      <c r="O86" s="34"/>
      <c r="P86" s="54"/>
      <c r="Q86" s="25"/>
      <c r="R86" s="5"/>
    </row>
    <row r="87" spans="1:19" ht="15.6" x14ac:dyDescent="0.3">
      <c r="A87" s="6"/>
      <c r="B87" s="8"/>
      <c r="C87" s="8"/>
      <c r="D87" s="8"/>
      <c r="E87" s="8"/>
      <c r="F87" s="8"/>
      <c r="G87" s="8"/>
      <c r="H87" s="8"/>
      <c r="I87" s="8"/>
      <c r="J87" s="8"/>
      <c r="K87" s="8"/>
      <c r="L87" s="8"/>
      <c r="M87" s="8"/>
      <c r="N87" s="8"/>
      <c r="O87" s="8"/>
      <c r="P87" s="8"/>
      <c r="Q87" s="8"/>
      <c r="R87" s="5"/>
    </row>
    <row r="88" spans="1:19" ht="15.6" x14ac:dyDescent="0.3">
      <c r="A88" s="6"/>
      <c r="B88" s="51" t="s">
        <v>31</v>
      </c>
      <c r="C88" s="14"/>
      <c r="D88" s="14"/>
      <c r="E88" s="14"/>
      <c r="F88" s="17"/>
      <c r="G88" s="17"/>
      <c r="H88" s="17"/>
      <c r="I88" s="17"/>
      <c r="J88" s="17"/>
      <c r="K88" s="17"/>
      <c r="L88" s="17"/>
      <c r="M88" s="17"/>
      <c r="N88" s="17" t="s">
        <v>119</v>
      </c>
      <c r="O88" s="17"/>
      <c r="P88" s="17" t="s">
        <v>128</v>
      </c>
      <c r="Q88" s="8"/>
      <c r="R88" s="5"/>
    </row>
    <row r="89" spans="1:19" ht="15.6" x14ac:dyDescent="0.3">
      <c r="A89" s="24"/>
      <c r="B89" s="25" t="s">
        <v>32</v>
      </c>
      <c r="C89" s="25"/>
      <c r="D89" s="25"/>
      <c r="E89" s="25"/>
      <c r="F89" s="25"/>
      <c r="G89" s="25"/>
      <c r="H89" s="25"/>
      <c r="I89" s="25"/>
      <c r="J89" s="25"/>
      <c r="K89" s="25"/>
      <c r="L89" s="25"/>
      <c r="M89" s="25"/>
      <c r="N89" s="34">
        <v>0</v>
      </c>
      <c r="O89" s="25"/>
      <c r="P89" s="53">
        <v>0</v>
      </c>
      <c r="Q89" s="25"/>
      <c r="R89" s="5"/>
    </row>
    <row r="90" spans="1:19" ht="15.6" x14ac:dyDescent="0.3">
      <c r="A90" s="24"/>
      <c r="B90" s="25" t="s">
        <v>33</v>
      </c>
      <c r="C90" s="25"/>
      <c r="D90" s="25"/>
      <c r="E90" s="25"/>
      <c r="F90" s="40" t="s">
        <v>106</v>
      </c>
      <c r="G90" s="57"/>
      <c r="H90" s="127">
        <v>38383</v>
      </c>
      <c r="I90" s="25"/>
      <c r="J90" s="25"/>
      <c r="K90" s="25"/>
      <c r="L90" s="25"/>
      <c r="M90" s="25"/>
      <c r="N90" s="34">
        <v>31064</v>
      </c>
      <c r="O90" s="25"/>
      <c r="P90" s="53"/>
      <c r="Q90" s="25"/>
      <c r="R90" s="5"/>
    </row>
    <row r="91" spans="1:19" ht="15.6" x14ac:dyDescent="0.3">
      <c r="A91" s="24"/>
      <c r="B91" s="25" t="s">
        <v>34</v>
      </c>
      <c r="C91" s="25"/>
      <c r="D91" s="25"/>
      <c r="E91" s="25"/>
      <c r="F91" s="25"/>
      <c r="G91" s="25"/>
      <c r="H91" s="25"/>
      <c r="I91" s="25"/>
      <c r="J91" s="25"/>
      <c r="K91" s="25"/>
      <c r="L91" s="25"/>
      <c r="M91" s="25"/>
      <c r="N91" s="34"/>
      <c r="O91" s="25"/>
      <c r="P91" s="53">
        <f>14411</f>
        <v>14411</v>
      </c>
      <c r="Q91" s="25"/>
      <c r="R91" s="5"/>
    </row>
    <row r="92" spans="1:19" ht="15.6" x14ac:dyDescent="0.3">
      <c r="A92" s="24"/>
      <c r="B92" s="25" t="s">
        <v>160</v>
      </c>
      <c r="C92" s="25"/>
      <c r="D92" s="25"/>
      <c r="E92" s="25"/>
      <c r="F92" s="25"/>
      <c r="G92" s="25"/>
      <c r="H92" s="25"/>
      <c r="I92" s="25"/>
      <c r="J92" s="25"/>
      <c r="K92" s="25"/>
      <c r="L92" s="25"/>
      <c r="M92" s="25"/>
      <c r="N92" s="34"/>
      <c r="O92" s="25"/>
      <c r="P92" s="53">
        <v>0</v>
      </c>
      <c r="Q92" s="25"/>
      <c r="R92" s="5"/>
    </row>
    <row r="93" spans="1:19" ht="15.6" x14ac:dyDescent="0.3">
      <c r="A93" s="24"/>
      <c r="B93" s="25" t="s">
        <v>192</v>
      </c>
      <c r="C93" s="25"/>
      <c r="D93" s="25"/>
      <c r="E93" s="25"/>
      <c r="F93" s="25"/>
      <c r="G93" s="25"/>
      <c r="H93" s="25"/>
      <c r="I93" s="25"/>
      <c r="J93" s="25"/>
      <c r="K93" s="25"/>
      <c r="L93" s="25"/>
      <c r="M93" s="25"/>
      <c r="N93" s="34"/>
      <c r="O93" s="25"/>
      <c r="P93" s="53">
        <v>0</v>
      </c>
      <c r="Q93" s="25"/>
      <c r="R93" s="5"/>
    </row>
    <row r="94" spans="1:19" ht="15.6" x14ac:dyDescent="0.3">
      <c r="A94" s="24"/>
      <c r="B94" s="25" t="s">
        <v>35</v>
      </c>
      <c r="C94" s="25"/>
      <c r="D94" s="25"/>
      <c r="E94" s="25"/>
      <c r="F94" s="25"/>
      <c r="G94" s="25"/>
      <c r="H94" s="25"/>
      <c r="I94" s="25"/>
      <c r="J94" s="25"/>
      <c r="K94" s="25"/>
      <c r="L94" s="25"/>
      <c r="M94" s="25"/>
      <c r="N94" s="34">
        <f>SUM(N89:N93)</f>
        <v>31064</v>
      </c>
      <c r="O94" s="25"/>
      <c r="P94" s="54">
        <f>SUM(P89:P93)</f>
        <v>14411</v>
      </c>
      <c r="Q94" s="25"/>
      <c r="R94" s="5"/>
    </row>
    <row r="95" spans="1:19" ht="15.6" x14ac:dyDescent="0.3">
      <c r="A95" s="24"/>
      <c r="B95" s="25" t="s">
        <v>36</v>
      </c>
      <c r="C95" s="25"/>
      <c r="D95" s="25"/>
      <c r="E95" s="25"/>
      <c r="F95" s="25"/>
      <c r="G95" s="25"/>
      <c r="H95" s="25"/>
      <c r="I95" s="25"/>
      <c r="J95" s="25"/>
      <c r="K95" s="25"/>
      <c r="L95" s="25"/>
      <c r="M95" s="25"/>
      <c r="N95" s="34">
        <f>-P95</f>
        <v>0</v>
      </c>
      <c r="O95" s="25"/>
      <c r="P95" s="53">
        <v>0</v>
      </c>
      <c r="Q95" s="25"/>
      <c r="R95" s="5"/>
    </row>
    <row r="96" spans="1:19" ht="15.6" x14ac:dyDescent="0.3">
      <c r="A96" s="24"/>
      <c r="B96" s="25" t="s">
        <v>37</v>
      </c>
      <c r="C96" s="25"/>
      <c r="D96" s="25"/>
      <c r="E96" s="25"/>
      <c r="F96" s="25"/>
      <c r="G96" s="25"/>
      <c r="H96" s="25"/>
      <c r="I96" s="25"/>
      <c r="J96" s="25"/>
      <c r="K96" s="25"/>
      <c r="L96" s="25"/>
      <c r="M96" s="25"/>
      <c r="N96" s="34">
        <f>N94+N95</f>
        <v>31064</v>
      </c>
      <c r="O96" s="25"/>
      <c r="P96" s="54">
        <f>P94+P95</f>
        <v>14411</v>
      </c>
      <c r="Q96" s="25"/>
      <c r="R96" s="5"/>
      <c r="S96" s="154"/>
    </row>
    <row r="97" spans="1:19" ht="15.6" x14ac:dyDescent="0.3">
      <c r="A97" s="24"/>
      <c r="B97" s="118" t="s">
        <v>38</v>
      </c>
      <c r="C97" s="25"/>
      <c r="D97" s="25"/>
      <c r="E97" s="25"/>
      <c r="F97" s="25"/>
      <c r="G97" s="25"/>
      <c r="H97" s="25"/>
      <c r="I97" s="25"/>
      <c r="J97" s="25"/>
      <c r="K97" s="25"/>
      <c r="L97" s="25"/>
      <c r="M97" s="25"/>
      <c r="N97" s="34"/>
      <c r="O97" s="25"/>
      <c r="P97" s="53"/>
      <c r="Q97" s="25"/>
      <c r="R97" s="5"/>
    </row>
    <row r="98" spans="1:19" ht="15.6" x14ac:dyDescent="0.3">
      <c r="A98" s="24">
        <v>1</v>
      </c>
      <c r="B98" s="25" t="s">
        <v>39</v>
      </c>
      <c r="C98" s="25"/>
      <c r="D98" s="25"/>
      <c r="E98" s="25"/>
      <c r="F98" s="25"/>
      <c r="G98" s="25"/>
      <c r="H98" s="25"/>
      <c r="I98" s="25"/>
      <c r="J98" s="25"/>
      <c r="K98" s="25"/>
      <c r="L98" s="25"/>
      <c r="M98" s="25"/>
      <c r="N98" s="25"/>
      <c r="O98" s="25"/>
      <c r="P98" s="53">
        <v>0</v>
      </c>
      <c r="Q98" s="25"/>
      <c r="R98" s="5"/>
    </row>
    <row r="99" spans="1:19" ht="15.6" x14ac:dyDescent="0.3">
      <c r="A99" s="24">
        <f>+A98+1</f>
        <v>2</v>
      </c>
      <c r="B99" s="25" t="s">
        <v>40</v>
      </c>
      <c r="C99" s="25"/>
      <c r="D99" s="25"/>
      <c r="E99" s="25"/>
      <c r="F99" s="25"/>
      <c r="G99" s="25"/>
      <c r="H99" s="25"/>
      <c r="I99" s="25"/>
      <c r="J99" s="25"/>
      <c r="K99" s="25"/>
      <c r="L99" s="25"/>
      <c r="M99" s="25"/>
      <c r="N99" s="25"/>
      <c r="O99" s="25"/>
      <c r="P99" s="53">
        <v>-2</v>
      </c>
      <c r="Q99" s="25"/>
      <c r="R99" s="5"/>
    </row>
    <row r="100" spans="1:19" ht="15.6" x14ac:dyDescent="0.3">
      <c r="A100" s="24">
        <f>+A99+1</f>
        <v>3</v>
      </c>
      <c r="B100" s="25" t="s">
        <v>226</v>
      </c>
      <c r="C100" s="25"/>
      <c r="D100" s="25"/>
      <c r="E100" s="25"/>
      <c r="F100" s="25"/>
      <c r="G100" s="25"/>
      <c r="H100" s="25"/>
      <c r="I100" s="25"/>
      <c r="J100" s="25"/>
      <c r="K100" s="25"/>
      <c r="L100" s="25"/>
      <c r="M100" s="25"/>
      <c r="N100" s="25"/>
      <c r="O100" s="25"/>
      <c r="P100" s="53">
        <f>-215-25-37</f>
        <v>-277</v>
      </c>
      <c r="Q100" s="25"/>
      <c r="R100" s="5"/>
    </row>
    <row r="101" spans="1:19" ht="15.6" x14ac:dyDescent="0.3">
      <c r="A101" s="24" t="s">
        <v>151</v>
      </c>
      <c r="B101" s="25" t="s">
        <v>131</v>
      </c>
      <c r="C101" s="25"/>
      <c r="D101" s="25"/>
      <c r="E101" s="25"/>
      <c r="F101" s="25"/>
      <c r="G101" s="25"/>
      <c r="H101" s="25"/>
      <c r="I101" s="25"/>
      <c r="J101" s="25"/>
      <c r="K101" s="25"/>
      <c r="L101" s="25"/>
      <c r="M101" s="25"/>
      <c r="N101" s="25"/>
      <c r="O101" s="25"/>
      <c r="P101" s="53">
        <v>-99</v>
      </c>
      <c r="Q101" s="25"/>
      <c r="R101" s="5"/>
    </row>
    <row r="102" spans="1:19" ht="15.6" x14ac:dyDescent="0.3">
      <c r="A102" s="24" t="s">
        <v>152</v>
      </c>
      <c r="B102" s="25" t="s">
        <v>195</v>
      </c>
      <c r="C102" s="25"/>
      <c r="D102" s="25"/>
      <c r="E102" s="25"/>
      <c r="F102" s="25"/>
      <c r="G102" s="25"/>
      <c r="H102" s="25"/>
      <c r="I102" s="25"/>
      <c r="J102" s="25"/>
      <c r="K102" s="25"/>
      <c r="L102" s="25"/>
      <c r="M102" s="25"/>
      <c r="N102" s="25"/>
      <c r="O102" s="25"/>
      <c r="P102" s="53">
        <v>-3164</v>
      </c>
      <c r="Q102" s="25"/>
      <c r="R102" s="5"/>
      <c r="S102" s="109"/>
    </row>
    <row r="103" spans="1:19" ht="15.6" x14ac:dyDescent="0.3">
      <c r="A103" s="24" t="s">
        <v>217</v>
      </c>
      <c r="B103" s="25" t="s">
        <v>196</v>
      </c>
      <c r="C103" s="25"/>
      <c r="D103" s="25"/>
      <c r="E103" s="25"/>
      <c r="F103" s="25"/>
      <c r="G103" s="25"/>
      <c r="H103" s="25"/>
      <c r="I103" s="25"/>
      <c r="J103" s="25"/>
      <c r="K103" s="25"/>
      <c r="L103" s="25"/>
      <c r="M103" s="25"/>
      <c r="N103" s="25"/>
      <c r="O103" s="25"/>
      <c r="P103" s="53">
        <v>-2702</v>
      </c>
      <c r="Q103" s="25"/>
      <c r="R103" s="5"/>
    </row>
    <row r="104" spans="1:19" ht="15.6" x14ac:dyDescent="0.3">
      <c r="A104" s="24" t="s">
        <v>218</v>
      </c>
      <c r="B104" s="25" t="s">
        <v>197</v>
      </c>
      <c r="C104" s="25"/>
      <c r="D104" s="25"/>
      <c r="E104" s="25"/>
      <c r="F104" s="25"/>
      <c r="G104" s="25"/>
      <c r="H104" s="25"/>
      <c r="I104" s="25"/>
      <c r="J104" s="25"/>
      <c r="K104" s="25"/>
      <c r="L104" s="25"/>
      <c r="M104" s="25"/>
      <c r="N104" s="25"/>
      <c r="O104" s="25"/>
      <c r="P104" s="53">
        <v>-4212</v>
      </c>
      <c r="Q104" s="25"/>
      <c r="R104" s="5"/>
      <c r="S104" s="109"/>
    </row>
    <row r="105" spans="1:19" ht="15.6" x14ac:dyDescent="0.3">
      <c r="A105" s="24" t="s">
        <v>147</v>
      </c>
      <c r="B105" s="25" t="s">
        <v>146</v>
      </c>
      <c r="C105" s="25"/>
      <c r="D105" s="25"/>
      <c r="E105" s="25"/>
      <c r="F105" s="25"/>
      <c r="G105" s="25"/>
      <c r="H105" s="25"/>
      <c r="I105" s="25"/>
      <c r="J105" s="25"/>
      <c r="K105" s="25"/>
      <c r="L105" s="25"/>
      <c r="M105" s="25"/>
      <c r="N105" s="25"/>
      <c r="O105" s="25"/>
      <c r="P105" s="53">
        <v>-679</v>
      </c>
      <c r="Q105" s="25"/>
      <c r="R105" s="5"/>
      <c r="S105" s="109"/>
    </row>
    <row r="106" spans="1:19" ht="15.6" x14ac:dyDescent="0.3">
      <c r="A106" s="24" t="s">
        <v>148</v>
      </c>
      <c r="B106" s="25" t="s">
        <v>198</v>
      </c>
      <c r="C106" s="25"/>
      <c r="D106" s="25"/>
      <c r="E106" s="25"/>
      <c r="F106" s="25"/>
      <c r="G106" s="25"/>
      <c r="H106" s="25"/>
      <c r="I106" s="25"/>
      <c r="J106" s="25"/>
      <c r="K106" s="25"/>
      <c r="L106" s="25"/>
      <c r="M106" s="25"/>
      <c r="N106" s="25"/>
      <c r="O106" s="25"/>
      <c r="P106" s="53">
        <v>-642</v>
      </c>
      <c r="Q106" s="25"/>
      <c r="R106" s="5"/>
      <c r="S106" s="109"/>
    </row>
    <row r="107" spans="1:19" ht="15.6" x14ac:dyDescent="0.3">
      <c r="A107" s="24">
        <v>6</v>
      </c>
      <c r="B107" s="25" t="s">
        <v>41</v>
      </c>
      <c r="C107" s="25"/>
      <c r="D107" s="25"/>
      <c r="E107" s="25"/>
      <c r="F107" s="25"/>
      <c r="G107" s="25"/>
      <c r="H107" s="25"/>
      <c r="I107" s="25"/>
      <c r="J107" s="25"/>
      <c r="K107" s="25"/>
      <c r="L107" s="25"/>
      <c r="M107" s="25"/>
      <c r="N107" s="25"/>
      <c r="O107" s="25"/>
      <c r="P107" s="53">
        <v>-10</v>
      </c>
      <c r="Q107" s="25"/>
      <c r="R107" s="5"/>
    </row>
    <row r="108" spans="1:19" ht="15.6" x14ac:dyDescent="0.3">
      <c r="A108" s="24">
        <f t="shared" ref="A108:A113" si="0">+A107+1</f>
        <v>7</v>
      </c>
      <c r="B108" s="25" t="s">
        <v>53</v>
      </c>
      <c r="C108" s="25"/>
      <c r="D108" s="25"/>
      <c r="E108" s="25"/>
      <c r="F108" s="25"/>
      <c r="G108" s="25"/>
      <c r="H108" s="25"/>
      <c r="I108" s="25"/>
      <c r="J108" s="25"/>
      <c r="K108" s="25"/>
      <c r="L108" s="25"/>
      <c r="M108" s="25"/>
      <c r="N108" s="25"/>
      <c r="O108" s="25"/>
      <c r="P108" s="53">
        <v>0</v>
      </c>
      <c r="Q108" s="25"/>
      <c r="R108" s="5"/>
    </row>
    <row r="109" spans="1:19" ht="15.6" x14ac:dyDescent="0.3">
      <c r="A109" s="24">
        <f t="shared" si="0"/>
        <v>8</v>
      </c>
      <c r="B109" s="25" t="s">
        <v>149</v>
      </c>
      <c r="C109" s="25"/>
      <c r="D109" s="25"/>
      <c r="E109" s="25"/>
      <c r="F109" s="25"/>
      <c r="G109" s="25"/>
      <c r="H109" s="25"/>
      <c r="I109" s="25"/>
      <c r="J109" s="25"/>
      <c r="K109" s="25"/>
      <c r="L109" s="25"/>
      <c r="M109" s="25"/>
      <c r="N109" s="25"/>
      <c r="O109" s="25"/>
      <c r="P109" s="53">
        <v>0</v>
      </c>
      <c r="Q109" s="25"/>
      <c r="R109" s="5"/>
    </row>
    <row r="110" spans="1:19" ht="15.6" x14ac:dyDescent="0.3">
      <c r="A110" s="24">
        <f t="shared" si="0"/>
        <v>9</v>
      </c>
      <c r="B110" s="25" t="s">
        <v>42</v>
      </c>
      <c r="C110" s="25"/>
      <c r="D110" s="25"/>
      <c r="E110" s="25"/>
      <c r="F110" s="25"/>
      <c r="G110" s="25"/>
      <c r="H110" s="25"/>
      <c r="I110" s="25"/>
      <c r="J110" s="25"/>
      <c r="K110" s="25"/>
      <c r="L110" s="25"/>
      <c r="M110" s="25"/>
      <c r="N110" s="25"/>
      <c r="O110" s="25"/>
      <c r="P110" s="53">
        <v>0</v>
      </c>
      <c r="Q110" s="25"/>
      <c r="R110" s="5"/>
    </row>
    <row r="111" spans="1:19" ht="15.6" x14ac:dyDescent="0.3">
      <c r="A111" s="24">
        <f t="shared" si="0"/>
        <v>10</v>
      </c>
      <c r="B111" s="25" t="s">
        <v>43</v>
      </c>
      <c r="C111" s="25"/>
      <c r="D111" s="25"/>
      <c r="E111" s="25"/>
      <c r="F111" s="25"/>
      <c r="G111" s="25"/>
      <c r="H111" s="25"/>
      <c r="I111" s="25"/>
      <c r="J111" s="25"/>
      <c r="K111" s="25"/>
      <c r="L111" s="25"/>
      <c r="M111" s="25"/>
      <c r="N111" s="25"/>
      <c r="O111" s="25"/>
      <c r="P111" s="53">
        <v>0</v>
      </c>
      <c r="Q111" s="25"/>
      <c r="R111" s="5"/>
    </row>
    <row r="112" spans="1:19" ht="15.6" x14ac:dyDescent="0.3">
      <c r="A112" s="24">
        <f t="shared" si="0"/>
        <v>11</v>
      </c>
      <c r="B112" s="25" t="s">
        <v>215</v>
      </c>
      <c r="C112" s="25"/>
      <c r="D112" s="25"/>
      <c r="E112" s="25"/>
      <c r="F112" s="25"/>
      <c r="G112" s="25"/>
      <c r="H112" s="25"/>
      <c r="I112" s="25"/>
      <c r="J112" s="25"/>
      <c r="K112" s="25"/>
      <c r="L112" s="25"/>
      <c r="M112" s="25"/>
      <c r="N112" s="25"/>
      <c r="O112" s="25"/>
      <c r="P112" s="53">
        <v>-439</v>
      </c>
      <c r="Q112" s="25"/>
      <c r="R112" s="5"/>
    </row>
    <row r="113" spans="1:18" ht="15.6" x14ac:dyDescent="0.3">
      <c r="A113" s="24">
        <f t="shared" si="0"/>
        <v>12</v>
      </c>
      <c r="B113" s="25" t="s">
        <v>150</v>
      </c>
      <c r="C113" s="25"/>
      <c r="D113" s="25"/>
      <c r="E113" s="25"/>
      <c r="F113" s="25"/>
      <c r="G113" s="25"/>
      <c r="H113" s="25"/>
      <c r="I113" s="25"/>
      <c r="J113" s="25"/>
      <c r="K113" s="25"/>
      <c r="L113" s="25"/>
      <c r="M113" s="25"/>
      <c r="N113" s="25"/>
      <c r="O113" s="25"/>
      <c r="P113" s="53">
        <f>-P96-SUM(P98:P112)</f>
        <v>-2185</v>
      </c>
      <c r="Q113" s="25"/>
      <c r="R113" s="5"/>
    </row>
    <row r="114" spans="1:18" ht="15.6" x14ac:dyDescent="0.3">
      <c r="A114" s="24"/>
      <c r="B114" s="118" t="s">
        <v>44</v>
      </c>
      <c r="C114" s="25"/>
      <c r="D114" s="25"/>
      <c r="E114" s="25"/>
      <c r="F114" s="25"/>
      <c r="G114" s="25"/>
      <c r="H114" s="25"/>
      <c r="I114" s="25"/>
      <c r="J114" s="25"/>
      <c r="K114" s="25"/>
      <c r="L114" s="25"/>
      <c r="M114" s="25"/>
      <c r="N114" s="25"/>
      <c r="O114" s="25"/>
      <c r="P114" s="59"/>
      <c r="Q114" s="25"/>
      <c r="R114" s="5"/>
    </row>
    <row r="115" spans="1:18" ht="15.6" x14ac:dyDescent="0.3">
      <c r="A115" s="24"/>
      <c r="B115" s="25" t="s">
        <v>45</v>
      </c>
      <c r="C115" s="25"/>
      <c r="D115" s="25"/>
      <c r="E115" s="25"/>
      <c r="F115" s="25"/>
      <c r="G115" s="25"/>
      <c r="H115" s="25"/>
      <c r="I115" s="25"/>
      <c r="J115" s="25"/>
      <c r="K115" s="25"/>
      <c r="L115" s="25"/>
      <c r="M115" s="25"/>
      <c r="N115" s="34">
        <f>-N163</f>
        <v>-1532</v>
      </c>
      <c r="O115" s="34"/>
      <c r="P115" s="53"/>
      <c r="Q115" s="25"/>
      <c r="R115" s="5"/>
    </row>
    <row r="116" spans="1:18" ht="15.6" x14ac:dyDescent="0.3">
      <c r="A116" s="24"/>
      <c r="B116" s="25" t="s">
        <v>46</v>
      </c>
      <c r="C116" s="25"/>
      <c r="D116" s="25"/>
      <c r="E116" s="25"/>
      <c r="F116" s="25"/>
      <c r="G116" s="25"/>
      <c r="H116" s="25"/>
      <c r="I116" s="25"/>
      <c r="J116" s="25"/>
      <c r="K116" s="25"/>
      <c r="L116" s="25"/>
      <c r="M116" s="25"/>
      <c r="N116" s="34">
        <f>-M163</f>
        <v>-7828</v>
      </c>
      <c r="O116" s="34"/>
      <c r="P116" s="53"/>
      <c r="Q116" s="25"/>
      <c r="R116" s="5"/>
    </row>
    <row r="117" spans="1:18" ht="15.6" x14ac:dyDescent="0.3">
      <c r="A117" s="24"/>
      <c r="B117" s="25" t="s">
        <v>199</v>
      </c>
      <c r="C117" s="25"/>
      <c r="D117" s="25"/>
      <c r="E117" s="25"/>
      <c r="F117" s="25"/>
      <c r="G117" s="25"/>
      <c r="H117" s="25"/>
      <c r="I117" s="25"/>
      <c r="J117" s="25"/>
      <c r="K117" s="25"/>
      <c r="L117" s="25"/>
      <c r="M117" s="25"/>
      <c r="N117" s="34">
        <v>-6774</v>
      </c>
      <c r="O117" s="34"/>
      <c r="P117" s="53"/>
      <c r="Q117" s="25"/>
      <c r="R117" s="5"/>
    </row>
    <row r="118" spans="1:18" ht="15.6" x14ac:dyDescent="0.3">
      <c r="A118" s="24"/>
      <c r="B118" s="25" t="s">
        <v>200</v>
      </c>
      <c r="C118" s="25"/>
      <c r="D118" s="25"/>
      <c r="E118" s="25"/>
      <c r="F118" s="25"/>
      <c r="G118" s="25"/>
      <c r="H118" s="25"/>
      <c r="I118" s="25"/>
      <c r="J118" s="25"/>
      <c r="K118" s="25"/>
      <c r="L118" s="25"/>
      <c r="M118" s="25"/>
      <c r="N118" s="34">
        <v>-5892</v>
      </c>
      <c r="O118" s="34"/>
      <c r="P118" s="53"/>
      <c r="Q118" s="25"/>
      <c r="R118" s="5"/>
    </row>
    <row r="119" spans="1:18" ht="15.6" x14ac:dyDescent="0.3">
      <c r="A119" s="24"/>
      <c r="B119" s="25" t="s">
        <v>201</v>
      </c>
      <c r="C119" s="25"/>
      <c r="D119" s="25"/>
      <c r="E119" s="25"/>
      <c r="F119" s="25"/>
      <c r="G119" s="25"/>
      <c r="H119" s="25"/>
      <c r="I119" s="25"/>
      <c r="J119" s="25"/>
      <c r="K119" s="25"/>
      <c r="L119" s="25"/>
      <c r="M119" s="25"/>
      <c r="N119" s="34">
        <v>-9038</v>
      </c>
      <c r="O119" s="34"/>
      <c r="P119" s="53"/>
      <c r="Q119" s="25"/>
      <c r="R119" s="5"/>
    </row>
    <row r="120" spans="1:18" ht="15.6" x14ac:dyDescent="0.3">
      <c r="A120" s="24"/>
      <c r="B120" s="25" t="s">
        <v>159</v>
      </c>
      <c r="C120" s="25"/>
      <c r="D120" s="25"/>
      <c r="E120" s="25"/>
      <c r="F120" s="25"/>
      <c r="G120" s="25"/>
      <c r="H120" s="25"/>
      <c r="I120" s="25"/>
      <c r="J120" s="25"/>
      <c r="K120" s="25"/>
      <c r="L120" s="25"/>
      <c r="M120" s="25"/>
      <c r="N120" s="34">
        <v>0</v>
      </c>
      <c r="O120" s="34"/>
      <c r="P120" s="53"/>
      <c r="Q120" s="25"/>
      <c r="R120" s="5"/>
    </row>
    <row r="121" spans="1:18" ht="15.6" x14ac:dyDescent="0.3">
      <c r="A121" s="24"/>
      <c r="B121" s="25" t="s">
        <v>214</v>
      </c>
      <c r="C121" s="25"/>
      <c r="D121" s="25"/>
      <c r="E121" s="25"/>
      <c r="F121" s="25"/>
      <c r="G121" s="25"/>
      <c r="H121" s="25"/>
      <c r="I121" s="25"/>
      <c r="J121" s="25"/>
      <c r="K121" s="25"/>
      <c r="L121" s="25"/>
      <c r="M121" s="25"/>
      <c r="N121" s="34">
        <v>0</v>
      </c>
      <c r="O121" s="34"/>
      <c r="P121" s="53"/>
      <c r="Q121" s="25"/>
      <c r="R121" s="5"/>
    </row>
    <row r="122" spans="1:18" ht="15.6" x14ac:dyDescent="0.3">
      <c r="A122" s="24"/>
      <c r="B122" s="25" t="s">
        <v>47</v>
      </c>
      <c r="C122" s="25"/>
      <c r="D122" s="25"/>
      <c r="E122" s="25"/>
      <c r="F122" s="25"/>
      <c r="G122" s="25"/>
      <c r="H122" s="25"/>
      <c r="I122" s="25"/>
      <c r="J122" s="25"/>
      <c r="K122" s="25"/>
      <c r="L122" s="25"/>
      <c r="M122" s="25"/>
      <c r="N122" s="34">
        <f>SUM(N115:N121)</f>
        <v>-31064</v>
      </c>
      <c r="O122" s="34"/>
      <c r="P122" s="34">
        <f>SUM(P97:P121)</f>
        <v>-14411</v>
      </c>
      <c r="Q122" s="25"/>
      <c r="R122" s="5"/>
    </row>
    <row r="123" spans="1:18" ht="15.6" x14ac:dyDescent="0.3">
      <c r="A123" s="24"/>
      <c r="B123" s="25" t="s">
        <v>48</v>
      </c>
      <c r="C123" s="25"/>
      <c r="D123" s="25"/>
      <c r="E123" s="25"/>
      <c r="F123" s="25"/>
      <c r="G123" s="25"/>
      <c r="H123" s="25"/>
      <c r="I123" s="25"/>
      <c r="J123" s="25"/>
      <c r="K123" s="25"/>
      <c r="L123" s="25"/>
      <c r="M123" s="25"/>
      <c r="N123" s="34">
        <f>N96+N122</f>
        <v>0</v>
      </c>
      <c r="O123" s="34"/>
      <c r="P123" s="34">
        <f>P96+P122</f>
        <v>0</v>
      </c>
      <c r="Q123" s="25"/>
      <c r="R123" s="5"/>
    </row>
    <row r="124" spans="1:18" ht="15.6" x14ac:dyDescent="0.3">
      <c r="A124" s="24"/>
      <c r="B124" s="25"/>
      <c r="C124" s="25"/>
      <c r="D124" s="25"/>
      <c r="E124" s="25"/>
      <c r="F124" s="25"/>
      <c r="G124" s="25"/>
      <c r="H124" s="25"/>
      <c r="I124" s="25"/>
      <c r="J124" s="25"/>
      <c r="K124" s="25"/>
      <c r="L124" s="25"/>
      <c r="M124" s="25"/>
      <c r="N124" s="34"/>
      <c r="O124" s="34"/>
      <c r="P124" s="34"/>
      <c r="Q124" s="25"/>
      <c r="R124" s="5"/>
    </row>
    <row r="125" spans="1:18" ht="15.6" x14ac:dyDescent="0.3">
      <c r="A125" s="6"/>
      <c r="B125" s="8"/>
      <c r="C125" s="8"/>
      <c r="D125" s="8"/>
      <c r="E125" s="8"/>
      <c r="F125" s="8"/>
      <c r="G125" s="8"/>
      <c r="H125" s="8"/>
      <c r="I125" s="8"/>
      <c r="J125" s="8"/>
      <c r="K125" s="8"/>
      <c r="L125" s="8"/>
      <c r="M125" s="8"/>
      <c r="N125" s="8"/>
      <c r="O125" s="8"/>
      <c r="P125" s="52"/>
      <c r="Q125" s="8"/>
      <c r="R125" s="5"/>
    </row>
    <row r="126" spans="1:18" ht="18" thickBot="1" x14ac:dyDescent="0.35">
      <c r="A126" s="101"/>
      <c r="B126" s="102" t="str">
        <f>B64</f>
        <v>PM7 INVESTOR REPORT QUARTER ENDING JANUARY 2005</v>
      </c>
      <c r="C126" s="103"/>
      <c r="D126" s="103"/>
      <c r="E126" s="103"/>
      <c r="F126" s="103"/>
      <c r="G126" s="103"/>
      <c r="H126" s="103"/>
      <c r="I126" s="103"/>
      <c r="J126" s="103"/>
      <c r="K126" s="103"/>
      <c r="L126" s="103"/>
      <c r="M126" s="103"/>
      <c r="N126" s="103"/>
      <c r="O126" s="103"/>
      <c r="P126" s="106"/>
      <c r="Q126" s="105"/>
      <c r="R126" s="5"/>
    </row>
    <row r="127" spans="1:18" ht="15.6" x14ac:dyDescent="0.3">
      <c r="A127" s="2"/>
      <c r="B127" s="60" t="s">
        <v>49</v>
      </c>
      <c r="C127" s="4"/>
      <c r="D127" s="4"/>
      <c r="E127" s="4"/>
      <c r="F127" s="4"/>
      <c r="G127" s="4"/>
      <c r="H127" s="4"/>
      <c r="I127" s="4"/>
      <c r="J127" s="4"/>
      <c r="K127" s="4"/>
      <c r="L127" s="4"/>
      <c r="M127" s="4"/>
      <c r="N127" s="4"/>
      <c r="O127" s="4"/>
      <c r="P127" s="50"/>
      <c r="Q127" s="4"/>
      <c r="R127" s="5"/>
    </row>
    <row r="128" spans="1:18" ht="15.6" x14ac:dyDescent="0.3">
      <c r="A128" s="6"/>
      <c r="B128" s="21"/>
      <c r="C128" s="8"/>
      <c r="D128" s="8"/>
      <c r="E128" s="8"/>
      <c r="F128" s="8"/>
      <c r="G128" s="8"/>
      <c r="H128" s="8"/>
      <c r="I128" s="8"/>
      <c r="J128" s="8"/>
      <c r="K128" s="8"/>
      <c r="L128" s="8"/>
      <c r="M128" s="8"/>
      <c r="N128" s="8"/>
      <c r="O128" s="8"/>
      <c r="P128" s="52"/>
      <c r="Q128" s="8"/>
      <c r="R128" s="5"/>
    </row>
    <row r="129" spans="1:19" ht="15.6" x14ac:dyDescent="0.3">
      <c r="A129" s="6"/>
      <c r="B129" s="119" t="s">
        <v>50</v>
      </c>
      <c r="C129" s="8"/>
      <c r="D129" s="8"/>
      <c r="E129" s="8"/>
      <c r="F129" s="8"/>
      <c r="G129" s="8"/>
      <c r="H129" s="8"/>
      <c r="I129" s="8"/>
      <c r="J129" s="8"/>
      <c r="K129" s="8"/>
      <c r="L129" s="8"/>
      <c r="M129" s="8"/>
      <c r="N129" s="8"/>
      <c r="O129" s="8"/>
      <c r="P129" s="52"/>
      <c r="Q129" s="8"/>
      <c r="R129" s="5"/>
    </row>
    <row r="130" spans="1:19" ht="15.6" x14ac:dyDescent="0.3">
      <c r="A130" s="24"/>
      <c r="B130" s="25" t="s">
        <v>51</v>
      </c>
      <c r="C130" s="25"/>
      <c r="D130" s="25"/>
      <c r="E130" s="25"/>
      <c r="F130" s="25"/>
      <c r="G130" s="25"/>
      <c r="H130" s="25"/>
      <c r="I130" s="25"/>
      <c r="J130" s="25"/>
      <c r="K130" s="25"/>
      <c r="L130" s="25"/>
      <c r="M130" s="25"/>
      <c r="N130" s="25"/>
      <c r="O130" s="25"/>
      <c r="P130" s="53">
        <f>+P35*0.022</f>
        <v>19815.399999999998</v>
      </c>
      <c r="Q130" s="25"/>
      <c r="R130" s="5"/>
    </row>
    <row r="131" spans="1:19" ht="15.6" x14ac:dyDescent="0.3">
      <c r="A131" s="24"/>
      <c r="B131" s="25" t="s">
        <v>52</v>
      </c>
      <c r="C131" s="25"/>
      <c r="D131" s="25"/>
      <c r="E131" s="25"/>
      <c r="F131" s="25"/>
      <c r="G131" s="25"/>
      <c r="H131" s="25"/>
      <c r="I131" s="25"/>
      <c r="J131" s="25"/>
      <c r="K131" s="25"/>
      <c r="L131" s="25"/>
      <c r="M131" s="25"/>
      <c r="N131" s="25"/>
      <c r="O131" s="25"/>
      <c r="P131" s="53">
        <v>19815</v>
      </c>
      <c r="Q131" s="25"/>
      <c r="R131" s="5"/>
    </row>
    <row r="132" spans="1:19" ht="15.6" x14ac:dyDescent="0.3">
      <c r="A132" s="24"/>
      <c r="B132" s="25" t="s">
        <v>161</v>
      </c>
      <c r="C132" s="25"/>
      <c r="D132" s="25"/>
      <c r="E132" s="25"/>
      <c r="F132" s="25"/>
      <c r="G132" s="25"/>
      <c r="H132" s="25"/>
      <c r="I132" s="25"/>
      <c r="J132" s="25"/>
      <c r="K132" s="25"/>
      <c r="L132" s="25"/>
      <c r="M132" s="25"/>
      <c r="N132" s="25"/>
      <c r="O132" s="25"/>
      <c r="P132" s="53">
        <v>0</v>
      </c>
      <c r="Q132" s="25"/>
      <c r="R132" s="5"/>
    </row>
    <row r="133" spans="1:19" ht="15.6" x14ac:dyDescent="0.3">
      <c r="A133" s="24"/>
      <c r="B133" s="25" t="s">
        <v>144</v>
      </c>
      <c r="C133" s="25"/>
      <c r="D133" s="25"/>
      <c r="E133" s="25"/>
      <c r="F133" s="25"/>
      <c r="G133" s="25"/>
      <c r="H133" s="25"/>
      <c r="I133" s="25"/>
      <c r="J133" s="25"/>
      <c r="K133" s="25"/>
      <c r="L133" s="25"/>
      <c r="M133" s="25"/>
      <c r="N133" s="25"/>
      <c r="O133" s="25"/>
      <c r="P133" s="53">
        <v>0</v>
      </c>
      <c r="Q133" s="25"/>
      <c r="R133" s="5"/>
    </row>
    <row r="134" spans="1:19" ht="15.6" x14ac:dyDescent="0.3">
      <c r="A134" s="24"/>
      <c r="B134" s="25" t="s">
        <v>145</v>
      </c>
      <c r="C134" s="25"/>
      <c r="D134" s="25"/>
      <c r="E134" s="25"/>
      <c r="F134" s="25"/>
      <c r="G134" s="25"/>
      <c r="H134" s="25"/>
      <c r="I134" s="25"/>
      <c r="J134" s="25"/>
      <c r="K134" s="25"/>
      <c r="L134" s="25"/>
      <c r="M134" s="25"/>
      <c r="N134" s="25"/>
      <c r="O134" s="25"/>
      <c r="P134" s="53">
        <v>0</v>
      </c>
      <c r="Q134" s="25"/>
      <c r="R134" s="5"/>
    </row>
    <row r="135" spans="1:19" ht="15.6" x14ac:dyDescent="0.3">
      <c r="A135" s="24"/>
      <c r="B135" s="25" t="s">
        <v>53</v>
      </c>
      <c r="C135" s="25"/>
      <c r="D135" s="25"/>
      <c r="E135" s="25"/>
      <c r="F135" s="25"/>
      <c r="G135" s="25"/>
      <c r="H135" s="25"/>
      <c r="I135" s="25"/>
      <c r="J135" s="25"/>
      <c r="K135" s="25"/>
      <c r="L135" s="25"/>
      <c r="M135" s="25"/>
      <c r="N135" s="25"/>
      <c r="O135" s="25"/>
      <c r="P135" s="53">
        <v>0</v>
      </c>
      <c r="Q135" s="25"/>
      <c r="R135" s="5"/>
    </row>
    <row r="136" spans="1:19" ht="15.6" x14ac:dyDescent="0.3">
      <c r="A136" s="24"/>
      <c r="B136" s="25" t="s">
        <v>153</v>
      </c>
      <c r="C136" s="25"/>
      <c r="D136" s="25"/>
      <c r="E136" s="25"/>
      <c r="F136" s="25"/>
      <c r="G136" s="25"/>
      <c r="H136" s="25"/>
      <c r="I136" s="25"/>
      <c r="J136" s="25"/>
      <c r="K136" s="25"/>
      <c r="L136" s="25"/>
      <c r="M136" s="25"/>
      <c r="N136" s="25"/>
      <c r="O136" s="25"/>
      <c r="P136" s="53">
        <v>0</v>
      </c>
      <c r="Q136" s="25"/>
      <c r="R136" s="5"/>
    </row>
    <row r="137" spans="1:19" ht="15.6" x14ac:dyDescent="0.3">
      <c r="A137" s="24"/>
      <c r="B137" s="25" t="s">
        <v>202</v>
      </c>
      <c r="C137" s="25"/>
      <c r="D137" s="25"/>
      <c r="E137" s="25"/>
      <c r="F137" s="25"/>
      <c r="G137" s="25"/>
      <c r="H137" s="25"/>
      <c r="I137" s="25"/>
      <c r="J137" s="25"/>
      <c r="K137" s="25"/>
      <c r="L137" s="25"/>
      <c r="M137" s="25"/>
      <c r="N137" s="25"/>
      <c r="O137" s="25"/>
      <c r="P137" s="53">
        <v>0</v>
      </c>
      <c r="Q137" s="25"/>
      <c r="R137" s="5"/>
      <c r="S137" s="109"/>
    </row>
    <row r="138" spans="1:19" ht="15.6" x14ac:dyDescent="0.3">
      <c r="A138" s="24"/>
      <c r="B138" s="25" t="s">
        <v>54</v>
      </c>
      <c r="C138" s="25"/>
      <c r="D138" s="25"/>
      <c r="E138" s="25"/>
      <c r="F138" s="25"/>
      <c r="G138" s="25"/>
      <c r="H138" s="25"/>
      <c r="I138" s="25"/>
      <c r="J138" s="25"/>
      <c r="K138" s="25"/>
      <c r="L138" s="25"/>
      <c r="M138" s="25"/>
      <c r="N138" s="25"/>
      <c r="O138" s="25"/>
      <c r="P138" s="53">
        <f>SUM(P131:P137)</f>
        <v>19815</v>
      </c>
      <c r="Q138" s="25"/>
      <c r="R138" s="5"/>
    </row>
    <row r="139" spans="1:19" ht="15.6" x14ac:dyDescent="0.3">
      <c r="A139" s="24"/>
      <c r="B139" s="25"/>
      <c r="C139" s="25"/>
      <c r="D139" s="25"/>
      <c r="E139" s="25"/>
      <c r="F139" s="25"/>
      <c r="G139" s="25"/>
      <c r="H139" s="25"/>
      <c r="I139" s="25"/>
      <c r="J139" s="25"/>
      <c r="K139" s="25"/>
      <c r="L139" s="25"/>
      <c r="M139" s="25"/>
      <c r="N139" s="25"/>
      <c r="O139" s="25"/>
      <c r="P139" s="61"/>
      <c r="Q139" s="25"/>
      <c r="R139" s="5"/>
    </row>
    <row r="140" spans="1:19" ht="15.6" x14ac:dyDescent="0.3">
      <c r="A140" s="6"/>
      <c r="B140" s="119" t="s">
        <v>28</v>
      </c>
      <c r="C140" s="8"/>
      <c r="D140" s="8"/>
      <c r="E140" s="8"/>
      <c r="F140" s="8"/>
      <c r="G140" s="8"/>
      <c r="H140" s="8"/>
      <c r="I140" s="8"/>
      <c r="J140" s="8"/>
      <c r="K140" s="8"/>
      <c r="L140" s="8"/>
      <c r="M140" s="8"/>
      <c r="N140" s="8"/>
      <c r="O140" s="8"/>
      <c r="P140" s="52"/>
      <c r="Q140" s="8"/>
      <c r="R140" s="5"/>
    </row>
    <row r="141" spans="1:19" ht="15.6" x14ac:dyDescent="0.3">
      <c r="A141" s="24"/>
      <c r="B141" s="25" t="s">
        <v>55</v>
      </c>
      <c r="C141" s="25"/>
      <c r="D141" s="25"/>
      <c r="E141" s="25"/>
      <c r="F141" s="25"/>
      <c r="G141" s="25"/>
      <c r="H141" s="25"/>
      <c r="I141" s="25"/>
      <c r="J141" s="25"/>
      <c r="K141" s="25"/>
      <c r="L141" s="25"/>
      <c r="M141" s="25"/>
      <c r="N141" s="25"/>
      <c r="O141" s="25"/>
      <c r="P141" s="59" t="s">
        <v>137</v>
      </c>
      <c r="Q141" s="25"/>
      <c r="R141" s="5"/>
    </row>
    <row r="142" spans="1:19" ht="15.6" x14ac:dyDescent="0.3">
      <c r="A142" s="24"/>
      <c r="B142" s="25" t="s">
        <v>56</v>
      </c>
      <c r="C142" s="141"/>
      <c r="D142" s="141"/>
      <c r="E142" s="141"/>
      <c r="F142" s="141"/>
      <c r="G142" s="141"/>
      <c r="H142" s="141"/>
      <c r="I142" s="141"/>
      <c r="J142" s="141"/>
      <c r="K142" s="141"/>
      <c r="L142" s="141"/>
      <c r="M142" s="141"/>
      <c r="N142" s="141"/>
      <c r="O142" s="141"/>
      <c r="P142" s="59" t="s">
        <v>137</v>
      </c>
      <c r="Q142" s="25"/>
      <c r="R142" s="5"/>
    </row>
    <row r="143" spans="1:19" ht="15.6" x14ac:dyDescent="0.3">
      <c r="A143" s="24"/>
      <c r="B143" s="25" t="s">
        <v>57</v>
      </c>
      <c r="C143" s="25"/>
      <c r="D143" s="25"/>
      <c r="E143" s="25"/>
      <c r="F143" s="25"/>
      <c r="G143" s="25"/>
      <c r="H143" s="25"/>
      <c r="I143" s="25"/>
      <c r="J143" s="25"/>
      <c r="K143" s="25"/>
      <c r="L143" s="25"/>
      <c r="M143" s="25"/>
      <c r="N143" s="25"/>
      <c r="O143" s="25"/>
      <c r="P143" s="59" t="s">
        <v>137</v>
      </c>
      <c r="Q143" s="25"/>
      <c r="R143" s="5"/>
    </row>
    <row r="144" spans="1:19" ht="15.6" x14ac:dyDescent="0.3">
      <c r="A144" s="24"/>
      <c r="B144" s="25" t="s">
        <v>58</v>
      </c>
      <c r="C144" s="25"/>
      <c r="D144" s="25"/>
      <c r="E144" s="25"/>
      <c r="F144" s="25"/>
      <c r="G144" s="25"/>
      <c r="H144" s="25"/>
      <c r="I144" s="25"/>
      <c r="J144" s="25"/>
      <c r="K144" s="25"/>
      <c r="L144" s="25"/>
      <c r="M144" s="25"/>
      <c r="N144" s="25"/>
      <c r="O144" s="25"/>
      <c r="P144" s="59" t="s">
        <v>137</v>
      </c>
      <c r="Q144" s="25"/>
      <c r="R144" s="5"/>
    </row>
    <row r="145" spans="1:18" ht="15.6" x14ac:dyDescent="0.3">
      <c r="A145" s="24"/>
      <c r="B145" s="25"/>
      <c r="C145" s="25"/>
      <c r="D145" s="25"/>
      <c r="E145" s="25"/>
      <c r="F145" s="25"/>
      <c r="G145" s="25"/>
      <c r="H145" s="25"/>
      <c r="I145" s="25"/>
      <c r="J145" s="25"/>
      <c r="K145" s="25"/>
      <c r="L145" s="25"/>
      <c r="M145" s="25"/>
      <c r="N145" s="25"/>
      <c r="O145" s="25"/>
      <c r="P145" s="61"/>
      <c r="Q145" s="25"/>
      <c r="R145" s="5"/>
    </row>
    <row r="146" spans="1:18" ht="15.6" x14ac:dyDescent="0.3">
      <c r="A146" s="6"/>
      <c r="B146" s="119" t="s">
        <v>59</v>
      </c>
      <c r="C146" s="8"/>
      <c r="D146" s="8"/>
      <c r="E146" s="8"/>
      <c r="F146" s="8"/>
      <c r="G146" s="8"/>
      <c r="H146" s="8"/>
      <c r="I146" s="8"/>
      <c r="J146" s="8"/>
      <c r="K146" s="8"/>
      <c r="L146" s="8"/>
      <c r="M146" s="8"/>
      <c r="N146" s="8"/>
      <c r="O146" s="8"/>
      <c r="P146" s="63"/>
      <c r="Q146" s="8"/>
      <c r="R146" s="5"/>
    </row>
    <row r="147" spans="1:18" ht="15.6" x14ac:dyDescent="0.3">
      <c r="A147" s="24"/>
      <c r="B147" s="25" t="s">
        <v>60</v>
      </c>
      <c r="C147" s="25"/>
      <c r="D147" s="25"/>
      <c r="E147" s="25"/>
      <c r="F147" s="25"/>
      <c r="G147" s="25"/>
      <c r="H147" s="25"/>
      <c r="I147" s="25"/>
      <c r="J147" s="25"/>
      <c r="K147" s="25"/>
      <c r="L147" s="25"/>
      <c r="M147" s="25"/>
      <c r="N147" s="25"/>
      <c r="O147" s="25"/>
      <c r="P147" s="53">
        <v>0</v>
      </c>
      <c r="Q147" s="25"/>
      <c r="R147" s="5"/>
    </row>
    <row r="148" spans="1:18" ht="15.6" x14ac:dyDescent="0.3">
      <c r="A148" s="24"/>
      <c r="B148" s="25" t="s">
        <v>61</v>
      </c>
      <c r="C148" s="25"/>
      <c r="D148" s="25"/>
      <c r="E148" s="25"/>
      <c r="F148" s="25"/>
      <c r="G148" s="25"/>
      <c r="H148" s="25"/>
      <c r="I148" s="25"/>
      <c r="J148" s="25"/>
      <c r="K148" s="25"/>
      <c r="L148" s="25"/>
      <c r="M148" s="25"/>
      <c r="N148" s="25"/>
      <c r="O148" s="25"/>
      <c r="P148" s="53">
        <v>0</v>
      </c>
      <c r="Q148" s="25"/>
      <c r="R148" s="5"/>
    </row>
    <row r="149" spans="1:18" ht="15.6" x14ac:dyDescent="0.3">
      <c r="A149" s="24"/>
      <c r="B149" s="25" t="s">
        <v>62</v>
      </c>
      <c r="C149" s="25"/>
      <c r="D149" s="25"/>
      <c r="E149" s="25"/>
      <c r="F149" s="25"/>
      <c r="G149" s="25"/>
      <c r="H149" s="25"/>
      <c r="I149" s="25"/>
      <c r="J149" s="25"/>
      <c r="K149" s="25"/>
      <c r="L149" s="25"/>
      <c r="M149" s="25"/>
      <c r="N149" s="25"/>
      <c r="O149" s="25"/>
      <c r="P149" s="53">
        <f>P148+P147</f>
        <v>0</v>
      </c>
      <c r="Q149" s="25"/>
      <c r="R149" s="5"/>
    </row>
    <row r="150" spans="1:18" ht="15.6" x14ac:dyDescent="0.3">
      <c r="A150" s="24"/>
      <c r="B150" s="403" t="s">
        <v>297</v>
      </c>
      <c r="C150" s="25"/>
      <c r="D150" s="25"/>
      <c r="E150" s="25"/>
      <c r="F150" s="25"/>
      <c r="G150" s="25"/>
      <c r="H150" s="25"/>
      <c r="I150" s="25"/>
      <c r="J150" s="25"/>
      <c r="K150" s="25"/>
      <c r="L150" s="25"/>
      <c r="M150" s="25"/>
      <c r="N150" s="25"/>
      <c r="O150" s="25"/>
      <c r="P150" s="53">
        <f>P109</f>
        <v>0</v>
      </c>
      <c r="Q150" s="25"/>
      <c r="R150" s="5"/>
    </row>
    <row r="151" spans="1:18" ht="15.6" x14ac:dyDescent="0.3">
      <c r="A151" s="24"/>
      <c r="B151" s="25" t="s">
        <v>63</v>
      </c>
      <c r="C151" s="25"/>
      <c r="D151" s="25"/>
      <c r="E151" s="25"/>
      <c r="F151" s="25"/>
      <c r="G151" s="25"/>
      <c r="H151" s="25"/>
      <c r="I151" s="25"/>
      <c r="J151" s="25"/>
      <c r="K151" s="25"/>
      <c r="L151" s="25"/>
      <c r="M151" s="25"/>
      <c r="N151" s="25"/>
      <c r="O151" s="25"/>
      <c r="P151" s="53">
        <f>P149+P150</f>
        <v>0</v>
      </c>
      <c r="Q151" s="25"/>
      <c r="R151" s="5"/>
    </row>
    <row r="152" spans="1:18" ht="16.2" thickBot="1" x14ac:dyDescent="0.35">
      <c r="A152" s="24"/>
      <c r="B152" s="25"/>
      <c r="C152" s="25"/>
      <c r="D152" s="25"/>
      <c r="E152" s="25"/>
      <c r="F152" s="25"/>
      <c r="G152" s="25"/>
      <c r="H152" s="25"/>
      <c r="I152" s="25"/>
      <c r="J152" s="25"/>
      <c r="K152" s="25"/>
      <c r="L152" s="25"/>
      <c r="M152" s="25"/>
      <c r="N152" s="25"/>
      <c r="O152" s="25"/>
      <c r="P152" s="61"/>
      <c r="Q152" s="25"/>
      <c r="R152" s="5"/>
    </row>
    <row r="153" spans="1:18" ht="15.6" x14ac:dyDescent="0.3">
      <c r="A153" s="2"/>
      <c r="B153" s="4"/>
      <c r="C153" s="4"/>
      <c r="D153" s="4"/>
      <c r="E153" s="4"/>
      <c r="F153" s="4"/>
      <c r="G153" s="4"/>
      <c r="H153" s="4"/>
      <c r="I153" s="4"/>
      <c r="J153" s="4"/>
      <c r="K153" s="4"/>
      <c r="L153" s="4"/>
      <c r="M153" s="4"/>
      <c r="N153" s="4"/>
      <c r="O153" s="4"/>
      <c r="P153" s="50"/>
      <c r="Q153" s="4"/>
      <c r="R153" s="5"/>
    </row>
    <row r="154" spans="1:18" ht="15.6" x14ac:dyDescent="0.3">
      <c r="A154" s="6"/>
      <c r="B154" s="119" t="s">
        <v>64</v>
      </c>
      <c r="C154" s="8"/>
      <c r="D154" s="8"/>
      <c r="E154" s="8"/>
      <c r="F154" s="8"/>
      <c r="G154" s="8"/>
      <c r="H154" s="8"/>
      <c r="I154" s="8"/>
      <c r="J154" s="8"/>
      <c r="K154" s="8"/>
      <c r="L154" s="8"/>
      <c r="M154" s="8"/>
      <c r="N154" s="8"/>
      <c r="O154" s="8"/>
      <c r="P154" s="52"/>
      <c r="Q154" s="8"/>
      <c r="R154" s="5"/>
    </row>
    <row r="155" spans="1:18" ht="15.6" x14ac:dyDescent="0.3">
      <c r="A155" s="6"/>
      <c r="B155" s="21"/>
      <c r="C155" s="8"/>
      <c r="D155" s="8"/>
      <c r="E155" s="8"/>
      <c r="F155" s="8"/>
      <c r="G155" s="8"/>
      <c r="H155" s="8"/>
      <c r="I155" s="8"/>
      <c r="J155" s="8"/>
      <c r="K155" s="8"/>
      <c r="L155" s="8"/>
      <c r="M155" s="8"/>
      <c r="N155" s="8"/>
      <c r="O155" s="8"/>
      <c r="P155" s="52"/>
      <c r="Q155" s="8"/>
      <c r="R155" s="5"/>
    </row>
    <row r="156" spans="1:18" ht="15.6" x14ac:dyDescent="0.3">
      <c r="A156" s="24"/>
      <c r="B156" s="25" t="s">
        <v>221</v>
      </c>
      <c r="C156" s="25"/>
      <c r="D156" s="25"/>
      <c r="E156" s="25"/>
      <c r="F156" s="25"/>
      <c r="G156" s="25"/>
      <c r="H156" s="25"/>
      <c r="I156" s="25"/>
      <c r="J156" s="25"/>
      <c r="K156" s="25"/>
      <c r="L156" s="25"/>
      <c r="M156" s="25"/>
      <c r="N156" s="25"/>
      <c r="O156" s="25"/>
      <c r="P156" s="53">
        <f>P72</f>
        <v>842838</v>
      </c>
      <c r="Q156" s="25"/>
      <c r="R156" s="5"/>
    </row>
    <row r="157" spans="1:18" ht="15.6" x14ac:dyDescent="0.3">
      <c r="A157" s="24"/>
      <c r="B157" s="25" t="s">
        <v>65</v>
      </c>
      <c r="C157" s="25"/>
      <c r="D157" s="25"/>
      <c r="E157" s="25"/>
      <c r="F157" s="25"/>
      <c r="G157" s="25"/>
      <c r="H157" s="25"/>
      <c r="I157" s="25"/>
      <c r="J157" s="25"/>
      <c r="K157" s="25"/>
      <c r="L157" s="25"/>
      <c r="M157" s="25"/>
      <c r="N157" s="25"/>
      <c r="O157" s="25"/>
      <c r="P157" s="53">
        <f>P85</f>
        <v>842838</v>
      </c>
      <c r="Q157" s="25"/>
      <c r="R157" s="5"/>
    </row>
    <row r="158" spans="1:18" ht="16.2" thickBot="1" x14ac:dyDescent="0.35">
      <c r="A158" s="24"/>
      <c r="B158" s="25"/>
      <c r="C158" s="25"/>
      <c r="D158" s="25"/>
      <c r="E158" s="25"/>
      <c r="F158" s="25"/>
      <c r="G158" s="25"/>
      <c r="H158" s="25"/>
      <c r="I158" s="25"/>
      <c r="J158" s="25"/>
      <c r="K158" s="25"/>
      <c r="L158" s="25"/>
      <c r="M158" s="25"/>
      <c r="N158" s="25"/>
      <c r="O158" s="25"/>
      <c r="P158" s="61"/>
      <c r="Q158" s="25"/>
      <c r="R158" s="5"/>
    </row>
    <row r="159" spans="1:18" ht="15.6" x14ac:dyDescent="0.3">
      <c r="A159" s="2"/>
      <c r="B159" s="4"/>
      <c r="C159" s="4"/>
      <c r="D159" s="4"/>
      <c r="E159" s="4"/>
      <c r="F159" s="4"/>
      <c r="G159" s="4"/>
      <c r="H159" s="4"/>
      <c r="I159" s="4"/>
      <c r="J159" s="4"/>
      <c r="K159" s="4"/>
      <c r="L159" s="4"/>
      <c r="M159" s="4"/>
      <c r="N159" s="4"/>
      <c r="O159" s="4"/>
      <c r="P159" s="50"/>
      <c r="Q159" s="4"/>
      <c r="R159" s="5"/>
    </row>
    <row r="160" spans="1:18" ht="15.6" x14ac:dyDescent="0.3">
      <c r="A160" s="6"/>
      <c r="B160" s="119" t="s">
        <v>66</v>
      </c>
      <c r="C160" s="117"/>
      <c r="D160" s="117"/>
      <c r="E160" s="117"/>
      <c r="F160" s="120"/>
      <c r="G160" s="120"/>
      <c r="H160" s="120"/>
      <c r="I160" s="120"/>
      <c r="J160" s="120"/>
      <c r="K160" s="120"/>
      <c r="L160" s="120"/>
      <c r="M160" s="120" t="s">
        <v>112</v>
      </c>
      <c r="N160" s="120" t="s">
        <v>120</v>
      </c>
      <c r="O160" s="111"/>
      <c r="P160" s="121" t="s">
        <v>129</v>
      </c>
      <c r="Q160" s="10"/>
      <c r="R160" s="5"/>
    </row>
    <row r="161" spans="1:18" ht="15.6" x14ac:dyDescent="0.3">
      <c r="A161" s="24"/>
      <c r="B161" s="25" t="s">
        <v>67</v>
      </c>
      <c r="C161" s="25"/>
      <c r="D161" s="25"/>
      <c r="E161" s="25"/>
      <c r="F161" s="25"/>
      <c r="G161" s="25"/>
      <c r="H161" s="25"/>
      <c r="I161" s="25"/>
      <c r="J161" s="25"/>
      <c r="K161" s="25"/>
      <c r="L161" s="25"/>
      <c r="M161" s="53">
        <v>144000</v>
      </c>
      <c r="N161" s="40">
        <v>0</v>
      </c>
      <c r="O161" s="25"/>
      <c r="P161" s="53"/>
      <c r="Q161" s="25"/>
      <c r="R161" s="5"/>
    </row>
    <row r="162" spans="1:18" ht="15.6" x14ac:dyDescent="0.3">
      <c r="A162" s="24"/>
      <c r="B162" s="25" t="s">
        <v>68</v>
      </c>
      <c r="C162" s="25"/>
      <c r="D162" s="25"/>
      <c r="E162" s="25"/>
      <c r="F162" s="25"/>
      <c r="G162" s="25"/>
      <c r="H162" s="25"/>
      <c r="I162" s="25"/>
      <c r="J162" s="25"/>
      <c r="K162" s="25"/>
      <c r="L162" s="25"/>
      <c r="M162" s="53">
        <f>+'Oct 04'!M164</f>
        <v>11370</v>
      </c>
      <c r="N162" s="53">
        <f>+'Oct 04'!N164</f>
        <v>5423</v>
      </c>
      <c r="O162" s="25"/>
      <c r="P162" s="53">
        <f>M162+N162</f>
        <v>16793</v>
      </c>
      <c r="Q162" s="25"/>
      <c r="R162" s="5"/>
    </row>
    <row r="163" spans="1:18" ht="15.6" x14ac:dyDescent="0.3">
      <c r="A163" s="24"/>
      <c r="B163" s="25" t="s">
        <v>69</v>
      </c>
      <c r="C163" s="25"/>
      <c r="D163" s="25"/>
      <c r="E163" s="25"/>
      <c r="F163" s="25"/>
      <c r="G163" s="25"/>
      <c r="H163" s="25"/>
      <c r="I163" s="25"/>
      <c r="J163" s="25"/>
      <c r="K163" s="25"/>
      <c r="L163" s="25"/>
      <c r="M163" s="34">
        <v>7828</v>
      </c>
      <c r="N163" s="34">
        <v>1532</v>
      </c>
      <c r="O163" s="25"/>
      <c r="P163" s="53">
        <f>M163+N163</f>
        <v>9360</v>
      </c>
      <c r="Q163" s="25"/>
      <c r="R163" s="5"/>
    </row>
    <row r="164" spans="1:18" ht="15.6" x14ac:dyDescent="0.3">
      <c r="A164" s="24"/>
      <c r="B164" s="25" t="s">
        <v>70</v>
      </c>
      <c r="C164" s="25"/>
      <c r="D164" s="25"/>
      <c r="E164" s="25"/>
      <c r="F164" s="25"/>
      <c r="G164" s="25"/>
      <c r="H164" s="25"/>
      <c r="I164" s="25"/>
      <c r="J164" s="25"/>
      <c r="K164" s="25"/>
      <c r="L164" s="25"/>
      <c r="M164" s="53">
        <f>M162+M163</f>
        <v>19198</v>
      </c>
      <c r="N164" s="53">
        <f>N163+N162</f>
        <v>6955</v>
      </c>
      <c r="O164" s="25"/>
      <c r="P164" s="53">
        <f>M164+N164</f>
        <v>26153</v>
      </c>
      <c r="Q164" s="25"/>
      <c r="R164" s="5"/>
    </row>
    <row r="165" spans="1:18" ht="15.6" x14ac:dyDescent="0.3">
      <c r="A165" s="24"/>
      <c r="B165" s="25" t="s">
        <v>71</v>
      </c>
      <c r="C165" s="25"/>
      <c r="D165" s="25"/>
      <c r="E165" s="25"/>
      <c r="F165" s="25"/>
      <c r="G165" s="25"/>
      <c r="H165" s="25"/>
      <c r="I165" s="25"/>
      <c r="J165" s="25"/>
      <c r="K165" s="25"/>
      <c r="L165" s="25"/>
      <c r="M165" s="53">
        <f>M161-M164-N164</f>
        <v>117847</v>
      </c>
      <c r="N165" s="40"/>
      <c r="O165" s="25"/>
      <c r="P165" s="53"/>
      <c r="Q165" s="25"/>
      <c r="R165" s="5"/>
    </row>
    <row r="166" spans="1:18" ht="16.2" thickBot="1" x14ac:dyDescent="0.35">
      <c r="A166" s="24"/>
      <c r="B166" s="25"/>
      <c r="C166" s="25"/>
      <c r="D166" s="25"/>
      <c r="E166" s="25"/>
      <c r="F166" s="25"/>
      <c r="G166" s="25"/>
      <c r="H166" s="25"/>
      <c r="I166" s="25"/>
      <c r="J166" s="25"/>
      <c r="K166" s="25"/>
      <c r="L166" s="25"/>
      <c r="M166" s="25"/>
      <c r="N166" s="25"/>
      <c r="O166" s="25"/>
      <c r="P166" s="61"/>
      <c r="Q166" s="25"/>
      <c r="R166" s="5"/>
    </row>
    <row r="167" spans="1:18" ht="15.6" x14ac:dyDescent="0.3">
      <c r="A167" s="2"/>
      <c r="B167" s="4"/>
      <c r="C167" s="4"/>
      <c r="D167" s="4"/>
      <c r="E167" s="4"/>
      <c r="F167" s="4"/>
      <c r="G167" s="4"/>
      <c r="H167" s="4"/>
      <c r="I167" s="4"/>
      <c r="J167" s="4"/>
      <c r="K167" s="4"/>
      <c r="L167" s="4"/>
      <c r="M167" s="4"/>
      <c r="N167" s="4"/>
      <c r="O167" s="4"/>
      <c r="P167" s="50"/>
      <c r="Q167" s="4"/>
      <c r="R167" s="5"/>
    </row>
    <row r="168" spans="1:18" ht="15.6" x14ac:dyDescent="0.3">
      <c r="A168" s="6"/>
      <c r="B168" s="119" t="s">
        <v>72</v>
      </c>
      <c r="C168" s="8"/>
      <c r="D168" s="8"/>
      <c r="E168" s="8"/>
      <c r="F168" s="8"/>
      <c r="G168" s="8"/>
      <c r="H168" s="8"/>
      <c r="I168" s="8"/>
      <c r="J168" s="8"/>
      <c r="K168" s="8"/>
      <c r="L168" s="8"/>
      <c r="M168" s="8"/>
      <c r="N168" s="8"/>
      <c r="O168" s="8"/>
      <c r="P168" s="65"/>
      <c r="Q168" s="8"/>
      <c r="R168" s="5"/>
    </row>
    <row r="169" spans="1:18" ht="15.6" x14ac:dyDescent="0.3">
      <c r="A169" s="24"/>
      <c r="B169" s="25" t="s">
        <v>73</v>
      </c>
      <c r="C169" s="25"/>
      <c r="D169" s="25"/>
      <c r="E169" s="25"/>
      <c r="F169" s="25"/>
      <c r="G169" s="25"/>
      <c r="H169" s="25"/>
      <c r="I169" s="25"/>
      <c r="J169" s="25"/>
      <c r="K169" s="25"/>
      <c r="L169" s="25"/>
      <c r="M169" s="25"/>
      <c r="N169" s="25"/>
      <c r="O169" s="25"/>
      <c r="P169" s="66">
        <f>(P96+P98+P99+P100+P101)/-(P102+P103+P104)</f>
        <v>1.392438975987299</v>
      </c>
      <c r="Q169" s="25" t="s">
        <v>130</v>
      </c>
      <c r="R169" s="5"/>
    </row>
    <row r="170" spans="1:18" ht="15.6" x14ac:dyDescent="0.3">
      <c r="A170" s="24"/>
      <c r="B170" s="25" t="s">
        <v>74</v>
      </c>
      <c r="C170" s="25"/>
      <c r="D170" s="25"/>
      <c r="E170" s="25"/>
      <c r="F170" s="25"/>
      <c r="G170" s="25"/>
      <c r="H170" s="25"/>
      <c r="I170" s="25"/>
      <c r="J170" s="25"/>
      <c r="K170" s="25"/>
      <c r="L170" s="25"/>
      <c r="M170" s="25"/>
      <c r="N170" s="25"/>
      <c r="O170" s="25"/>
      <c r="P170" s="66">
        <v>1.26</v>
      </c>
      <c r="Q170" s="25" t="s">
        <v>130</v>
      </c>
      <c r="R170" s="5"/>
    </row>
    <row r="171" spans="1:18" ht="15.6" x14ac:dyDescent="0.3">
      <c r="A171" s="24"/>
      <c r="B171" s="25" t="s">
        <v>75</v>
      </c>
      <c r="C171" s="25"/>
      <c r="D171" s="25"/>
      <c r="E171" s="25"/>
      <c r="F171" s="25"/>
      <c r="G171" s="25"/>
      <c r="H171" s="25"/>
      <c r="I171" s="25"/>
      <c r="J171" s="25"/>
      <c r="K171" s="25"/>
      <c r="L171" s="25"/>
      <c r="M171" s="25"/>
      <c r="N171" s="25"/>
      <c r="O171" s="25"/>
      <c r="P171" s="59">
        <f>(P96+P98+P99+P100+P101+P102+P103+P104)/-(P105+P106)</f>
        <v>2.9939439818319453</v>
      </c>
      <c r="Q171" s="25" t="s">
        <v>130</v>
      </c>
      <c r="R171" s="5"/>
    </row>
    <row r="172" spans="1:18" ht="15.6" x14ac:dyDescent="0.3">
      <c r="A172" s="24"/>
      <c r="B172" s="25" t="s">
        <v>76</v>
      </c>
      <c r="C172" s="25"/>
      <c r="D172" s="25"/>
      <c r="E172" s="25"/>
      <c r="F172" s="25"/>
      <c r="G172" s="25"/>
      <c r="H172" s="25"/>
      <c r="I172" s="25"/>
      <c r="J172" s="25"/>
      <c r="K172" s="25"/>
      <c r="L172" s="25"/>
      <c r="M172" s="25"/>
      <c r="N172" s="25"/>
      <c r="O172" s="25"/>
      <c r="P172" s="66">
        <v>2</v>
      </c>
      <c r="Q172" s="25" t="s">
        <v>130</v>
      </c>
      <c r="R172" s="5"/>
    </row>
    <row r="173" spans="1:18" ht="15.6" x14ac:dyDescent="0.3">
      <c r="A173" s="24"/>
      <c r="B173" s="25"/>
      <c r="C173" s="25"/>
      <c r="D173" s="25"/>
      <c r="E173" s="25"/>
      <c r="F173" s="25"/>
      <c r="G173" s="25"/>
      <c r="H173" s="25"/>
      <c r="I173" s="25"/>
      <c r="J173" s="25"/>
      <c r="K173" s="25"/>
      <c r="L173" s="25"/>
      <c r="M173" s="25"/>
      <c r="N173" s="25"/>
      <c r="O173" s="25"/>
      <c r="P173" s="25"/>
      <c r="Q173" s="25"/>
      <c r="R173" s="5"/>
    </row>
    <row r="174" spans="1:18" ht="15.6" x14ac:dyDescent="0.3">
      <c r="A174" s="24"/>
      <c r="B174" s="25"/>
      <c r="C174" s="25"/>
      <c r="D174" s="25"/>
      <c r="E174" s="25"/>
      <c r="F174" s="25"/>
      <c r="G174" s="25"/>
      <c r="H174" s="25"/>
      <c r="I174" s="25"/>
      <c r="J174" s="25"/>
      <c r="K174" s="25"/>
      <c r="L174" s="25"/>
      <c r="M174" s="25"/>
      <c r="N174" s="25"/>
      <c r="O174" s="25"/>
      <c r="P174" s="25"/>
      <c r="Q174" s="25"/>
      <c r="R174" s="5"/>
    </row>
    <row r="175" spans="1:18" ht="15.6" x14ac:dyDescent="0.3">
      <c r="A175" s="6"/>
      <c r="B175" s="8"/>
      <c r="C175" s="8"/>
      <c r="D175" s="8"/>
      <c r="E175" s="8"/>
      <c r="F175" s="8"/>
      <c r="G175" s="8"/>
      <c r="H175" s="8"/>
      <c r="I175" s="8"/>
      <c r="J175" s="8"/>
      <c r="K175" s="8"/>
      <c r="L175" s="8"/>
      <c r="M175" s="8"/>
      <c r="N175" s="8"/>
      <c r="O175" s="8"/>
      <c r="P175" s="8"/>
      <c r="Q175" s="8"/>
      <c r="R175" s="5"/>
    </row>
    <row r="176" spans="1:18" ht="18" thickBot="1" x14ac:dyDescent="0.35">
      <c r="A176" s="101"/>
      <c r="B176" s="102" t="str">
        <f>B126</f>
        <v>PM7 INVESTOR REPORT QUARTER ENDING JANUARY 2005</v>
      </c>
      <c r="C176" s="143"/>
      <c r="D176" s="143"/>
      <c r="E176" s="143"/>
      <c r="F176" s="143"/>
      <c r="G176" s="143"/>
      <c r="H176" s="143"/>
      <c r="I176" s="143"/>
      <c r="J176" s="143"/>
      <c r="K176" s="143"/>
      <c r="L176" s="143"/>
      <c r="M176" s="143"/>
      <c r="N176" s="143"/>
      <c r="O176" s="143"/>
      <c r="P176" s="143"/>
      <c r="Q176" s="144"/>
      <c r="R176" s="5"/>
    </row>
    <row r="177" spans="1:18" ht="15.6" x14ac:dyDescent="0.3">
      <c r="A177" s="67"/>
      <c r="B177" s="60" t="s">
        <v>77</v>
      </c>
      <c r="C177" s="68"/>
      <c r="D177" s="68"/>
      <c r="E177" s="69"/>
      <c r="F177" s="69"/>
      <c r="G177" s="69"/>
      <c r="H177" s="69"/>
      <c r="I177" s="69"/>
      <c r="J177" s="69"/>
      <c r="K177" s="69"/>
      <c r="L177" s="69"/>
      <c r="M177" s="69"/>
      <c r="N177" s="70">
        <f>H90</f>
        <v>38383</v>
      </c>
      <c r="O177" s="4"/>
      <c r="P177" s="4"/>
      <c r="Q177" s="4"/>
      <c r="R177" s="5"/>
    </row>
    <row r="178" spans="1:18" ht="15.6" x14ac:dyDescent="0.3">
      <c r="A178" s="71"/>
      <c r="B178" s="72"/>
      <c r="C178" s="73"/>
      <c r="D178" s="73"/>
      <c r="E178" s="74"/>
      <c r="F178" s="74"/>
      <c r="G178" s="74"/>
      <c r="H178" s="74"/>
      <c r="I178" s="74"/>
      <c r="J178" s="74"/>
      <c r="K178" s="74"/>
      <c r="L178" s="74"/>
      <c r="M178" s="74"/>
      <c r="N178" s="74"/>
      <c r="O178" s="8"/>
      <c r="P178" s="8"/>
      <c r="Q178" s="8"/>
      <c r="R178" s="5"/>
    </row>
    <row r="179" spans="1:18" ht="15.6" x14ac:dyDescent="0.3">
      <c r="A179" s="75"/>
      <c r="B179" s="76" t="s">
        <v>78</v>
      </c>
      <c r="C179" s="77"/>
      <c r="D179" s="77"/>
      <c r="E179" s="64"/>
      <c r="F179" s="64"/>
      <c r="G179" s="64"/>
      <c r="H179" s="64"/>
      <c r="I179" s="64"/>
      <c r="J179" s="64"/>
      <c r="K179" s="64"/>
      <c r="L179" s="64"/>
      <c r="M179" s="64"/>
      <c r="N179" s="78">
        <v>5.8069999999999997E-2</v>
      </c>
      <c r="O179" s="25"/>
      <c r="P179" s="25"/>
      <c r="Q179" s="25"/>
      <c r="R179" s="5"/>
    </row>
    <row r="180" spans="1:18" ht="15.6" x14ac:dyDescent="0.3">
      <c r="A180" s="75"/>
      <c r="B180" s="76" t="s">
        <v>219</v>
      </c>
      <c r="C180" s="77"/>
      <c r="D180" s="77"/>
      <c r="E180" s="64"/>
      <c r="F180" s="64"/>
      <c r="G180" s="64"/>
      <c r="H180" s="64"/>
      <c r="I180" s="64"/>
      <c r="J180" s="64"/>
      <c r="K180" s="64"/>
      <c r="L180" s="64"/>
      <c r="M180" s="64"/>
      <c r="N180" s="39">
        <v>5.1499999999999997E-2</v>
      </c>
      <c r="O180" s="25"/>
      <c r="P180" s="25"/>
      <c r="Q180" s="25"/>
      <c r="R180" s="5"/>
    </row>
    <row r="181" spans="1:18" ht="15.6" x14ac:dyDescent="0.3">
      <c r="A181" s="75"/>
      <c r="B181" s="76" t="s">
        <v>79</v>
      </c>
      <c r="C181" s="77"/>
      <c r="D181" s="77"/>
      <c r="E181" s="64"/>
      <c r="F181" s="64"/>
      <c r="G181" s="64"/>
      <c r="H181" s="64"/>
      <c r="I181" s="64"/>
      <c r="J181" s="64"/>
      <c r="K181" s="64"/>
      <c r="L181" s="64"/>
      <c r="M181" s="64"/>
      <c r="N181" s="78">
        <f>N179-N180</f>
        <v>6.5699999999999995E-3</v>
      </c>
      <c r="O181" s="25"/>
      <c r="P181" s="25"/>
      <c r="Q181" s="25"/>
      <c r="R181" s="5"/>
    </row>
    <row r="182" spans="1:18" ht="15.6" x14ac:dyDescent="0.3">
      <c r="A182" s="75"/>
      <c r="B182" s="76" t="s">
        <v>80</v>
      </c>
      <c r="C182" s="77"/>
      <c r="D182" s="77"/>
      <c r="E182" s="64"/>
      <c r="F182" s="64"/>
      <c r="G182" s="64"/>
      <c r="H182" s="64"/>
      <c r="I182" s="64"/>
      <c r="J182" s="64"/>
      <c r="K182" s="64"/>
      <c r="L182" s="64"/>
      <c r="M182" s="64"/>
      <c r="N182" s="78">
        <v>6.3170000000000004E-2</v>
      </c>
      <c r="O182" s="25"/>
      <c r="P182" s="25"/>
      <c r="Q182" s="25"/>
      <c r="R182" s="5"/>
    </row>
    <row r="183" spans="1:18" ht="15.6" x14ac:dyDescent="0.3">
      <c r="A183" s="75"/>
      <c r="B183" s="76" t="s">
        <v>241</v>
      </c>
      <c r="C183" s="77"/>
      <c r="D183" s="77"/>
      <c r="E183" s="64"/>
      <c r="F183" s="64"/>
      <c r="G183" s="64"/>
      <c r="H183" s="64"/>
      <c r="I183" s="64"/>
      <c r="J183" s="64"/>
      <c r="K183" s="64"/>
      <c r="L183" s="64"/>
      <c r="M183" s="64"/>
      <c r="N183" s="78">
        <f>+P44</f>
        <v>5.2310347389444074E-2</v>
      </c>
      <c r="O183" s="25"/>
      <c r="P183" s="25"/>
      <c r="Q183" s="25"/>
      <c r="R183" s="5"/>
    </row>
    <row r="184" spans="1:18" ht="15.6" x14ac:dyDescent="0.3">
      <c r="A184" s="75"/>
      <c r="B184" s="76" t="s">
        <v>81</v>
      </c>
      <c r="C184" s="77"/>
      <c r="D184" s="77"/>
      <c r="E184" s="64"/>
      <c r="F184" s="64"/>
      <c r="G184" s="64"/>
      <c r="H184" s="64"/>
      <c r="I184" s="64"/>
      <c r="J184" s="64"/>
      <c r="K184" s="64"/>
      <c r="L184" s="64"/>
      <c r="M184" s="64"/>
      <c r="N184" s="78">
        <f>N182-N183</f>
        <v>1.085965261055593E-2</v>
      </c>
      <c r="O184" s="25"/>
      <c r="P184" s="25"/>
      <c r="Q184" s="25"/>
      <c r="R184" s="5"/>
    </row>
    <row r="185" spans="1:18" ht="15.6" x14ac:dyDescent="0.3">
      <c r="A185" s="75"/>
      <c r="B185" s="76" t="s">
        <v>257</v>
      </c>
      <c r="C185" s="77"/>
      <c r="D185" s="77"/>
      <c r="E185" s="64"/>
      <c r="F185" s="64"/>
      <c r="G185" s="64"/>
      <c r="H185" s="64"/>
      <c r="I185" s="64"/>
      <c r="J185" s="64"/>
      <c r="K185" s="64"/>
      <c r="L185" s="64"/>
      <c r="M185" s="64"/>
      <c r="N185" s="78">
        <f>+P96/H72</f>
        <v>1.6668941474214091E-2</v>
      </c>
      <c r="O185" s="25"/>
      <c r="P185" s="25"/>
      <c r="Q185" s="25"/>
      <c r="R185" s="5"/>
    </row>
    <row r="186" spans="1:18" ht="15.6" x14ac:dyDescent="0.3">
      <c r="A186" s="75"/>
      <c r="B186" s="76" t="s">
        <v>170</v>
      </c>
      <c r="C186" s="77"/>
      <c r="D186" s="77"/>
      <c r="E186" s="64"/>
      <c r="F186" s="64"/>
      <c r="G186" s="64"/>
      <c r="H186" s="64"/>
      <c r="I186" s="64"/>
      <c r="J186" s="64"/>
      <c r="K186" s="64"/>
      <c r="L186" s="64"/>
      <c r="M186" s="64"/>
      <c r="N186" s="133">
        <v>49065</v>
      </c>
      <c r="O186" s="25"/>
      <c r="P186" s="25"/>
      <c r="Q186" s="25"/>
      <c r="R186" s="5"/>
    </row>
    <row r="187" spans="1:18" ht="15.6" x14ac:dyDescent="0.3">
      <c r="A187" s="75"/>
      <c r="B187" s="76" t="s">
        <v>171</v>
      </c>
      <c r="C187" s="77"/>
      <c r="D187" s="77"/>
      <c r="E187" s="64"/>
      <c r="F187" s="64"/>
      <c r="G187" s="64"/>
      <c r="H187" s="64"/>
      <c r="I187" s="64"/>
      <c r="J187" s="64"/>
      <c r="K187" s="64"/>
      <c r="L187" s="64"/>
      <c r="M187" s="64"/>
      <c r="N187" s="133">
        <v>49065</v>
      </c>
      <c r="O187" s="25"/>
      <c r="P187" s="25"/>
      <c r="Q187" s="25"/>
      <c r="R187" s="5"/>
    </row>
    <row r="188" spans="1:18" ht="15.6" x14ac:dyDescent="0.3">
      <c r="A188" s="75"/>
      <c r="B188" s="76" t="s">
        <v>172</v>
      </c>
      <c r="C188" s="77"/>
      <c r="D188" s="77"/>
      <c r="E188" s="64"/>
      <c r="F188" s="64"/>
      <c r="G188" s="64"/>
      <c r="H188" s="64"/>
      <c r="I188" s="64"/>
      <c r="J188" s="64"/>
      <c r="K188" s="64"/>
      <c r="L188" s="64"/>
      <c r="M188" s="64"/>
      <c r="N188" s="133">
        <v>49065</v>
      </c>
      <c r="O188" s="25"/>
      <c r="P188" s="25"/>
      <c r="Q188" s="25"/>
      <c r="R188" s="5"/>
    </row>
    <row r="189" spans="1:18" ht="15.6" x14ac:dyDescent="0.3">
      <c r="A189" s="75"/>
      <c r="B189" s="76" t="s">
        <v>138</v>
      </c>
      <c r="C189" s="77"/>
      <c r="D189" s="77"/>
      <c r="E189" s="64"/>
      <c r="F189" s="64"/>
      <c r="G189" s="64"/>
      <c r="H189" s="64"/>
      <c r="I189" s="64"/>
      <c r="J189" s="64"/>
      <c r="K189" s="64"/>
      <c r="L189" s="64"/>
      <c r="M189" s="64"/>
      <c r="N189" s="133">
        <v>52352</v>
      </c>
      <c r="O189" s="25"/>
      <c r="P189" s="25"/>
      <c r="Q189" s="25"/>
      <c r="R189" s="5"/>
    </row>
    <row r="190" spans="1:18" ht="15.6" x14ac:dyDescent="0.3">
      <c r="A190" s="75"/>
      <c r="B190" s="76" t="s">
        <v>139</v>
      </c>
      <c r="C190" s="77"/>
      <c r="D190" s="77"/>
      <c r="E190" s="64"/>
      <c r="F190" s="64"/>
      <c r="G190" s="64"/>
      <c r="H190" s="64"/>
      <c r="I190" s="64"/>
      <c r="J190" s="64"/>
      <c r="K190" s="64"/>
      <c r="L190" s="64"/>
      <c r="M190" s="64"/>
      <c r="N190" s="133">
        <v>52352</v>
      </c>
      <c r="O190" s="25"/>
      <c r="P190" s="25"/>
      <c r="Q190" s="25"/>
      <c r="R190" s="5"/>
    </row>
    <row r="191" spans="1:18" ht="15.6" x14ac:dyDescent="0.3">
      <c r="A191" s="75"/>
      <c r="B191" s="76" t="s">
        <v>82</v>
      </c>
      <c r="C191" s="77"/>
      <c r="D191" s="77"/>
      <c r="E191" s="64"/>
      <c r="F191" s="64"/>
      <c r="G191" s="64"/>
      <c r="H191" s="64"/>
      <c r="I191" s="64"/>
      <c r="J191" s="64"/>
      <c r="K191" s="64"/>
      <c r="L191" s="64"/>
      <c r="M191" s="64"/>
      <c r="N191" s="137">
        <v>20.45</v>
      </c>
      <c r="O191" s="25" t="s">
        <v>125</v>
      </c>
      <c r="P191" s="25"/>
      <c r="Q191" s="25"/>
      <c r="R191" s="5"/>
    </row>
    <row r="192" spans="1:18" ht="15.6" x14ac:dyDescent="0.3">
      <c r="A192" s="75"/>
      <c r="B192" s="76" t="s">
        <v>83</v>
      </c>
      <c r="C192" s="77"/>
      <c r="D192" s="77"/>
      <c r="E192" s="64"/>
      <c r="F192" s="64"/>
      <c r="G192" s="64"/>
      <c r="H192" s="64"/>
      <c r="I192" s="64"/>
      <c r="J192" s="64"/>
      <c r="K192" s="64"/>
      <c r="L192" s="64"/>
      <c r="M192" s="64"/>
      <c r="N192" s="137">
        <v>20.65</v>
      </c>
      <c r="O192" s="25" t="s">
        <v>125</v>
      </c>
      <c r="P192" s="25"/>
      <c r="Q192" s="25"/>
      <c r="R192" s="5"/>
    </row>
    <row r="193" spans="1:18" ht="15.6" x14ac:dyDescent="0.3">
      <c r="A193" s="75"/>
      <c r="B193" s="76" t="s">
        <v>84</v>
      </c>
      <c r="C193" s="77"/>
      <c r="D193" s="77"/>
      <c r="E193" s="64"/>
      <c r="F193" s="64"/>
      <c r="G193" s="64"/>
      <c r="H193" s="64"/>
      <c r="I193" s="64"/>
      <c r="J193" s="64"/>
      <c r="K193" s="64"/>
      <c r="L193" s="64"/>
      <c r="M193" s="64"/>
      <c r="N193" s="78">
        <f>+J72/H72</f>
        <v>3.5931163552493692E-2</v>
      </c>
      <c r="O193" s="25"/>
      <c r="P193" s="25"/>
      <c r="Q193" s="25"/>
      <c r="R193" s="5"/>
    </row>
    <row r="194" spans="1:18" ht="15.6" x14ac:dyDescent="0.3">
      <c r="A194" s="75"/>
      <c r="B194" s="76" t="s">
        <v>85</v>
      </c>
      <c r="C194" s="77"/>
      <c r="D194" s="77"/>
      <c r="E194" s="64"/>
      <c r="F194" s="64"/>
      <c r="G194" s="64"/>
      <c r="H194" s="64"/>
      <c r="I194" s="64"/>
      <c r="J194" s="64"/>
      <c r="K194" s="64"/>
      <c r="L194" s="64"/>
      <c r="M194" s="64"/>
      <c r="N194" s="78">
        <v>0.15540000000000001</v>
      </c>
      <c r="O194" s="25"/>
      <c r="P194" s="25"/>
      <c r="Q194" s="25"/>
      <c r="R194" s="5"/>
    </row>
    <row r="195" spans="1:18" ht="15.6" x14ac:dyDescent="0.3">
      <c r="A195" s="75"/>
      <c r="B195" s="76"/>
      <c r="C195" s="76"/>
      <c r="D195" s="76"/>
      <c r="E195" s="25"/>
      <c r="F195" s="25"/>
      <c r="G195" s="25"/>
      <c r="H195" s="25"/>
      <c r="I195" s="25"/>
      <c r="J195" s="25"/>
      <c r="K195" s="25"/>
      <c r="L195" s="25"/>
      <c r="M195" s="25"/>
      <c r="N195" s="61"/>
      <c r="O195" s="25"/>
      <c r="P195" s="79"/>
      <c r="Q195" s="25"/>
      <c r="R195" s="5"/>
    </row>
    <row r="196" spans="1:18" ht="15.6" x14ac:dyDescent="0.3">
      <c r="A196" s="80"/>
      <c r="B196" s="14" t="s">
        <v>86</v>
      </c>
      <c r="C196" s="81"/>
      <c r="D196" s="82"/>
      <c r="E196" s="81"/>
      <c r="F196" s="17"/>
      <c r="G196" s="17"/>
      <c r="H196" s="17"/>
      <c r="I196" s="17"/>
      <c r="J196" s="17"/>
      <c r="K196" s="17"/>
      <c r="L196" s="17"/>
      <c r="M196" s="17" t="s">
        <v>113</v>
      </c>
      <c r="N196" s="83" t="s">
        <v>121</v>
      </c>
      <c r="O196" s="8"/>
      <c r="P196" s="8"/>
      <c r="Q196" s="8"/>
      <c r="R196" s="5"/>
    </row>
    <row r="197" spans="1:18" ht="15.6" x14ac:dyDescent="0.3">
      <c r="A197" s="84"/>
      <c r="B197" s="76" t="s">
        <v>87</v>
      </c>
      <c r="C197" s="54"/>
      <c r="D197" s="25"/>
      <c r="E197" s="25"/>
      <c r="F197" s="30"/>
      <c r="G197" s="30"/>
      <c r="H197" s="30"/>
      <c r="I197" s="30"/>
      <c r="J197" s="30"/>
      <c r="K197" s="30"/>
      <c r="L197" s="30"/>
      <c r="M197" s="30">
        <v>24</v>
      </c>
      <c r="N197" s="85">
        <v>1454</v>
      </c>
      <c r="O197" s="25"/>
      <c r="P197" s="79"/>
      <c r="Q197" s="86"/>
      <c r="R197" s="5"/>
    </row>
    <row r="198" spans="1:18" ht="15.6" x14ac:dyDescent="0.3">
      <c r="A198" s="84"/>
      <c r="B198" s="76" t="s">
        <v>203</v>
      </c>
      <c r="C198" s="54"/>
      <c r="D198" s="25"/>
      <c r="E198" s="25"/>
      <c r="F198" s="30"/>
      <c r="G198" s="30"/>
      <c r="H198" s="30"/>
      <c r="I198" s="30"/>
      <c r="J198" s="30"/>
      <c r="K198" s="30"/>
      <c r="L198" s="30"/>
      <c r="M198" s="30">
        <v>49</v>
      </c>
      <c r="N198" s="85">
        <v>5765</v>
      </c>
      <c r="O198" s="25"/>
      <c r="P198" s="79"/>
      <c r="Q198" s="86"/>
      <c r="R198" s="5"/>
    </row>
    <row r="199" spans="1:18" ht="15.6" x14ac:dyDescent="0.3">
      <c r="A199" s="84"/>
      <c r="B199" s="76" t="s">
        <v>88</v>
      </c>
      <c r="C199" s="54"/>
      <c r="D199" s="25"/>
      <c r="E199" s="25"/>
      <c r="F199" s="30"/>
      <c r="G199" s="30"/>
      <c r="H199" s="30"/>
      <c r="I199" s="30"/>
      <c r="J199" s="30"/>
      <c r="K199" s="30"/>
      <c r="L199" s="30"/>
      <c r="M199" s="30">
        <v>0</v>
      </c>
      <c r="N199" s="85">
        <v>0</v>
      </c>
      <c r="O199" s="25"/>
      <c r="P199" s="79"/>
      <c r="Q199" s="86"/>
      <c r="R199" s="5"/>
    </row>
    <row r="200" spans="1:18" ht="15.6" x14ac:dyDescent="0.3">
      <c r="A200" s="84"/>
      <c r="B200" s="122" t="s">
        <v>89</v>
      </c>
      <c r="C200" s="54"/>
      <c r="D200" s="25"/>
      <c r="E200" s="25"/>
      <c r="F200" s="25"/>
      <c r="G200" s="25"/>
      <c r="H200" s="25"/>
      <c r="I200" s="25"/>
      <c r="J200" s="25"/>
      <c r="K200" s="25"/>
      <c r="L200" s="25"/>
      <c r="M200" s="25"/>
      <c r="N200" s="85">
        <v>0</v>
      </c>
      <c r="O200" s="25"/>
      <c r="P200" s="79"/>
      <c r="Q200" s="86"/>
      <c r="R200" s="5"/>
    </row>
    <row r="201" spans="1:18" ht="15.6" x14ac:dyDescent="0.3">
      <c r="A201" s="84"/>
      <c r="B201" s="122" t="s">
        <v>90</v>
      </c>
      <c r="C201" s="54"/>
      <c r="D201" s="25"/>
      <c r="E201" s="25"/>
      <c r="F201" s="25"/>
      <c r="G201" s="25"/>
      <c r="H201" s="25"/>
      <c r="I201" s="25"/>
      <c r="J201" s="25"/>
      <c r="K201" s="25"/>
      <c r="L201" s="25"/>
      <c r="M201" s="25"/>
      <c r="N201" s="62" t="s">
        <v>122</v>
      </c>
      <c r="O201" s="25"/>
      <c r="P201" s="79"/>
      <c r="Q201" s="86"/>
      <c r="R201" s="5"/>
    </row>
    <row r="202" spans="1:18" ht="15.6" x14ac:dyDescent="0.3">
      <c r="A202" s="87"/>
      <c r="B202" s="122" t="s">
        <v>91</v>
      </c>
      <c r="C202" s="76"/>
      <c r="D202" s="76"/>
      <c r="E202" s="25"/>
      <c r="F202" s="25"/>
      <c r="G202" s="25"/>
      <c r="H202" s="25"/>
      <c r="I202" s="25"/>
      <c r="J202" s="25"/>
      <c r="K202" s="25"/>
      <c r="L202" s="25"/>
      <c r="M202" s="25"/>
      <c r="N202" s="85"/>
      <c r="O202" s="25"/>
      <c r="P202" s="79"/>
      <c r="Q202" s="88"/>
      <c r="R202" s="5"/>
    </row>
    <row r="203" spans="1:18" ht="15.6" x14ac:dyDescent="0.3">
      <c r="A203" s="87"/>
      <c r="B203" s="135" t="s">
        <v>92</v>
      </c>
      <c r="C203" s="76"/>
      <c r="D203" s="76"/>
      <c r="E203" s="25"/>
      <c r="F203" s="25"/>
      <c r="G203" s="25"/>
      <c r="H203" s="25"/>
      <c r="I203" s="25"/>
      <c r="J203" s="25"/>
      <c r="K203" s="25"/>
      <c r="L203" s="25"/>
      <c r="M203" s="25">
        <v>0</v>
      </c>
      <c r="N203" s="85">
        <f>P148</f>
        <v>0</v>
      </c>
      <c r="O203" s="25"/>
      <c r="P203" s="79"/>
      <c r="Q203" s="88"/>
      <c r="R203" s="5"/>
    </row>
    <row r="204" spans="1:18" ht="15.6" x14ac:dyDescent="0.3">
      <c r="A204" s="84"/>
      <c r="B204" s="76" t="s">
        <v>93</v>
      </c>
      <c r="C204" s="54"/>
      <c r="D204" s="54"/>
      <c r="E204" s="25"/>
      <c r="F204" s="25"/>
      <c r="G204" s="25"/>
      <c r="H204" s="25"/>
      <c r="I204" s="25"/>
      <c r="J204" s="25"/>
      <c r="K204" s="25"/>
      <c r="L204" s="25"/>
      <c r="M204" s="25">
        <v>0</v>
      </c>
      <c r="N204" s="85">
        <f>+N203</f>
        <v>0</v>
      </c>
      <c r="O204" s="25"/>
      <c r="P204" s="79"/>
      <c r="Q204" s="88"/>
      <c r="R204" s="5"/>
    </row>
    <row r="205" spans="1:18" ht="15.6" x14ac:dyDescent="0.3">
      <c r="A205" s="87"/>
      <c r="B205" s="122" t="s">
        <v>94</v>
      </c>
      <c r="C205" s="76"/>
      <c r="D205" s="76"/>
      <c r="E205" s="25"/>
      <c r="F205" s="25"/>
      <c r="G205" s="25"/>
      <c r="H205" s="25"/>
      <c r="I205" s="25"/>
      <c r="J205" s="25"/>
      <c r="K205" s="25"/>
      <c r="L205" s="25"/>
      <c r="M205" s="25"/>
      <c r="N205" s="85"/>
      <c r="O205" s="25"/>
      <c r="P205" s="79"/>
      <c r="Q205" s="88"/>
      <c r="R205" s="5"/>
    </row>
    <row r="206" spans="1:18" ht="15.6" x14ac:dyDescent="0.3">
      <c r="A206" s="87"/>
      <c r="B206" s="76" t="s">
        <v>276</v>
      </c>
      <c r="C206" s="76"/>
      <c r="D206" s="76"/>
      <c r="E206" s="25"/>
      <c r="F206" s="25"/>
      <c r="G206" s="25"/>
      <c r="H206" s="25"/>
      <c r="I206" s="25"/>
      <c r="J206" s="25"/>
      <c r="K206" s="25"/>
      <c r="L206" s="25"/>
      <c r="M206" s="25">
        <v>0</v>
      </c>
      <c r="N206" s="85">
        <v>0</v>
      </c>
      <c r="O206" s="25"/>
      <c r="P206" s="79"/>
      <c r="Q206" s="88"/>
      <c r="R206" s="5"/>
    </row>
    <row r="207" spans="1:18" ht="15.6" x14ac:dyDescent="0.3">
      <c r="A207" s="84"/>
      <c r="B207" s="76" t="s">
        <v>95</v>
      </c>
      <c r="C207" s="89"/>
      <c r="D207" s="90"/>
      <c r="E207" s="25"/>
      <c r="F207" s="25"/>
      <c r="G207" s="25"/>
      <c r="H207" s="25"/>
      <c r="I207" s="25"/>
      <c r="J207" s="25"/>
      <c r="K207" s="25"/>
      <c r="L207" s="25"/>
      <c r="M207" s="25"/>
      <c r="N207" s="62">
        <v>0</v>
      </c>
      <c r="O207" s="25"/>
      <c r="P207" s="79"/>
      <c r="Q207" s="88"/>
      <c r="R207" s="5"/>
    </row>
    <row r="208" spans="1:18" ht="15.6" x14ac:dyDescent="0.3">
      <c r="A208" s="84"/>
      <c r="B208" s="76" t="s">
        <v>96</v>
      </c>
      <c r="C208" s="89"/>
      <c r="D208" s="90"/>
      <c r="E208" s="25"/>
      <c r="F208" s="25"/>
      <c r="G208" s="25"/>
      <c r="H208" s="25"/>
      <c r="I208" s="25"/>
      <c r="J208" s="25"/>
      <c r="K208" s="25"/>
      <c r="L208" s="25"/>
      <c r="M208" s="25"/>
      <c r="N208" s="62">
        <v>0</v>
      </c>
      <c r="O208" s="25"/>
      <c r="P208" s="79"/>
      <c r="Q208" s="88"/>
      <c r="R208" s="5"/>
    </row>
    <row r="209" spans="1:18" ht="15.6" x14ac:dyDescent="0.3">
      <c r="A209" s="84"/>
      <c r="B209" s="76"/>
      <c r="C209" s="89"/>
      <c r="D209" s="90"/>
      <c r="E209" s="25"/>
      <c r="F209" s="25"/>
      <c r="G209" s="25"/>
      <c r="H209" s="25"/>
      <c r="I209" s="25"/>
      <c r="J209" s="25"/>
      <c r="K209" s="25"/>
      <c r="L209" s="25"/>
      <c r="M209" s="25"/>
      <c r="N209" s="91"/>
      <c r="O209" s="25"/>
      <c r="P209" s="79"/>
      <c r="Q209" s="88"/>
      <c r="R209" s="5"/>
    </row>
    <row r="210" spans="1:18" ht="15.6" x14ac:dyDescent="0.3">
      <c r="A210" s="6"/>
      <c r="B210" s="14" t="s">
        <v>97</v>
      </c>
      <c r="C210" s="81"/>
      <c r="D210" s="82"/>
      <c r="E210" s="81"/>
      <c r="F210" s="17"/>
      <c r="G210" s="17"/>
      <c r="H210" s="17"/>
      <c r="I210" s="17"/>
      <c r="J210" s="17"/>
      <c r="K210" s="17"/>
      <c r="L210" s="83" t="s">
        <v>113</v>
      </c>
      <c r="M210" s="17" t="s">
        <v>114</v>
      </c>
      <c r="N210" s="83" t="s">
        <v>123</v>
      </c>
      <c r="O210" s="17" t="s">
        <v>114</v>
      </c>
      <c r="P210" s="8"/>
      <c r="Q210" s="92"/>
      <c r="R210" s="5"/>
    </row>
    <row r="211" spans="1:18" ht="15.6" x14ac:dyDescent="0.3">
      <c r="A211" s="24"/>
      <c r="B211" s="54" t="s">
        <v>98</v>
      </c>
      <c r="C211" s="93"/>
      <c r="D211" s="25"/>
      <c r="E211" s="93"/>
      <c r="F211" s="93"/>
      <c r="G211" s="93"/>
      <c r="H211" s="93"/>
      <c r="I211" s="93"/>
      <c r="J211" s="93"/>
      <c r="K211" s="93"/>
      <c r="L211" s="54">
        <v>9044</v>
      </c>
      <c r="M211" s="94">
        <f>L211/$L$216</f>
        <v>0.98443452704909107</v>
      </c>
      <c r="N211" s="53">
        <v>829109</v>
      </c>
      <c r="O211" s="136">
        <f>N211/$N$216</f>
        <v>0.98371098597832562</v>
      </c>
      <c r="P211" s="79"/>
      <c r="Q211" s="88"/>
      <c r="R211" s="5"/>
    </row>
    <row r="212" spans="1:18" ht="15.6" x14ac:dyDescent="0.3">
      <c r="A212" s="24"/>
      <c r="B212" s="54" t="s">
        <v>99</v>
      </c>
      <c r="C212" s="93"/>
      <c r="D212" s="25"/>
      <c r="E212" s="94"/>
      <c r="F212" s="93"/>
      <c r="G212" s="93"/>
      <c r="H212" s="93"/>
      <c r="I212" s="93"/>
      <c r="J212" s="93"/>
      <c r="K212" s="93"/>
      <c r="L212" s="54">
        <v>71</v>
      </c>
      <c r="M212" s="94">
        <f>L212/$L$216</f>
        <v>7.7283117448568627E-3</v>
      </c>
      <c r="N212" s="53">
        <v>7568</v>
      </c>
      <c r="O212" s="136">
        <f>N212/$N$216</f>
        <v>8.9791869849247426E-3</v>
      </c>
      <c r="P212" s="79"/>
      <c r="Q212" s="88"/>
      <c r="R212" s="5"/>
    </row>
    <row r="213" spans="1:18" ht="15.6" x14ac:dyDescent="0.3">
      <c r="A213" s="24"/>
      <c r="B213" s="54" t="s">
        <v>100</v>
      </c>
      <c r="C213" s="93"/>
      <c r="D213" s="25"/>
      <c r="E213" s="94"/>
      <c r="F213" s="93"/>
      <c r="G213" s="93"/>
      <c r="H213" s="93"/>
      <c r="I213" s="93"/>
      <c r="J213" s="93"/>
      <c r="K213" s="93"/>
      <c r="L213" s="54">
        <v>26</v>
      </c>
      <c r="M213" s="94">
        <f>L213/$L$216</f>
        <v>2.8300859910743441E-3</v>
      </c>
      <c r="N213" s="53">
        <v>1899</v>
      </c>
      <c r="O213" s="136">
        <f>N213/$N$216</f>
        <v>2.2531020196051911E-3</v>
      </c>
      <c r="P213" s="79"/>
      <c r="Q213" s="88"/>
      <c r="R213" s="5"/>
    </row>
    <row r="214" spans="1:18" ht="15.6" x14ac:dyDescent="0.3">
      <c r="A214" s="24"/>
      <c r="B214" s="54" t="s">
        <v>101</v>
      </c>
      <c r="C214" s="93"/>
      <c r="D214" s="25"/>
      <c r="E214" s="94"/>
      <c r="F214" s="93"/>
      <c r="G214" s="93"/>
      <c r="H214" s="93"/>
      <c r="I214" s="93"/>
      <c r="J214" s="93"/>
      <c r="K214" s="93"/>
      <c r="L214" s="54">
        <v>46</v>
      </c>
      <c r="M214" s="94">
        <f>L214/$L$216</f>
        <v>5.0070752149776855E-3</v>
      </c>
      <c r="N214" s="53">
        <v>4262</v>
      </c>
      <c r="O214" s="136">
        <f>N214/$N$216</f>
        <v>5.0567250171444575E-3</v>
      </c>
      <c r="P214" s="79"/>
      <c r="Q214" s="88"/>
      <c r="R214" s="5"/>
    </row>
    <row r="215" spans="1:18" ht="15.6" x14ac:dyDescent="0.3">
      <c r="A215" s="24"/>
      <c r="B215" s="141"/>
      <c r="C215" s="93"/>
      <c r="D215" s="25"/>
      <c r="E215" s="94"/>
      <c r="F215" s="93"/>
      <c r="G215" s="93"/>
      <c r="H215" s="93"/>
      <c r="I215" s="93"/>
      <c r="J215" s="93"/>
      <c r="K215" s="93"/>
      <c r="L215" s="54"/>
      <c r="M215" s="94"/>
      <c r="N215" s="53"/>
      <c r="O215" s="136"/>
      <c r="P215" s="79"/>
      <c r="Q215" s="88"/>
      <c r="R215" s="5"/>
    </row>
    <row r="216" spans="1:18" ht="15.6" x14ac:dyDescent="0.3">
      <c r="A216" s="24"/>
      <c r="B216" s="25"/>
      <c r="C216" s="25"/>
      <c r="D216" s="25"/>
      <c r="E216" s="25"/>
      <c r="F216" s="95"/>
      <c r="G216" s="95"/>
      <c r="H216" s="95"/>
      <c r="I216" s="95"/>
      <c r="J216" s="95"/>
      <c r="K216" s="95"/>
      <c r="L216" s="34">
        <f>SUM(L211:L215)</f>
        <v>9187</v>
      </c>
      <c r="M216" s="136">
        <f>SUM(M211:M215)</f>
        <v>1</v>
      </c>
      <c r="N216" s="53">
        <f>SUM(N211:N215)</f>
        <v>842838</v>
      </c>
      <c r="O216" s="136">
        <f>SUM(O211:O215)</f>
        <v>1</v>
      </c>
      <c r="P216" s="25"/>
      <c r="Q216" s="25"/>
      <c r="R216" s="5"/>
    </row>
    <row r="217" spans="1:18" ht="15.6" x14ac:dyDescent="0.3">
      <c r="A217" s="24"/>
      <c r="B217" s="25"/>
      <c r="C217" s="25"/>
      <c r="D217" s="25"/>
      <c r="E217" s="25"/>
      <c r="F217" s="95"/>
      <c r="G217" s="95"/>
      <c r="H217" s="95"/>
      <c r="I217" s="95"/>
      <c r="J217" s="95"/>
      <c r="K217" s="95"/>
      <c r="L217" s="95"/>
      <c r="M217" s="95"/>
      <c r="N217" s="53"/>
      <c r="O217" s="95"/>
      <c r="P217" s="25"/>
      <c r="Q217" s="25"/>
      <c r="R217" s="5"/>
    </row>
    <row r="218" spans="1:18" ht="15.6" x14ac:dyDescent="0.3">
      <c r="A218" s="6"/>
      <c r="B218" s="8"/>
      <c r="C218" s="8"/>
      <c r="D218" s="8"/>
      <c r="E218" s="8"/>
      <c r="F218" s="96"/>
      <c r="G218" s="96"/>
      <c r="H218" s="96"/>
      <c r="I218" s="96"/>
      <c r="J218" s="96"/>
      <c r="K218" s="96"/>
      <c r="L218" s="96"/>
      <c r="M218" s="96"/>
      <c r="N218" s="97"/>
      <c r="O218" s="96"/>
      <c r="P218" s="8"/>
      <c r="Q218" s="8"/>
      <c r="R218" s="5"/>
    </row>
    <row r="219" spans="1:18" ht="15.6" x14ac:dyDescent="0.3">
      <c r="A219" s="145"/>
      <c r="B219" s="14" t="s">
        <v>102</v>
      </c>
      <c r="C219" s="15"/>
      <c r="D219" s="17" t="s">
        <v>108</v>
      </c>
      <c r="E219" s="15"/>
      <c r="F219" s="14" t="s">
        <v>110</v>
      </c>
      <c r="G219" s="140"/>
      <c r="H219" s="140"/>
      <c r="I219" s="140"/>
      <c r="J219" s="140"/>
      <c r="K219" s="140"/>
      <c r="L219" s="140"/>
      <c r="M219" s="140"/>
      <c r="N219" s="140"/>
      <c r="O219" s="140"/>
      <c r="P219" s="140"/>
      <c r="Q219" s="140"/>
      <c r="R219" s="5"/>
    </row>
    <row r="220" spans="1:18" ht="15.6" x14ac:dyDescent="0.3">
      <c r="A220" s="145"/>
      <c r="B220" s="140"/>
      <c r="C220" s="8"/>
      <c r="D220" s="8"/>
      <c r="E220" s="8"/>
      <c r="F220" s="8"/>
      <c r="G220" s="140"/>
      <c r="H220" s="140"/>
      <c r="I220" s="140"/>
      <c r="J220" s="140"/>
      <c r="K220" s="140"/>
      <c r="L220" s="140"/>
      <c r="M220" s="140"/>
      <c r="N220" s="140"/>
      <c r="O220" s="140"/>
      <c r="P220" s="140"/>
      <c r="Q220" s="140"/>
      <c r="R220" s="5"/>
    </row>
    <row r="221" spans="1:18" ht="15.6" x14ac:dyDescent="0.3">
      <c r="A221" s="145"/>
      <c r="B221" s="13" t="s">
        <v>103</v>
      </c>
      <c r="C221" s="13"/>
      <c r="D221" s="134" t="s">
        <v>212</v>
      </c>
      <c r="E221" s="13"/>
      <c r="F221" s="13" t="s">
        <v>222</v>
      </c>
      <c r="G221" s="140"/>
      <c r="H221" s="140"/>
      <c r="I221" s="140"/>
      <c r="J221" s="140"/>
      <c r="K221" s="140"/>
      <c r="L221" s="140"/>
      <c r="M221" s="140"/>
      <c r="N221" s="140"/>
      <c r="O221" s="140"/>
      <c r="P221" s="140"/>
      <c r="Q221" s="140"/>
      <c r="R221" s="5"/>
    </row>
    <row r="222" spans="1:18" ht="15.6" x14ac:dyDescent="0.3">
      <c r="A222" s="145"/>
      <c r="B222" s="13" t="s">
        <v>104</v>
      </c>
      <c r="C222" s="13"/>
      <c r="D222" s="134" t="s">
        <v>211</v>
      </c>
      <c r="E222" s="13"/>
      <c r="F222" s="13" t="s">
        <v>223</v>
      </c>
      <c r="G222" s="140"/>
      <c r="H222" s="140"/>
      <c r="I222" s="140"/>
      <c r="J222" s="140"/>
      <c r="K222" s="140"/>
      <c r="L222" s="140"/>
      <c r="M222" s="140"/>
      <c r="N222" s="140"/>
      <c r="O222" s="140"/>
      <c r="P222" s="140"/>
      <c r="Q222" s="140"/>
      <c r="R222" s="5"/>
    </row>
    <row r="223" spans="1:18" ht="15.6" x14ac:dyDescent="0.3">
      <c r="A223" s="145"/>
      <c r="B223" s="13"/>
      <c r="C223" s="13"/>
      <c r="D223" s="13"/>
      <c r="E223" s="99"/>
      <c r="F223" s="140"/>
      <c r="G223" s="140"/>
      <c r="H223" s="140"/>
      <c r="I223" s="140"/>
      <c r="J223" s="140"/>
      <c r="K223" s="140"/>
      <c r="L223" s="140"/>
      <c r="M223" s="140"/>
      <c r="N223" s="140"/>
      <c r="O223" s="140"/>
      <c r="P223" s="140"/>
      <c r="Q223" s="140"/>
      <c r="R223" s="5"/>
    </row>
    <row r="224" spans="1:18" ht="15.6" x14ac:dyDescent="0.3">
      <c r="A224" s="145"/>
      <c r="B224" s="13"/>
      <c r="C224" s="13"/>
      <c r="D224" s="13"/>
      <c r="E224" s="99"/>
      <c r="F224" s="140"/>
      <c r="G224" s="140"/>
      <c r="H224" s="140"/>
      <c r="I224" s="140"/>
      <c r="J224" s="140"/>
      <c r="K224" s="140"/>
      <c r="L224" s="140"/>
      <c r="M224" s="140"/>
      <c r="N224" s="140"/>
      <c r="O224" s="140"/>
      <c r="P224" s="140"/>
      <c r="Q224" s="140"/>
      <c r="R224" s="5"/>
    </row>
    <row r="225" spans="1:18" ht="18" thickBot="1" x14ac:dyDescent="0.35">
      <c r="A225" s="145"/>
      <c r="B225" s="49" t="str">
        <f>B176</f>
        <v>PM7 INVESTOR REPORT QUARTER ENDING JANUARY 2005</v>
      </c>
      <c r="C225" s="13"/>
      <c r="D225" s="13"/>
      <c r="E225" s="99"/>
      <c r="F225" s="140"/>
      <c r="G225" s="140"/>
      <c r="H225" s="140"/>
      <c r="I225" s="140"/>
      <c r="J225" s="140"/>
      <c r="K225" s="140"/>
      <c r="L225" s="140"/>
      <c r="M225" s="140"/>
      <c r="N225" s="140"/>
      <c r="O225" s="140"/>
      <c r="P225" s="140"/>
      <c r="Q225" s="140"/>
      <c r="R225" s="5"/>
    </row>
    <row r="226" spans="1:18" x14ac:dyDescent="0.25">
      <c r="A226" s="100"/>
      <c r="B226" s="100"/>
      <c r="C226" s="100"/>
      <c r="D226" s="100"/>
      <c r="E226" s="100"/>
      <c r="F226" s="100"/>
      <c r="G226" s="100"/>
      <c r="H226" s="100"/>
      <c r="I226" s="100"/>
      <c r="J226" s="100"/>
      <c r="K226" s="100"/>
      <c r="L226" s="100"/>
      <c r="M226" s="100"/>
      <c r="N226" s="100"/>
      <c r="O226" s="100"/>
      <c r="P226" s="100"/>
      <c r="Q226" s="100"/>
    </row>
  </sheetData>
  <phoneticPr fontId="0" type="noConversion"/>
  <printOptions horizontalCentered="1" verticalCentered="1"/>
  <pageMargins left="0.19685039370078741" right="0.19685039370078741" top="0.27559055118110237" bottom="0.27559055118110237" header="0" footer="0"/>
  <pageSetup scale="40" orientation="landscape" r:id="rId1"/>
  <headerFooter alignWithMargins="0"/>
  <rowBreaks count="3" manualBreakCount="3">
    <brk id="64" max="14" man="1"/>
    <brk id="126" max="14" man="1"/>
    <brk id="176"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S267"/>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0.95660000000000001</v>
      </c>
      <c r="N17" s="17" t="s">
        <v>173</v>
      </c>
      <c r="O17" s="138">
        <v>4.3400000000000001E-2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40049</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9"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9" ht="15.6" x14ac:dyDescent="0.3">
      <c r="A34" s="24"/>
      <c r="B34" s="25" t="s">
        <v>156</v>
      </c>
      <c r="C34" s="32"/>
      <c r="D34" s="130">
        <f>+D33*D40</f>
        <v>186355.845</v>
      </c>
      <c r="E34" s="31"/>
      <c r="F34" s="131">
        <f>+F33*F40</f>
        <v>91080.748000000007</v>
      </c>
      <c r="G34" s="31"/>
      <c r="H34" s="124">
        <f>+H33*H40</f>
        <v>207075.4</v>
      </c>
      <c r="I34" s="31"/>
      <c r="J34" s="130">
        <v>82500</v>
      </c>
      <c r="K34" s="31"/>
      <c r="L34" s="124">
        <v>65000</v>
      </c>
      <c r="M34" s="31"/>
      <c r="N34" s="31"/>
      <c r="O34" s="142"/>
      <c r="P34" s="31"/>
      <c r="Q34" s="34"/>
      <c r="R34" s="5"/>
    </row>
    <row r="35" spans="1:19" ht="15.6" x14ac:dyDescent="0.3">
      <c r="A35" s="28"/>
      <c r="B35" s="29" t="s">
        <v>158</v>
      </c>
      <c r="C35" s="36"/>
      <c r="D35" s="129">
        <f>+D33*D39</f>
        <v>186355.845</v>
      </c>
      <c r="E35" s="35"/>
      <c r="F35" s="132">
        <f>+F33*F39</f>
        <v>91080.748000000007</v>
      </c>
      <c r="G35" s="35"/>
      <c r="H35" s="125">
        <f>+H33*H39</f>
        <v>207075.4</v>
      </c>
      <c r="I35" s="35"/>
      <c r="J35" s="129">
        <f>J33*J39</f>
        <v>79050.980250000008</v>
      </c>
      <c r="K35" s="35"/>
      <c r="L35" s="125">
        <f>L33*L39</f>
        <v>62282.583999999995</v>
      </c>
      <c r="M35" s="35"/>
      <c r="N35" s="35"/>
      <c r="O35" s="37"/>
      <c r="P35" s="35"/>
      <c r="Q35" s="34"/>
      <c r="R35" s="5"/>
    </row>
    <row r="36" spans="1:19"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9" ht="15.6" x14ac:dyDescent="0.3">
      <c r="A37" s="24"/>
      <c r="B37" s="25" t="s">
        <v>280</v>
      </c>
      <c r="C37" s="32"/>
      <c r="D37" s="31">
        <f>+D34/1.779</f>
        <v>104753.14502529512</v>
      </c>
      <c r="E37" s="31"/>
      <c r="F37" s="31">
        <f>+F34</f>
        <v>91080.748000000007</v>
      </c>
      <c r="G37" s="31"/>
      <c r="H37" s="31">
        <f>+H34/1.481481</f>
        <v>139775.94042718064</v>
      </c>
      <c r="I37" s="31"/>
      <c r="J37" s="31">
        <v>46374</v>
      </c>
      <c r="K37" s="31"/>
      <c r="L37" s="31">
        <v>43875</v>
      </c>
      <c r="M37" s="31"/>
      <c r="N37" s="31"/>
      <c r="O37" s="142"/>
      <c r="P37" s="31">
        <f>SUM(C37:L37)</f>
        <v>425858.83345247572</v>
      </c>
      <c r="Q37" s="34"/>
      <c r="R37" s="5"/>
      <c r="S37" s="154"/>
    </row>
    <row r="38" spans="1:19" ht="15.6" x14ac:dyDescent="0.3">
      <c r="A38" s="28"/>
      <c r="B38" s="29" t="s">
        <v>281</v>
      </c>
      <c r="C38" s="36"/>
      <c r="D38" s="35">
        <f>D35/1.779</f>
        <v>104753.14502529512</v>
      </c>
      <c r="E38" s="35"/>
      <c r="F38" s="35">
        <f>+F35</f>
        <v>91080.748000000007</v>
      </c>
      <c r="G38" s="35"/>
      <c r="H38" s="35">
        <f>H35/1.481481</f>
        <v>139775.94042718064</v>
      </c>
      <c r="I38" s="35"/>
      <c r="J38" s="35">
        <f>J36*J39</f>
        <v>44435.274643800003</v>
      </c>
      <c r="K38" s="35"/>
      <c r="L38" s="35">
        <f>L36*L39</f>
        <v>42040.744200000001</v>
      </c>
      <c r="M38" s="35"/>
      <c r="N38" s="35"/>
      <c r="O38" s="37"/>
      <c r="P38" s="35">
        <f>SUM(D38:L38)</f>
        <v>422085.85229627573</v>
      </c>
      <c r="Q38" s="34"/>
      <c r="R38" s="5"/>
      <c r="S38" s="176"/>
    </row>
    <row r="39" spans="1:19" ht="15.6" x14ac:dyDescent="0.3">
      <c r="A39" s="28"/>
      <c r="B39" s="122" t="s">
        <v>154</v>
      </c>
      <c r="C39" s="126"/>
      <c r="D39" s="174">
        <v>0.41412409999999999</v>
      </c>
      <c r="E39" s="174"/>
      <c r="F39" s="174">
        <v>0.41400340000000002</v>
      </c>
      <c r="G39" s="174"/>
      <c r="H39" s="174">
        <v>0.41415079999999999</v>
      </c>
      <c r="I39" s="174"/>
      <c r="J39" s="174">
        <v>0.95819370000000004</v>
      </c>
      <c r="K39" s="174"/>
      <c r="L39" s="174">
        <v>0.95819359999999998</v>
      </c>
      <c r="M39" s="31"/>
      <c r="N39" s="31"/>
      <c r="O39" s="142"/>
      <c r="P39" s="31"/>
      <c r="Q39" s="34"/>
      <c r="R39" s="5"/>
    </row>
    <row r="40" spans="1:19" ht="15.6" x14ac:dyDescent="0.3">
      <c r="A40" s="28"/>
      <c r="B40" s="122" t="s">
        <v>155</v>
      </c>
      <c r="C40" s="126"/>
      <c r="D40" s="174">
        <v>0.41412409999999999</v>
      </c>
      <c r="E40" s="174"/>
      <c r="F40" s="174">
        <v>0.41400340000000002</v>
      </c>
      <c r="G40" s="174"/>
      <c r="H40" s="174">
        <v>0.41415079999999999</v>
      </c>
      <c r="I40" s="174"/>
      <c r="J40" s="174">
        <v>1</v>
      </c>
      <c r="K40" s="174"/>
      <c r="L40" s="174">
        <v>1</v>
      </c>
      <c r="M40" s="128"/>
      <c r="N40" s="128"/>
      <c r="O40" s="142"/>
      <c r="P40" s="31"/>
      <c r="Q40" s="34"/>
      <c r="R40" s="5"/>
    </row>
    <row r="41" spans="1:19"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9" ht="15.6" x14ac:dyDescent="0.3">
      <c r="A42" s="24"/>
      <c r="B42" s="25" t="s">
        <v>13</v>
      </c>
      <c r="C42" s="25"/>
      <c r="D42" s="38">
        <v>1.09313E-2</v>
      </c>
      <c r="E42" s="39"/>
      <c r="F42" s="38">
        <v>1.56688E-2</v>
      </c>
      <c r="G42" s="39"/>
      <c r="H42" s="38">
        <v>1.491E-2</v>
      </c>
      <c r="I42" s="39"/>
      <c r="J42" s="38">
        <v>1.63313E-2</v>
      </c>
      <c r="K42" s="39"/>
      <c r="L42" s="38">
        <v>2.0310000000000002E-2</v>
      </c>
      <c r="M42" s="39"/>
      <c r="N42" s="38"/>
      <c r="O42" s="141"/>
      <c r="P42" s="39"/>
      <c r="Q42" s="25"/>
      <c r="R42" s="5"/>
    </row>
    <row r="43" spans="1:19" ht="15.6" x14ac:dyDescent="0.3">
      <c r="A43" s="24"/>
      <c r="B43" s="25" t="s">
        <v>14</v>
      </c>
      <c r="C43" s="25"/>
      <c r="D43" s="38">
        <v>1.4475E-2</v>
      </c>
      <c r="E43" s="39"/>
      <c r="F43" s="38">
        <v>2.2724999999999999E-2</v>
      </c>
      <c r="G43" s="39"/>
      <c r="H43" s="38">
        <v>2.1530000000000001E-2</v>
      </c>
      <c r="I43" s="39"/>
      <c r="J43" s="38">
        <v>1.9875E-2</v>
      </c>
      <c r="K43" s="39"/>
      <c r="L43" s="38">
        <v>2.6929999999999999E-2</v>
      </c>
      <c r="M43" s="39"/>
      <c r="N43" s="38"/>
      <c r="O43" s="141"/>
      <c r="P43" s="141"/>
      <c r="Q43" s="25"/>
      <c r="R43" s="5"/>
    </row>
    <row r="44" spans="1:19"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9" ht="15.6" x14ac:dyDescent="0.3">
      <c r="A45" s="24"/>
      <c r="B45" s="25" t="s">
        <v>285</v>
      </c>
      <c r="C45" s="25"/>
      <c r="D45" s="38">
        <v>1.6613800000000001E-2</v>
      </c>
      <c r="E45" s="39"/>
      <c r="F45" s="38">
        <f>+F42</f>
        <v>1.56688E-2</v>
      </c>
      <c r="G45" s="39"/>
      <c r="H45" s="38">
        <v>1.6493799999999999E-2</v>
      </c>
      <c r="I45" s="39"/>
      <c r="J45" s="38">
        <v>2.2743800000000002E-2</v>
      </c>
      <c r="K45" s="39"/>
      <c r="L45" s="38">
        <v>2.2743800000000002E-2</v>
      </c>
      <c r="M45" s="39"/>
      <c r="N45" s="38"/>
      <c r="O45" s="141"/>
      <c r="P45" s="39">
        <f>SUMPRODUCT(D45:L45,D37:L37)/P37</f>
        <v>1.7671385084328185E-2</v>
      </c>
      <c r="Q45" s="25"/>
      <c r="R45" s="5"/>
    </row>
    <row r="46" spans="1:19" ht="15.6" x14ac:dyDescent="0.3">
      <c r="A46" s="24"/>
      <c r="B46" s="25" t="s">
        <v>283</v>
      </c>
      <c r="C46" s="25"/>
      <c r="D46" s="38">
        <v>2.367E-2</v>
      </c>
      <c r="E46" s="39"/>
      <c r="F46" s="38">
        <f>+F43</f>
        <v>2.2724999999999999E-2</v>
      </c>
      <c r="G46" s="39"/>
      <c r="H46" s="38">
        <v>2.3550000000000001E-2</v>
      </c>
      <c r="I46" s="39"/>
      <c r="J46" s="38">
        <v>2.98E-2</v>
      </c>
      <c r="K46" s="39"/>
      <c r="L46" s="38">
        <v>2.98E-2</v>
      </c>
      <c r="M46" s="39"/>
      <c r="N46" s="38"/>
      <c r="O46" s="141"/>
      <c r="P46" s="141"/>
      <c r="Q46" s="25"/>
      <c r="R46" s="5"/>
    </row>
    <row r="47" spans="1:19"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9"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0.25766831071129953</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40042</v>
      </c>
      <c r="Q57" s="25"/>
      <c r="R57" s="5"/>
    </row>
    <row r="58" spans="1:18" ht="15.6" x14ac:dyDescent="0.3">
      <c r="A58" s="24"/>
      <c r="B58" s="25" t="s">
        <v>142</v>
      </c>
      <c r="C58" s="25"/>
      <c r="D58" s="25"/>
      <c r="E58" s="25"/>
      <c r="F58" s="58"/>
      <c r="G58" s="58"/>
      <c r="H58" s="58"/>
      <c r="I58" s="58"/>
      <c r="J58" s="58"/>
      <c r="K58" s="58"/>
      <c r="L58" s="25">
        <f>+P58-N58+1</f>
        <v>87</v>
      </c>
      <c r="M58" s="58"/>
      <c r="N58" s="45">
        <v>39861</v>
      </c>
      <c r="O58" s="46"/>
      <c r="P58" s="45">
        <v>39947</v>
      </c>
      <c r="Q58" s="25"/>
      <c r="R58" s="5"/>
    </row>
    <row r="59" spans="1:18" ht="15.6" x14ac:dyDescent="0.3">
      <c r="A59" s="24"/>
      <c r="B59" s="25" t="s">
        <v>143</v>
      </c>
      <c r="C59" s="25"/>
      <c r="D59" s="25"/>
      <c r="E59" s="25"/>
      <c r="F59" s="25"/>
      <c r="G59" s="25"/>
      <c r="H59" s="25"/>
      <c r="I59" s="25"/>
      <c r="J59" s="25"/>
      <c r="K59" s="25"/>
      <c r="L59" s="25">
        <f>+P59-N59+1</f>
        <v>94</v>
      </c>
      <c r="M59" s="25"/>
      <c r="N59" s="45">
        <v>39948</v>
      </c>
      <c r="O59" s="46"/>
      <c r="P59" s="45">
        <v>40041</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40028</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277</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425859</v>
      </c>
      <c r="I70" s="34"/>
      <c r="J70" s="34">
        <f>3773+683+15</f>
        <v>4471</v>
      </c>
      <c r="K70" s="34"/>
      <c r="L70" s="34">
        <f>683+15</f>
        <v>698</v>
      </c>
      <c r="M70" s="34"/>
      <c r="N70" s="34">
        <v>0</v>
      </c>
      <c r="O70" s="34"/>
      <c r="P70" s="53">
        <f>+H70-J70+L70-N70</f>
        <v>422086</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425859</v>
      </c>
      <c r="I73" s="34"/>
      <c r="J73" s="34">
        <f>SUM(J70:J72)</f>
        <v>4471</v>
      </c>
      <c r="K73" s="34"/>
      <c r="L73" s="34">
        <f>SUM(L70:L72)</f>
        <v>698</v>
      </c>
      <c r="M73" s="34"/>
      <c r="N73" s="34">
        <f>SUM(N70:N72)</f>
        <v>0</v>
      </c>
      <c r="O73" s="34"/>
      <c r="P73" s="54">
        <f>SUM(P70:P72)</f>
        <v>422086</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273</v>
      </c>
      <c r="C86" s="34"/>
      <c r="D86" s="34"/>
      <c r="E86" s="34"/>
      <c r="F86" s="34">
        <v>0</v>
      </c>
      <c r="G86" s="34"/>
      <c r="H86" s="53">
        <v>0</v>
      </c>
      <c r="I86" s="34"/>
      <c r="J86" s="34">
        <v>0</v>
      </c>
      <c r="K86" s="34"/>
      <c r="L86" s="34">
        <v>0</v>
      </c>
      <c r="M86" s="34"/>
      <c r="N86" s="34"/>
      <c r="O86" s="34"/>
      <c r="P86" s="54">
        <f>+N130</f>
        <v>0</v>
      </c>
      <c r="Q86" s="25"/>
      <c r="R86" s="5"/>
    </row>
    <row r="87" spans="1:18" ht="15.6" x14ac:dyDescent="0.3">
      <c r="A87" s="24"/>
      <c r="B87" s="25" t="s">
        <v>30</v>
      </c>
      <c r="C87" s="34"/>
      <c r="D87" s="54"/>
      <c r="E87" s="34"/>
      <c r="F87" s="54">
        <f>SUM(F73:F86)</f>
        <v>900700</v>
      </c>
      <c r="G87" s="54"/>
      <c r="H87" s="54">
        <f>SUM(H73:H86)</f>
        <v>425859</v>
      </c>
      <c r="I87" s="34"/>
      <c r="J87" s="54">
        <f>SUM(J73:J86)</f>
        <v>4471</v>
      </c>
      <c r="K87" s="34"/>
      <c r="L87" s="54">
        <f>SUM(L73:L86)</f>
        <v>698</v>
      </c>
      <c r="M87" s="34"/>
      <c r="N87" s="54"/>
      <c r="O87" s="34"/>
      <c r="P87" s="54">
        <f>SUM(P73:P86)</f>
        <v>422086</v>
      </c>
      <c r="Q87" s="25"/>
      <c r="R87" s="5"/>
    </row>
    <row r="88" spans="1:18" ht="15.6" x14ac:dyDescent="0.3">
      <c r="A88" s="24"/>
      <c r="B88" s="25"/>
      <c r="C88" s="34"/>
      <c r="D88" s="34"/>
      <c r="E88" s="34"/>
      <c r="F88" s="34"/>
      <c r="G88" s="34"/>
      <c r="H88" s="34"/>
      <c r="I88" s="34"/>
      <c r="J88" s="34"/>
      <c r="K88" s="34"/>
      <c r="L88" s="34"/>
      <c r="M88" s="34"/>
      <c r="N88" s="34"/>
      <c r="O88" s="34"/>
      <c r="P88" s="54"/>
      <c r="Q88" s="25"/>
      <c r="R88" s="5"/>
    </row>
    <row r="89" spans="1:18" ht="15.6" x14ac:dyDescent="0.3">
      <c r="A89" s="6"/>
      <c r="B89" s="8"/>
      <c r="C89" s="8"/>
      <c r="D89" s="8"/>
      <c r="E89" s="8"/>
      <c r="F89" s="8"/>
      <c r="G89" s="8"/>
      <c r="H89" s="8"/>
      <c r="I89" s="8"/>
      <c r="J89" s="8"/>
      <c r="K89" s="8"/>
      <c r="L89" s="8"/>
      <c r="M89" s="8"/>
      <c r="N89" s="8"/>
      <c r="O89" s="8"/>
      <c r="P89" s="8"/>
      <c r="Q89" s="8"/>
      <c r="R89" s="5"/>
    </row>
    <row r="90" spans="1:18" ht="15.6" x14ac:dyDescent="0.3">
      <c r="A90" s="6"/>
      <c r="B90" s="51" t="s">
        <v>31</v>
      </c>
      <c r="C90" s="14"/>
      <c r="D90" s="14"/>
      <c r="E90" s="14"/>
      <c r="F90" s="170" t="s">
        <v>106</v>
      </c>
      <c r="G90" s="17"/>
      <c r="H90" s="171">
        <v>40025</v>
      </c>
      <c r="I90" s="17"/>
      <c r="J90" s="17"/>
      <c r="K90" s="17"/>
      <c r="L90" s="17"/>
      <c r="M90" s="17"/>
      <c r="N90" s="17" t="s">
        <v>119</v>
      </c>
      <c r="O90" s="17"/>
      <c r="P90" s="17" t="s">
        <v>128</v>
      </c>
      <c r="Q90" s="8"/>
      <c r="R90" s="5"/>
    </row>
    <row r="91" spans="1:18" ht="15.6" x14ac:dyDescent="0.3">
      <c r="A91" s="24"/>
      <c r="B91" s="25" t="s">
        <v>32</v>
      </c>
      <c r="C91" s="25"/>
      <c r="D91" s="25"/>
      <c r="E91" s="25"/>
      <c r="F91" s="25"/>
      <c r="G91" s="25"/>
      <c r="H91" s="25"/>
      <c r="I91" s="25"/>
      <c r="J91" s="25"/>
      <c r="K91" s="25"/>
      <c r="L91" s="25"/>
      <c r="M91" s="25"/>
      <c r="N91" s="34">
        <v>0</v>
      </c>
      <c r="O91" s="25"/>
      <c r="P91" s="53">
        <v>0</v>
      </c>
      <c r="Q91" s="25"/>
      <c r="R91" s="5"/>
    </row>
    <row r="92" spans="1:18" ht="15.6" x14ac:dyDescent="0.3">
      <c r="A92" s="24"/>
      <c r="B92" s="25" t="s">
        <v>33</v>
      </c>
      <c r="C92" s="25"/>
      <c r="D92" s="25"/>
      <c r="E92" s="25"/>
      <c r="F92" s="40" t="s">
        <v>253</v>
      </c>
      <c r="G92" s="57"/>
      <c r="H92" s="127" t="s">
        <v>253</v>
      </c>
      <c r="I92" s="25"/>
      <c r="J92" s="25"/>
      <c r="K92" s="25"/>
      <c r="L92" s="25"/>
      <c r="M92" s="25"/>
      <c r="N92" s="34">
        <f>4472-211</f>
        <v>4261</v>
      </c>
      <c r="O92" s="25"/>
      <c r="P92" s="53"/>
      <c r="Q92" s="25"/>
      <c r="R92" s="5"/>
    </row>
    <row r="93" spans="1:18" ht="15.6" x14ac:dyDescent="0.3">
      <c r="A93" s="24"/>
      <c r="B93" s="25" t="s">
        <v>248</v>
      </c>
      <c r="C93" s="25"/>
      <c r="D93" s="25"/>
      <c r="E93" s="25"/>
      <c r="F93" s="40"/>
      <c r="G93" s="57"/>
      <c r="H93" s="127"/>
      <c r="I93" s="25"/>
      <c r="J93" s="25"/>
      <c r="K93" s="25"/>
      <c r="L93" s="25"/>
      <c r="M93" s="25"/>
      <c r="N93" s="34"/>
      <c r="O93" s="25"/>
      <c r="P93" s="53">
        <f>4619+247-876-66+22+17</f>
        <v>3963</v>
      </c>
      <c r="Q93" s="25"/>
      <c r="R93" s="5"/>
    </row>
    <row r="94" spans="1:18" ht="15.6" x14ac:dyDescent="0.3">
      <c r="A94" s="24"/>
      <c r="B94" s="25" t="s">
        <v>249</v>
      </c>
      <c r="C94" s="25"/>
      <c r="D94" s="25"/>
      <c r="E94" s="25"/>
      <c r="F94" s="40"/>
      <c r="G94" s="57"/>
      <c r="H94" s="127"/>
      <c r="I94" s="25"/>
      <c r="J94" s="25"/>
      <c r="K94" s="25"/>
      <c r="L94" s="25"/>
      <c r="M94" s="25"/>
      <c r="N94" s="34"/>
      <c r="O94" s="25"/>
      <c r="P94" s="53">
        <v>119</v>
      </c>
      <c r="Q94" s="25"/>
      <c r="R94" s="5"/>
    </row>
    <row r="95" spans="1:18" ht="15.6" x14ac:dyDescent="0.3">
      <c r="A95" s="24"/>
      <c r="B95" s="25" t="s">
        <v>250</v>
      </c>
      <c r="C95" s="25"/>
      <c r="D95" s="25"/>
      <c r="E95" s="25"/>
      <c r="F95" s="40"/>
      <c r="G95" s="57"/>
      <c r="H95" s="127"/>
      <c r="I95" s="25"/>
      <c r="J95" s="25"/>
      <c r="K95" s="25"/>
      <c r="L95" s="25"/>
      <c r="M95" s="25"/>
      <c r="N95" s="34"/>
      <c r="O95" s="25"/>
      <c r="P95" s="53">
        <v>104</v>
      </c>
      <c r="Q95" s="25"/>
      <c r="R95" s="5"/>
    </row>
    <row r="96" spans="1:18" ht="15.6" x14ac:dyDescent="0.3">
      <c r="A96" s="24"/>
      <c r="B96" s="25" t="s">
        <v>259</v>
      </c>
      <c r="C96" s="25"/>
      <c r="D96" s="25"/>
      <c r="E96" s="25"/>
      <c r="F96" s="40"/>
      <c r="G96" s="57"/>
      <c r="H96" s="127"/>
      <c r="I96" s="25"/>
      <c r="J96" s="25"/>
      <c r="K96" s="25"/>
      <c r="L96" s="25"/>
      <c r="M96" s="25"/>
      <c r="N96" s="34"/>
      <c r="O96" s="25"/>
      <c r="P96" s="53">
        <v>0</v>
      </c>
      <c r="Q96" s="25"/>
      <c r="R96" s="5"/>
    </row>
    <row r="97" spans="1:19" ht="15.6" x14ac:dyDescent="0.3">
      <c r="A97" s="24"/>
      <c r="B97" s="25" t="s">
        <v>160</v>
      </c>
      <c r="C97" s="25"/>
      <c r="D97" s="25"/>
      <c r="E97" s="25"/>
      <c r="F97" s="25"/>
      <c r="G97" s="25"/>
      <c r="H97" s="25"/>
      <c r="I97" s="25"/>
      <c r="J97" s="25"/>
      <c r="K97" s="25"/>
      <c r="L97" s="25"/>
      <c r="M97" s="25"/>
      <c r="N97" s="34"/>
      <c r="O97" s="25"/>
      <c r="P97" s="53">
        <v>0</v>
      </c>
      <c r="Q97" s="25"/>
      <c r="R97" s="5"/>
    </row>
    <row r="98" spans="1:19" ht="15.6" x14ac:dyDescent="0.3">
      <c r="A98" s="24"/>
      <c r="B98" s="25" t="s">
        <v>192</v>
      </c>
      <c r="C98" s="25"/>
      <c r="D98" s="25"/>
      <c r="E98" s="25"/>
      <c r="F98" s="25"/>
      <c r="G98" s="25"/>
      <c r="H98" s="25"/>
      <c r="I98" s="25"/>
      <c r="J98" s="25"/>
      <c r="K98" s="25"/>
      <c r="L98" s="25"/>
      <c r="M98" s="25"/>
      <c r="N98" s="34"/>
      <c r="O98" s="25"/>
      <c r="P98" s="53">
        <v>159</v>
      </c>
      <c r="Q98" s="25"/>
      <c r="R98" s="5"/>
    </row>
    <row r="99" spans="1:19" ht="15.6" x14ac:dyDescent="0.3">
      <c r="A99" s="24"/>
      <c r="B99" s="25" t="s">
        <v>35</v>
      </c>
      <c r="C99" s="25"/>
      <c r="D99" s="25"/>
      <c r="E99" s="25"/>
      <c r="F99" s="25"/>
      <c r="G99" s="25"/>
      <c r="H99" s="25"/>
      <c r="I99" s="25"/>
      <c r="J99" s="25"/>
      <c r="K99" s="25"/>
      <c r="L99" s="25"/>
      <c r="M99" s="25"/>
      <c r="N99" s="34">
        <f>SUM(N91:N98)</f>
        <v>4261</v>
      </c>
      <c r="O99" s="25"/>
      <c r="P99" s="54">
        <f>SUM(P91:P98)</f>
        <v>4345</v>
      </c>
      <c r="Q99" s="25"/>
      <c r="R99" s="5"/>
    </row>
    <row r="100" spans="1:19" ht="15.6" x14ac:dyDescent="0.3">
      <c r="A100" s="24"/>
      <c r="B100" s="25" t="s">
        <v>237</v>
      </c>
      <c r="C100" s="25"/>
      <c r="D100" s="25"/>
      <c r="E100" s="25"/>
      <c r="F100" s="25"/>
      <c r="G100" s="25"/>
      <c r="H100" s="25"/>
      <c r="I100" s="25"/>
      <c r="J100" s="25"/>
      <c r="K100" s="25"/>
      <c r="L100" s="25"/>
      <c r="M100" s="25"/>
      <c r="N100" s="34">
        <v>-1</v>
      </c>
      <c r="O100" s="25"/>
      <c r="P100" s="54">
        <f>-N100</f>
        <v>1</v>
      </c>
      <c r="Q100" s="25"/>
      <c r="R100" s="5"/>
    </row>
    <row r="101" spans="1:19" ht="15.6" x14ac:dyDescent="0.3">
      <c r="A101" s="24"/>
      <c r="B101" s="25" t="s">
        <v>36</v>
      </c>
      <c r="C101" s="25"/>
      <c r="D101" s="25"/>
      <c r="E101" s="25"/>
      <c r="F101" s="25"/>
      <c r="G101" s="25"/>
      <c r="H101" s="25"/>
      <c r="I101" s="25"/>
      <c r="J101" s="25"/>
      <c r="K101" s="25"/>
      <c r="L101" s="25"/>
      <c r="M101" s="25"/>
      <c r="N101" s="34">
        <f>-P101</f>
        <v>0</v>
      </c>
      <c r="O101" s="25"/>
      <c r="P101" s="53">
        <v>0</v>
      </c>
      <c r="Q101" s="25"/>
      <c r="R101" s="5"/>
    </row>
    <row r="102" spans="1:19" ht="15.6" x14ac:dyDescent="0.3">
      <c r="A102" s="24"/>
      <c r="B102" s="25" t="s">
        <v>268</v>
      </c>
      <c r="C102" s="25"/>
      <c r="D102" s="25"/>
      <c r="E102" s="25"/>
      <c r="F102" s="25"/>
      <c r="G102" s="25"/>
      <c r="H102" s="25"/>
      <c r="I102" s="25"/>
      <c r="J102" s="25"/>
      <c r="K102" s="25"/>
      <c r="L102" s="25"/>
      <c r="M102" s="25"/>
      <c r="N102" s="34"/>
      <c r="O102" s="25"/>
      <c r="P102" s="53">
        <v>207</v>
      </c>
      <c r="Q102" s="25"/>
      <c r="R102" s="5"/>
    </row>
    <row r="103" spans="1:19" ht="15.6" x14ac:dyDescent="0.3">
      <c r="A103" s="24"/>
      <c r="B103" s="25" t="s">
        <v>37</v>
      </c>
      <c r="C103" s="25"/>
      <c r="D103" s="25"/>
      <c r="E103" s="25"/>
      <c r="F103" s="25"/>
      <c r="G103" s="25"/>
      <c r="H103" s="25"/>
      <c r="I103" s="25"/>
      <c r="J103" s="25"/>
      <c r="K103" s="25"/>
      <c r="L103" s="25"/>
      <c r="M103" s="25"/>
      <c r="N103" s="34">
        <f>N99+N101+N100</f>
        <v>4260</v>
      </c>
      <c r="O103" s="25"/>
      <c r="P103" s="54">
        <f>P99+P101+P100+P102</f>
        <v>4553</v>
      </c>
      <c r="Q103" s="25"/>
      <c r="R103" s="5"/>
      <c r="S103" s="154"/>
    </row>
    <row r="104" spans="1:19" ht="15.6" x14ac:dyDescent="0.3">
      <c r="A104" s="24"/>
      <c r="B104" s="118" t="s">
        <v>38</v>
      </c>
      <c r="C104" s="25"/>
      <c r="D104" s="25"/>
      <c r="E104" s="25"/>
      <c r="F104" s="25"/>
      <c r="G104" s="25"/>
      <c r="H104" s="25"/>
      <c r="I104" s="25"/>
      <c r="J104" s="25"/>
      <c r="K104" s="25"/>
      <c r="L104" s="25"/>
      <c r="M104" s="25"/>
      <c r="N104" s="34"/>
      <c r="O104" s="25"/>
      <c r="P104" s="53"/>
      <c r="Q104" s="25"/>
      <c r="R104" s="5"/>
    </row>
    <row r="105" spans="1:19" ht="15.6" x14ac:dyDescent="0.3">
      <c r="A105" s="24">
        <v>1</v>
      </c>
      <c r="B105" s="25" t="s">
        <v>39</v>
      </c>
      <c r="C105" s="25"/>
      <c r="D105" s="25"/>
      <c r="E105" s="25"/>
      <c r="F105" s="25"/>
      <c r="G105" s="25"/>
      <c r="H105" s="25"/>
      <c r="I105" s="25"/>
      <c r="J105" s="25"/>
      <c r="K105" s="25"/>
      <c r="L105" s="25"/>
      <c r="M105" s="25"/>
      <c r="N105" s="25"/>
      <c r="O105" s="25"/>
      <c r="P105" s="53">
        <v>0</v>
      </c>
      <c r="Q105" s="25"/>
      <c r="R105" s="5"/>
    </row>
    <row r="106" spans="1:19" ht="15.6" x14ac:dyDescent="0.3">
      <c r="A106" s="24">
        <f>+A105+1</f>
        <v>2</v>
      </c>
      <c r="B106" s="25" t="s">
        <v>40</v>
      </c>
      <c r="C106" s="25"/>
      <c r="D106" s="25"/>
      <c r="E106" s="25"/>
      <c r="F106" s="25"/>
      <c r="G106" s="25"/>
      <c r="H106" s="25"/>
      <c r="I106" s="25"/>
      <c r="J106" s="25"/>
      <c r="K106" s="25"/>
      <c r="L106" s="25"/>
      <c r="M106" s="25"/>
      <c r="N106" s="25"/>
      <c r="O106" s="25"/>
      <c r="P106" s="53">
        <v>-2</v>
      </c>
      <c r="Q106" s="25"/>
      <c r="R106" s="5"/>
    </row>
    <row r="107" spans="1:19" ht="15.6" x14ac:dyDescent="0.3">
      <c r="A107" s="24">
        <f>+A106+1</f>
        <v>3</v>
      </c>
      <c r="B107" s="25" t="s">
        <v>226</v>
      </c>
      <c r="C107" s="25"/>
      <c r="D107" s="25"/>
      <c r="E107" s="25"/>
      <c r="F107" s="25"/>
      <c r="G107" s="25"/>
      <c r="H107" s="25"/>
      <c r="I107" s="25"/>
      <c r="J107" s="25"/>
      <c r="K107" s="25"/>
      <c r="L107" s="25"/>
      <c r="M107" s="25"/>
      <c r="N107" s="25"/>
      <c r="O107" s="25"/>
      <c r="P107" s="53">
        <f>-107-156-5</f>
        <v>-268</v>
      </c>
      <c r="Q107" s="25"/>
      <c r="R107" s="5"/>
    </row>
    <row r="108" spans="1:19" ht="15.6" x14ac:dyDescent="0.3">
      <c r="A108" s="24" t="s">
        <v>151</v>
      </c>
      <c r="B108" s="25" t="s">
        <v>131</v>
      </c>
      <c r="C108" s="25"/>
      <c r="D108" s="25"/>
      <c r="E108" s="25"/>
      <c r="F108" s="25"/>
      <c r="G108" s="25"/>
      <c r="H108" s="25"/>
      <c r="I108" s="25"/>
      <c r="J108" s="25"/>
      <c r="K108" s="25"/>
      <c r="L108" s="25"/>
      <c r="M108" s="25"/>
      <c r="N108" s="25"/>
      <c r="O108" s="25"/>
      <c r="P108" s="53">
        <f>-1129-82</f>
        <v>-1211</v>
      </c>
      <c r="Q108" s="25"/>
      <c r="R108" s="5"/>
    </row>
    <row r="109" spans="1:19" ht="15.6" x14ac:dyDescent="0.3">
      <c r="A109" s="24" t="s">
        <v>152</v>
      </c>
      <c r="B109" s="25" t="s">
        <v>195</v>
      </c>
      <c r="C109" s="25"/>
      <c r="D109" s="25"/>
      <c r="E109" s="25"/>
      <c r="F109" s="25"/>
      <c r="G109" s="25"/>
      <c r="H109" s="25"/>
      <c r="I109" s="25"/>
      <c r="J109" s="25"/>
      <c r="K109" s="25"/>
      <c r="L109" s="25"/>
      <c r="M109" s="25"/>
      <c r="N109" s="25"/>
      <c r="O109" s="25"/>
      <c r="P109" s="53">
        <v>-448</v>
      </c>
      <c r="Q109" s="25"/>
      <c r="R109" s="5"/>
      <c r="S109" s="109"/>
    </row>
    <row r="110" spans="1:19" ht="15.6" x14ac:dyDescent="0.3">
      <c r="A110" s="24" t="s">
        <v>217</v>
      </c>
      <c r="B110" s="25" t="s">
        <v>196</v>
      </c>
      <c r="C110" s="25"/>
      <c r="D110" s="25"/>
      <c r="E110" s="25"/>
      <c r="F110" s="25"/>
      <c r="G110" s="25"/>
      <c r="H110" s="25"/>
      <c r="I110" s="25"/>
      <c r="J110" s="25"/>
      <c r="K110" s="25"/>
      <c r="L110" s="25"/>
      <c r="M110" s="25"/>
      <c r="N110" s="25"/>
      <c r="O110" s="25"/>
      <c r="P110" s="53">
        <v>-368</v>
      </c>
      <c r="Q110" s="25"/>
      <c r="R110" s="5"/>
      <c r="S110" s="109"/>
    </row>
    <row r="111" spans="1:19" ht="15.6" x14ac:dyDescent="0.3">
      <c r="A111" s="24" t="s">
        <v>218</v>
      </c>
      <c r="B111" s="25" t="s">
        <v>197</v>
      </c>
      <c r="C111" s="25"/>
      <c r="D111" s="25"/>
      <c r="E111" s="25"/>
      <c r="F111" s="25"/>
      <c r="G111" s="25"/>
      <c r="H111" s="25"/>
      <c r="I111" s="25"/>
      <c r="J111" s="25"/>
      <c r="K111" s="25"/>
      <c r="L111" s="25"/>
      <c r="M111" s="25"/>
      <c r="N111" s="25"/>
      <c r="O111" s="25"/>
      <c r="P111" s="53">
        <v>-594</v>
      </c>
      <c r="Q111" s="25"/>
      <c r="R111" s="5"/>
      <c r="S111" s="109"/>
    </row>
    <row r="112" spans="1:19" ht="15.6" x14ac:dyDescent="0.3">
      <c r="A112" s="24" t="s">
        <v>147</v>
      </c>
      <c r="B112" s="25" t="s">
        <v>146</v>
      </c>
      <c r="C112" s="25"/>
      <c r="D112" s="25"/>
      <c r="E112" s="25"/>
      <c r="F112" s="25"/>
      <c r="G112" s="25"/>
      <c r="H112" s="25"/>
      <c r="I112" s="25"/>
      <c r="J112" s="25"/>
      <c r="K112" s="25"/>
      <c r="L112" s="25"/>
      <c r="M112" s="25"/>
      <c r="N112" s="25"/>
      <c r="O112" s="25"/>
      <c r="P112" s="53">
        <v>-272</v>
      </c>
      <c r="Q112" s="25"/>
      <c r="R112" s="5"/>
      <c r="S112" s="109"/>
    </row>
    <row r="113" spans="1:19" ht="15.6" x14ac:dyDescent="0.3">
      <c r="A113" s="24" t="s">
        <v>148</v>
      </c>
      <c r="B113" s="25" t="s">
        <v>198</v>
      </c>
      <c r="C113" s="25"/>
      <c r="D113" s="25"/>
      <c r="E113" s="25"/>
      <c r="F113" s="25"/>
      <c r="G113" s="25"/>
      <c r="H113" s="25"/>
      <c r="I113" s="25"/>
      <c r="J113" s="25"/>
      <c r="K113" s="25"/>
      <c r="L113" s="25"/>
      <c r="M113" s="25"/>
      <c r="N113" s="25"/>
      <c r="O113" s="25"/>
      <c r="P113" s="53">
        <v>-257</v>
      </c>
      <c r="Q113" s="25"/>
      <c r="R113" s="5"/>
      <c r="S113" s="109"/>
    </row>
    <row r="114" spans="1:19" ht="15.6" x14ac:dyDescent="0.3">
      <c r="A114" s="24">
        <v>6</v>
      </c>
      <c r="B114" s="25" t="s">
        <v>41</v>
      </c>
      <c r="C114" s="25"/>
      <c r="D114" s="25"/>
      <c r="E114" s="25"/>
      <c r="F114" s="25"/>
      <c r="G114" s="25"/>
      <c r="H114" s="25"/>
      <c r="I114" s="25"/>
      <c r="J114" s="25"/>
      <c r="K114" s="25"/>
      <c r="L114" s="25"/>
      <c r="M114" s="25"/>
      <c r="N114" s="25"/>
      <c r="O114" s="25"/>
      <c r="P114" s="53">
        <v>-10</v>
      </c>
      <c r="Q114" s="25"/>
      <c r="R114" s="5"/>
    </row>
    <row r="115" spans="1:19" ht="15.6" x14ac:dyDescent="0.3">
      <c r="A115" s="24">
        <f t="shared" ref="A115:A120" si="0">+A114+1</f>
        <v>7</v>
      </c>
      <c r="B115" s="25" t="s">
        <v>53</v>
      </c>
      <c r="C115" s="25"/>
      <c r="D115" s="25"/>
      <c r="E115" s="25"/>
      <c r="F115" s="25"/>
      <c r="G115" s="25"/>
      <c r="H115" s="25"/>
      <c r="I115" s="25"/>
      <c r="J115" s="25"/>
      <c r="K115" s="25"/>
      <c r="L115" s="25"/>
      <c r="M115" s="25"/>
      <c r="N115" s="34">
        <f>-P115</f>
        <v>211</v>
      </c>
      <c r="O115" s="25"/>
      <c r="P115" s="53">
        <v>-211</v>
      </c>
      <c r="Q115" s="25"/>
      <c r="R115" s="5"/>
    </row>
    <row r="116" spans="1:19" ht="15.6" x14ac:dyDescent="0.3">
      <c r="A116" s="24">
        <f t="shared" si="0"/>
        <v>8</v>
      </c>
      <c r="B116" s="25" t="s">
        <v>149</v>
      </c>
      <c r="C116" s="25"/>
      <c r="D116" s="25"/>
      <c r="E116" s="25"/>
      <c r="F116" s="25"/>
      <c r="G116" s="25"/>
      <c r="H116" s="25"/>
      <c r="I116" s="25"/>
      <c r="J116" s="25"/>
      <c r="K116" s="25"/>
      <c r="L116" s="25"/>
      <c r="M116" s="25"/>
      <c r="N116" s="25"/>
      <c r="O116" s="25"/>
      <c r="P116" s="53">
        <v>0</v>
      </c>
      <c r="Q116" s="25"/>
      <c r="R116" s="5"/>
    </row>
    <row r="117" spans="1:19" ht="15.6" x14ac:dyDescent="0.3">
      <c r="A117" s="24">
        <f t="shared" si="0"/>
        <v>9</v>
      </c>
      <c r="B117" s="25" t="s">
        <v>42</v>
      </c>
      <c r="C117" s="25"/>
      <c r="D117" s="25"/>
      <c r="E117" s="25"/>
      <c r="F117" s="25"/>
      <c r="G117" s="25"/>
      <c r="H117" s="25"/>
      <c r="I117" s="25"/>
      <c r="J117" s="25"/>
      <c r="K117" s="25"/>
      <c r="L117" s="25"/>
      <c r="M117" s="25"/>
      <c r="N117" s="25"/>
      <c r="O117" s="25"/>
      <c r="P117" s="53">
        <v>0</v>
      </c>
      <c r="Q117" s="25"/>
      <c r="R117" s="5"/>
    </row>
    <row r="118" spans="1:19" ht="15.6" x14ac:dyDescent="0.3">
      <c r="A118" s="24">
        <f t="shared" si="0"/>
        <v>10</v>
      </c>
      <c r="B118" s="25" t="s">
        <v>43</v>
      </c>
      <c r="C118" s="25"/>
      <c r="D118" s="25"/>
      <c r="E118" s="25"/>
      <c r="F118" s="25"/>
      <c r="G118" s="25"/>
      <c r="H118" s="25"/>
      <c r="I118" s="25"/>
      <c r="J118" s="25"/>
      <c r="K118" s="25"/>
      <c r="L118" s="25"/>
      <c r="M118" s="25"/>
      <c r="N118" s="25"/>
      <c r="O118" s="25"/>
      <c r="P118" s="53">
        <v>0</v>
      </c>
      <c r="Q118" s="25"/>
      <c r="R118" s="5"/>
    </row>
    <row r="119" spans="1:19" ht="15.6" x14ac:dyDescent="0.3">
      <c r="A119" s="24">
        <f t="shared" si="0"/>
        <v>11</v>
      </c>
      <c r="B119" s="25" t="s">
        <v>215</v>
      </c>
      <c r="C119" s="25"/>
      <c r="D119" s="25"/>
      <c r="E119" s="25"/>
      <c r="F119" s="25"/>
      <c r="G119" s="25"/>
      <c r="H119" s="25"/>
      <c r="I119" s="25"/>
      <c r="J119" s="25"/>
      <c r="K119" s="25"/>
      <c r="L119" s="25"/>
      <c r="M119" s="25"/>
      <c r="N119" s="25"/>
      <c r="O119" s="25"/>
      <c r="P119" s="53">
        <v>-217</v>
      </c>
      <c r="Q119" s="25"/>
      <c r="R119" s="5"/>
    </row>
    <row r="120" spans="1:19" ht="15.6" x14ac:dyDescent="0.3">
      <c r="A120" s="24">
        <f t="shared" si="0"/>
        <v>12</v>
      </c>
      <c r="B120" s="25" t="s">
        <v>150</v>
      </c>
      <c r="C120" s="25"/>
      <c r="D120" s="25"/>
      <c r="E120" s="25"/>
      <c r="F120" s="25"/>
      <c r="G120" s="25"/>
      <c r="H120" s="25"/>
      <c r="I120" s="25"/>
      <c r="J120" s="25"/>
      <c r="K120" s="25"/>
      <c r="L120" s="25"/>
      <c r="M120" s="25"/>
      <c r="N120" s="25"/>
      <c r="O120" s="25"/>
      <c r="P120" s="53">
        <f>-P103-SUM(P105:P119)</f>
        <v>-695</v>
      </c>
      <c r="Q120" s="25"/>
      <c r="R120" s="5"/>
    </row>
    <row r="121" spans="1:19" ht="15.6" x14ac:dyDescent="0.3">
      <c r="A121" s="24"/>
      <c r="B121" s="118" t="s">
        <v>44</v>
      </c>
      <c r="C121" s="25"/>
      <c r="D121" s="25"/>
      <c r="E121" s="25"/>
      <c r="F121" s="25"/>
      <c r="G121" s="25"/>
      <c r="H121" s="25"/>
      <c r="I121" s="25"/>
      <c r="J121" s="25"/>
      <c r="K121" s="25"/>
      <c r="L121" s="25"/>
      <c r="M121" s="25"/>
      <c r="N121" s="25"/>
      <c r="O121" s="25"/>
      <c r="P121" s="59"/>
      <c r="Q121" s="25"/>
      <c r="R121" s="5"/>
    </row>
    <row r="122" spans="1:19" ht="15.6" x14ac:dyDescent="0.3">
      <c r="A122" s="24"/>
      <c r="B122" s="25" t="s">
        <v>45</v>
      </c>
      <c r="C122" s="25"/>
      <c r="D122" s="25"/>
      <c r="E122" s="25"/>
      <c r="F122" s="25"/>
      <c r="G122" s="25"/>
      <c r="H122" s="25"/>
      <c r="I122" s="25"/>
      <c r="J122" s="25"/>
      <c r="K122" s="25"/>
      <c r="L122" s="25"/>
      <c r="M122" s="25"/>
      <c r="N122" s="34">
        <v>0</v>
      </c>
      <c r="O122" s="34"/>
      <c r="P122" s="53"/>
      <c r="Q122" s="25"/>
      <c r="R122" s="5"/>
    </row>
    <row r="123" spans="1:19" ht="15.6" x14ac:dyDescent="0.3">
      <c r="A123" s="24"/>
      <c r="B123" s="25" t="s">
        <v>46</v>
      </c>
      <c r="C123" s="25"/>
      <c r="D123" s="25"/>
      <c r="E123" s="25"/>
      <c r="F123" s="25"/>
      <c r="G123" s="25"/>
      <c r="H123" s="25"/>
      <c r="I123" s="25"/>
      <c r="J123" s="25"/>
      <c r="K123" s="25"/>
      <c r="L123" s="25"/>
      <c r="M123" s="25"/>
      <c r="N123" s="34">
        <f>-M171</f>
        <v>-697</v>
      </c>
      <c r="O123" s="34"/>
      <c r="P123" s="53"/>
      <c r="Q123" s="25"/>
      <c r="R123" s="5"/>
    </row>
    <row r="124" spans="1:19" ht="15.6" x14ac:dyDescent="0.3">
      <c r="A124" s="24"/>
      <c r="B124" s="25" t="s">
        <v>199</v>
      </c>
      <c r="C124" s="25"/>
      <c r="D124" s="25"/>
      <c r="E124" s="25"/>
      <c r="F124" s="25"/>
      <c r="G124" s="25"/>
      <c r="H124" s="25"/>
      <c r="I124" s="25"/>
      <c r="J124" s="25"/>
      <c r="K124" s="25"/>
      <c r="L124" s="25"/>
      <c r="M124" s="25"/>
      <c r="N124" s="34">
        <v>0</v>
      </c>
      <c r="O124" s="34"/>
      <c r="P124" s="53"/>
      <c r="Q124" s="25"/>
      <c r="R124" s="5"/>
    </row>
    <row r="125" spans="1:19" ht="15.6" x14ac:dyDescent="0.3">
      <c r="A125" s="24"/>
      <c r="B125" s="25" t="s">
        <v>200</v>
      </c>
      <c r="C125" s="25"/>
      <c r="D125" s="25"/>
      <c r="E125" s="25"/>
      <c r="F125" s="25"/>
      <c r="G125" s="25"/>
      <c r="H125" s="25"/>
      <c r="I125" s="25"/>
      <c r="J125" s="25"/>
      <c r="K125" s="25"/>
      <c r="L125" s="25"/>
      <c r="M125" s="25"/>
      <c r="N125" s="34">
        <v>0</v>
      </c>
      <c r="O125" s="34"/>
      <c r="P125" s="53"/>
      <c r="Q125" s="25"/>
      <c r="R125" s="5"/>
    </row>
    <row r="126" spans="1:19" ht="15.6" x14ac:dyDescent="0.3">
      <c r="A126" s="24"/>
      <c r="B126" s="25" t="s">
        <v>201</v>
      </c>
      <c r="C126" s="25"/>
      <c r="D126" s="25"/>
      <c r="E126" s="25"/>
      <c r="F126" s="25"/>
      <c r="G126" s="25"/>
      <c r="H126" s="25"/>
      <c r="I126" s="25"/>
      <c r="J126" s="25"/>
      <c r="K126" s="25"/>
      <c r="L126" s="25"/>
      <c r="M126" s="25"/>
      <c r="N126" s="34">
        <v>0</v>
      </c>
      <c r="O126" s="34"/>
      <c r="P126" s="53"/>
      <c r="Q126" s="25"/>
      <c r="R126" s="5"/>
    </row>
    <row r="127" spans="1:19" ht="15.6" x14ac:dyDescent="0.3">
      <c r="A127" s="24"/>
      <c r="B127" s="25" t="s">
        <v>159</v>
      </c>
      <c r="C127" s="25"/>
      <c r="D127" s="25"/>
      <c r="E127" s="25"/>
      <c r="F127" s="25"/>
      <c r="G127" s="25"/>
      <c r="H127" s="25"/>
      <c r="I127" s="25"/>
      <c r="J127" s="25"/>
      <c r="K127" s="25"/>
      <c r="L127" s="25"/>
      <c r="M127" s="25"/>
      <c r="N127" s="34">
        <v>-1939</v>
      </c>
      <c r="O127" s="34"/>
      <c r="P127" s="53"/>
      <c r="Q127" s="25"/>
      <c r="R127" s="5"/>
    </row>
    <row r="128" spans="1:19" ht="15.6" x14ac:dyDescent="0.3">
      <c r="A128" s="24"/>
      <c r="B128" s="25" t="s">
        <v>214</v>
      </c>
      <c r="C128" s="25"/>
      <c r="D128" s="25"/>
      <c r="E128" s="25"/>
      <c r="F128" s="25"/>
      <c r="G128" s="25"/>
      <c r="H128" s="25"/>
      <c r="I128" s="25"/>
      <c r="J128" s="25"/>
      <c r="K128" s="25"/>
      <c r="L128" s="25"/>
      <c r="M128" s="25"/>
      <c r="N128" s="34">
        <v>-1835</v>
      </c>
      <c r="O128" s="34"/>
      <c r="P128" s="53"/>
      <c r="Q128" s="25"/>
      <c r="R128" s="5"/>
    </row>
    <row r="129" spans="1:19" ht="15.6" x14ac:dyDescent="0.3">
      <c r="A129" s="24"/>
      <c r="B129" s="25" t="s">
        <v>47</v>
      </c>
      <c r="C129" s="25"/>
      <c r="D129" s="25"/>
      <c r="E129" s="25"/>
      <c r="F129" s="25"/>
      <c r="G129" s="25"/>
      <c r="H129" s="25"/>
      <c r="I129" s="25"/>
      <c r="J129" s="25"/>
      <c r="K129" s="25"/>
      <c r="L129" s="25"/>
      <c r="M129" s="25"/>
      <c r="N129" s="34">
        <f>SUM(N122:N128)</f>
        <v>-4471</v>
      </c>
      <c r="O129" s="34"/>
      <c r="P129" s="34">
        <f>SUM(P104:P128)</f>
        <v>-4553</v>
      </c>
      <c r="Q129" s="25"/>
      <c r="R129" s="5"/>
    </row>
    <row r="130" spans="1:19" ht="15.6" x14ac:dyDescent="0.3">
      <c r="A130" s="24"/>
      <c r="B130" s="25" t="s">
        <v>48</v>
      </c>
      <c r="C130" s="25"/>
      <c r="D130" s="25"/>
      <c r="E130" s="25"/>
      <c r="F130" s="25"/>
      <c r="G130" s="25"/>
      <c r="H130" s="25"/>
      <c r="I130" s="25"/>
      <c r="J130" s="25"/>
      <c r="K130" s="25"/>
      <c r="L130" s="25"/>
      <c r="M130" s="25"/>
      <c r="N130" s="34">
        <f>N103+N129+N115</f>
        <v>0</v>
      </c>
      <c r="O130" s="34"/>
      <c r="P130" s="34">
        <f>P103+P129</f>
        <v>0</v>
      </c>
      <c r="Q130" s="25"/>
      <c r="R130" s="5"/>
    </row>
    <row r="131" spans="1:19" ht="15.6" x14ac:dyDescent="0.3">
      <c r="A131" s="24"/>
      <c r="B131" s="25"/>
      <c r="C131" s="25"/>
      <c r="D131" s="25"/>
      <c r="E131" s="25"/>
      <c r="F131" s="25"/>
      <c r="G131" s="25"/>
      <c r="H131" s="25"/>
      <c r="I131" s="25"/>
      <c r="J131" s="25"/>
      <c r="K131" s="25"/>
      <c r="L131" s="25"/>
      <c r="M131" s="25"/>
      <c r="N131" s="34"/>
      <c r="O131" s="34"/>
      <c r="P131" s="34"/>
      <c r="Q131" s="25"/>
      <c r="R131" s="5"/>
    </row>
    <row r="132" spans="1:19" ht="15.6" x14ac:dyDescent="0.3">
      <c r="A132" s="6"/>
      <c r="B132" s="146"/>
      <c r="C132" s="146"/>
      <c r="D132" s="146"/>
      <c r="E132" s="146"/>
      <c r="F132" s="146"/>
      <c r="G132" s="146"/>
      <c r="H132" s="146"/>
      <c r="I132" s="146"/>
      <c r="J132" s="146"/>
      <c r="K132" s="146"/>
      <c r="L132" s="146"/>
      <c r="M132" s="146"/>
      <c r="N132" s="147"/>
      <c r="O132" s="147"/>
      <c r="P132" s="147"/>
      <c r="Q132" s="146"/>
      <c r="R132" s="5"/>
    </row>
    <row r="133" spans="1:19" ht="18" thickBot="1" x14ac:dyDescent="0.35">
      <c r="A133" s="101"/>
      <c r="B133" s="102" t="str">
        <f>B65</f>
        <v>PM7 INVESTOR REPORT QUARTER ENDING JULY 2009</v>
      </c>
      <c r="C133" s="103"/>
      <c r="D133" s="103"/>
      <c r="E133" s="103"/>
      <c r="F133" s="103"/>
      <c r="G133" s="103"/>
      <c r="H133" s="103"/>
      <c r="I133" s="103"/>
      <c r="J133" s="103"/>
      <c r="K133" s="103"/>
      <c r="L133" s="103"/>
      <c r="M133" s="103"/>
      <c r="N133" s="103"/>
      <c r="O133" s="103"/>
      <c r="P133" s="106"/>
      <c r="Q133" s="105"/>
      <c r="R133" s="5"/>
    </row>
    <row r="134" spans="1:19" ht="15.6" x14ac:dyDescent="0.3">
      <c r="A134" s="2"/>
      <c r="B134" s="60" t="s">
        <v>49</v>
      </c>
      <c r="C134" s="4"/>
      <c r="D134" s="4"/>
      <c r="E134" s="4"/>
      <c r="F134" s="4"/>
      <c r="G134" s="4"/>
      <c r="H134" s="4"/>
      <c r="I134" s="4"/>
      <c r="J134" s="4"/>
      <c r="K134" s="4"/>
      <c r="L134" s="4"/>
      <c r="M134" s="4"/>
      <c r="N134" s="4"/>
      <c r="O134" s="4"/>
      <c r="P134" s="50"/>
      <c r="Q134" s="4"/>
      <c r="R134" s="5"/>
    </row>
    <row r="135" spans="1:19" ht="15.6" x14ac:dyDescent="0.3">
      <c r="A135" s="6"/>
      <c r="B135" s="21"/>
      <c r="C135" s="8"/>
      <c r="D135" s="8"/>
      <c r="E135" s="8"/>
      <c r="F135" s="8"/>
      <c r="G135" s="8"/>
      <c r="H135" s="8"/>
      <c r="I135" s="8"/>
      <c r="J135" s="8"/>
      <c r="K135" s="8"/>
      <c r="L135" s="8"/>
      <c r="M135" s="8"/>
      <c r="N135" s="8"/>
      <c r="O135" s="8"/>
      <c r="P135" s="52"/>
      <c r="Q135" s="8"/>
      <c r="R135" s="5"/>
    </row>
    <row r="136" spans="1:19" ht="15.6" x14ac:dyDescent="0.3">
      <c r="A136" s="6"/>
      <c r="B136" s="119" t="s">
        <v>50</v>
      </c>
      <c r="C136" s="8"/>
      <c r="D136" s="8"/>
      <c r="E136" s="8"/>
      <c r="F136" s="8"/>
      <c r="G136" s="8"/>
      <c r="H136" s="8"/>
      <c r="I136" s="8"/>
      <c r="J136" s="8"/>
      <c r="K136" s="8"/>
      <c r="L136" s="8"/>
      <c r="M136" s="8"/>
      <c r="N136" s="8"/>
      <c r="O136" s="8"/>
      <c r="P136" s="52"/>
      <c r="Q136" s="8"/>
      <c r="R136" s="5"/>
    </row>
    <row r="137" spans="1:19" ht="15.6" x14ac:dyDescent="0.3">
      <c r="A137" s="24"/>
      <c r="B137" s="25" t="s">
        <v>51</v>
      </c>
      <c r="C137" s="25"/>
      <c r="D137" s="25"/>
      <c r="E137" s="25"/>
      <c r="F137" s="25"/>
      <c r="G137" s="25"/>
      <c r="H137" s="25"/>
      <c r="I137" s="25"/>
      <c r="J137" s="25"/>
      <c r="K137" s="25"/>
      <c r="L137" s="25"/>
      <c r="M137" s="25"/>
      <c r="N137" s="25"/>
      <c r="O137" s="25"/>
      <c r="P137" s="53">
        <f>+P36*0.022</f>
        <v>19815.399999999998</v>
      </c>
      <c r="Q137" s="25"/>
      <c r="R137" s="5"/>
    </row>
    <row r="138" spans="1:19" ht="15.6" x14ac:dyDescent="0.3">
      <c r="A138" s="24"/>
      <c r="B138" s="25" t="s">
        <v>52</v>
      </c>
      <c r="C138" s="25"/>
      <c r="D138" s="25"/>
      <c r="E138" s="25"/>
      <c r="F138" s="25"/>
      <c r="G138" s="25"/>
      <c r="H138" s="25"/>
      <c r="I138" s="25"/>
      <c r="J138" s="25"/>
      <c r="K138" s="25"/>
      <c r="L138" s="25"/>
      <c r="M138" s="25"/>
      <c r="N138" s="25"/>
      <c r="O138" s="25"/>
      <c r="P138" s="53">
        <v>19815</v>
      </c>
      <c r="Q138" s="25"/>
      <c r="R138" s="5"/>
    </row>
    <row r="139" spans="1:19" ht="15.6" x14ac:dyDescent="0.3">
      <c r="A139" s="24"/>
      <c r="B139" s="25" t="s">
        <v>161</v>
      </c>
      <c r="C139" s="25"/>
      <c r="D139" s="25"/>
      <c r="E139" s="25"/>
      <c r="F139" s="25"/>
      <c r="G139" s="25"/>
      <c r="H139" s="25"/>
      <c r="I139" s="25"/>
      <c r="J139" s="25"/>
      <c r="K139" s="25"/>
      <c r="L139" s="25"/>
      <c r="M139" s="25"/>
      <c r="N139" s="25"/>
      <c r="O139" s="25"/>
      <c r="P139" s="53">
        <v>0</v>
      </c>
      <c r="Q139" s="25"/>
      <c r="R139" s="5"/>
    </row>
    <row r="140" spans="1:19" ht="15.6" x14ac:dyDescent="0.3">
      <c r="A140" s="24"/>
      <c r="B140" s="25" t="s">
        <v>144</v>
      </c>
      <c r="C140" s="25"/>
      <c r="D140" s="25"/>
      <c r="E140" s="25"/>
      <c r="F140" s="25"/>
      <c r="G140" s="25"/>
      <c r="H140" s="25"/>
      <c r="I140" s="25"/>
      <c r="J140" s="25"/>
      <c r="K140" s="25"/>
      <c r="L140" s="25"/>
      <c r="M140" s="25"/>
      <c r="N140" s="25"/>
      <c r="O140" s="25"/>
      <c r="P140" s="53">
        <v>0</v>
      </c>
      <c r="Q140" s="25"/>
      <c r="R140" s="5"/>
    </row>
    <row r="141" spans="1:19" ht="15.6" x14ac:dyDescent="0.3">
      <c r="A141" s="24"/>
      <c r="B141" s="25" t="s">
        <v>145</v>
      </c>
      <c r="C141" s="25"/>
      <c r="D141" s="25"/>
      <c r="E141" s="25"/>
      <c r="F141" s="25"/>
      <c r="G141" s="25"/>
      <c r="H141" s="25"/>
      <c r="I141" s="25"/>
      <c r="J141" s="25"/>
      <c r="K141" s="25"/>
      <c r="L141" s="25"/>
      <c r="M141" s="25"/>
      <c r="N141" s="25"/>
      <c r="O141" s="25"/>
      <c r="P141" s="53">
        <v>0</v>
      </c>
      <c r="Q141" s="25"/>
      <c r="R141" s="5"/>
    </row>
    <row r="142" spans="1:19" ht="15.6" x14ac:dyDescent="0.3">
      <c r="A142" s="24"/>
      <c r="B142" s="25" t="s">
        <v>53</v>
      </c>
      <c r="C142" s="25"/>
      <c r="D142" s="25"/>
      <c r="E142" s="25"/>
      <c r="F142" s="25"/>
      <c r="G142" s="25"/>
      <c r="H142" s="25"/>
      <c r="I142" s="25"/>
      <c r="J142" s="25"/>
      <c r="K142" s="25"/>
      <c r="L142" s="25"/>
      <c r="M142" s="25"/>
      <c r="N142" s="25"/>
      <c r="O142" s="25"/>
      <c r="P142" s="53">
        <v>0</v>
      </c>
      <c r="Q142" s="25"/>
      <c r="R142" s="5"/>
    </row>
    <row r="143" spans="1:19" ht="15.6" x14ac:dyDescent="0.3">
      <c r="A143" s="24"/>
      <c r="B143" s="25" t="s">
        <v>153</v>
      </c>
      <c r="C143" s="25"/>
      <c r="D143" s="25"/>
      <c r="E143" s="25"/>
      <c r="F143" s="25"/>
      <c r="G143" s="25"/>
      <c r="H143" s="25"/>
      <c r="I143" s="25"/>
      <c r="J143" s="25"/>
      <c r="K143" s="25"/>
      <c r="L143" s="25"/>
      <c r="M143" s="25"/>
      <c r="N143" s="25"/>
      <c r="O143" s="25"/>
      <c r="P143" s="53">
        <v>0</v>
      </c>
      <c r="Q143" s="25"/>
      <c r="R143" s="5"/>
    </row>
    <row r="144" spans="1:19" ht="15.6" x14ac:dyDescent="0.3">
      <c r="A144" s="24"/>
      <c r="B144" s="25" t="s">
        <v>202</v>
      </c>
      <c r="C144" s="25"/>
      <c r="D144" s="25"/>
      <c r="E144" s="25"/>
      <c r="F144" s="25"/>
      <c r="G144" s="25"/>
      <c r="H144" s="25"/>
      <c r="I144" s="25"/>
      <c r="J144" s="25"/>
      <c r="K144" s="25"/>
      <c r="L144" s="25"/>
      <c r="M144" s="25"/>
      <c r="N144" s="25"/>
      <c r="O144" s="25"/>
      <c r="P144" s="53">
        <v>0</v>
      </c>
      <c r="Q144" s="25"/>
      <c r="R144" s="5"/>
      <c r="S144" s="109"/>
    </row>
    <row r="145" spans="1:18" ht="15.6" x14ac:dyDescent="0.3">
      <c r="A145" s="24"/>
      <c r="B145" s="25" t="s">
        <v>54</v>
      </c>
      <c r="C145" s="25"/>
      <c r="D145" s="25"/>
      <c r="E145" s="25"/>
      <c r="F145" s="25"/>
      <c r="G145" s="25"/>
      <c r="H145" s="25"/>
      <c r="I145" s="25"/>
      <c r="J145" s="25"/>
      <c r="K145" s="25"/>
      <c r="L145" s="25"/>
      <c r="M145" s="25"/>
      <c r="N145" s="25"/>
      <c r="O145" s="25"/>
      <c r="P145" s="53">
        <f>SUM(P138:P144)</f>
        <v>19815</v>
      </c>
      <c r="Q145" s="25"/>
      <c r="R145" s="5"/>
    </row>
    <row r="146" spans="1:18" ht="15.6" x14ac:dyDescent="0.3">
      <c r="A146" s="24"/>
      <c r="B146" s="25"/>
      <c r="C146" s="25"/>
      <c r="D146" s="25"/>
      <c r="E146" s="25"/>
      <c r="F146" s="25"/>
      <c r="G146" s="25"/>
      <c r="H146" s="25"/>
      <c r="I146" s="25"/>
      <c r="J146" s="25"/>
      <c r="K146" s="25"/>
      <c r="L146" s="25"/>
      <c r="M146" s="25"/>
      <c r="N146" s="25"/>
      <c r="O146" s="25"/>
      <c r="P146" s="61"/>
      <c r="Q146" s="25"/>
      <c r="R146" s="5"/>
    </row>
    <row r="147" spans="1:18" ht="15.6" x14ac:dyDescent="0.3">
      <c r="A147" s="6"/>
      <c r="B147" s="119" t="s">
        <v>28</v>
      </c>
      <c r="C147" s="8"/>
      <c r="D147" s="8"/>
      <c r="E147" s="8"/>
      <c r="F147" s="8"/>
      <c r="G147" s="8"/>
      <c r="H147" s="8"/>
      <c r="I147" s="8"/>
      <c r="J147" s="8"/>
      <c r="K147" s="8"/>
      <c r="L147" s="8"/>
      <c r="M147" s="8"/>
      <c r="N147" s="8"/>
      <c r="O147" s="8"/>
      <c r="P147" s="52"/>
      <c r="Q147" s="8"/>
      <c r="R147" s="5"/>
    </row>
    <row r="148" spans="1:18" ht="15.6" x14ac:dyDescent="0.3">
      <c r="A148" s="24"/>
      <c r="B148" s="25" t="s">
        <v>55</v>
      </c>
      <c r="C148" s="25"/>
      <c r="D148" s="25"/>
      <c r="E148" s="25"/>
      <c r="F148" s="25"/>
      <c r="G148" s="25"/>
      <c r="H148" s="25"/>
      <c r="I148" s="25"/>
      <c r="J148" s="25"/>
      <c r="K148" s="25"/>
      <c r="L148" s="25"/>
      <c r="M148" s="25"/>
      <c r="N148" s="25"/>
      <c r="O148" s="25"/>
      <c r="P148" s="59" t="s">
        <v>137</v>
      </c>
      <c r="Q148" s="25"/>
      <c r="R148" s="5"/>
    </row>
    <row r="149" spans="1:18" ht="15.6" x14ac:dyDescent="0.3">
      <c r="A149" s="24"/>
      <c r="B149" s="25" t="s">
        <v>56</v>
      </c>
      <c r="C149" s="141"/>
      <c r="D149" s="141"/>
      <c r="E149" s="141"/>
      <c r="F149" s="141"/>
      <c r="G149" s="141"/>
      <c r="H149" s="141"/>
      <c r="I149" s="141"/>
      <c r="J149" s="141"/>
      <c r="K149" s="141"/>
      <c r="L149" s="141"/>
      <c r="M149" s="141"/>
      <c r="N149" s="141"/>
      <c r="O149" s="141"/>
      <c r="P149" s="59" t="s">
        <v>137</v>
      </c>
      <c r="Q149" s="25"/>
      <c r="R149" s="5"/>
    </row>
    <row r="150" spans="1:18" ht="15.6" x14ac:dyDescent="0.3">
      <c r="A150" s="24"/>
      <c r="B150" s="25" t="s">
        <v>57</v>
      </c>
      <c r="C150" s="25"/>
      <c r="D150" s="25"/>
      <c r="E150" s="25"/>
      <c r="F150" s="25"/>
      <c r="G150" s="25"/>
      <c r="H150" s="25"/>
      <c r="I150" s="25"/>
      <c r="J150" s="25"/>
      <c r="K150" s="25"/>
      <c r="L150" s="25"/>
      <c r="M150" s="25"/>
      <c r="N150" s="25"/>
      <c r="O150" s="25"/>
      <c r="P150" s="59" t="s">
        <v>137</v>
      </c>
      <c r="Q150" s="25"/>
      <c r="R150" s="5"/>
    </row>
    <row r="151" spans="1:18" ht="15.6" x14ac:dyDescent="0.3">
      <c r="A151" s="24"/>
      <c r="B151" s="25" t="s">
        <v>58</v>
      </c>
      <c r="C151" s="25"/>
      <c r="D151" s="25"/>
      <c r="E151" s="25"/>
      <c r="F151" s="25"/>
      <c r="G151" s="25"/>
      <c r="H151" s="25"/>
      <c r="I151" s="25"/>
      <c r="J151" s="25"/>
      <c r="K151" s="25"/>
      <c r="L151" s="25"/>
      <c r="M151" s="25"/>
      <c r="N151" s="25"/>
      <c r="O151" s="25"/>
      <c r="P151" s="59" t="s">
        <v>137</v>
      </c>
      <c r="Q151" s="25"/>
      <c r="R151" s="5"/>
    </row>
    <row r="152" spans="1:18" ht="15.6" x14ac:dyDescent="0.3">
      <c r="A152" s="24"/>
      <c r="B152" s="25"/>
      <c r="C152" s="25"/>
      <c r="D152" s="25"/>
      <c r="E152" s="25"/>
      <c r="F152" s="25"/>
      <c r="G152" s="25"/>
      <c r="H152" s="25"/>
      <c r="I152" s="25"/>
      <c r="J152" s="25"/>
      <c r="K152" s="25"/>
      <c r="L152" s="25"/>
      <c r="M152" s="25"/>
      <c r="N152" s="25"/>
      <c r="O152" s="25"/>
      <c r="P152" s="61"/>
      <c r="Q152" s="25"/>
      <c r="R152" s="5"/>
    </row>
    <row r="153" spans="1:18" ht="15.6" x14ac:dyDescent="0.3">
      <c r="A153" s="6"/>
      <c r="B153" s="119" t="s">
        <v>59</v>
      </c>
      <c r="C153" s="8"/>
      <c r="D153" s="8"/>
      <c r="E153" s="8"/>
      <c r="F153" s="8"/>
      <c r="G153" s="8"/>
      <c r="H153" s="8"/>
      <c r="I153" s="8"/>
      <c r="J153" s="8"/>
      <c r="K153" s="8"/>
      <c r="L153" s="8"/>
      <c r="M153" s="8"/>
      <c r="N153" s="8"/>
      <c r="O153" s="8"/>
      <c r="P153" s="63"/>
      <c r="Q153" s="8"/>
      <c r="R153" s="5"/>
    </row>
    <row r="154" spans="1:18" ht="15.6" x14ac:dyDescent="0.3">
      <c r="A154" s="24"/>
      <c r="B154" s="25" t="s">
        <v>60</v>
      </c>
      <c r="C154" s="25"/>
      <c r="D154" s="25"/>
      <c r="E154" s="25"/>
      <c r="F154" s="25"/>
      <c r="G154" s="25"/>
      <c r="H154" s="25"/>
      <c r="I154" s="25"/>
      <c r="J154" s="25"/>
      <c r="K154" s="25"/>
      <c r="L154" s="25"/>
      <c r="M154" s="25"/>
      <c r="N154" s="25"/>
      <c r="O154" s="25"/>
      <c r="P154" s="53">
        <v>0</v>
      </c>
      <c r="Q154" s="25"/>
      <c r="R154" s="5"/>
    </row>
    <row r="155" spans="1:18" ht="15.6" x14ac:dyDescent="0.3">
      <c r="A155" s="24"/>
      <c r="B155" s="25" t="s">
        <v>61</v>
      </c>
      <c r="C155" s="25"/>
      <c r="D155" s="25"/>
      <c r="E155" s="25"/>
      <c r="F155" s="25"/>
      <c r="G155" s="25"/>
      <c r="H155" s="25"/>
      <c r="I155" s="25"/>
      <c r="J155" s="25"/>
      <c r="K155" s="25"/>
      <c r="L155" s="25"/>
      <c r="M155" s="25"/>
      <c r="N155" s="25"/>
      <c r="O155" s="25"/>
      <c r="P155" s="53">
        <f>-P115</f>
        <v>211</v>
      </c>
      <c r="Q155" s="25"/>
      <c r="R155" s="5"/>
    </row>
    <row r="156" spans="1:18" ht="15.6" x14ac:dyDescent="0.3">
      <c r="A156" s="24"/>
      <c r="B156" s="25" t="s">
        <v>62</v>
      </c>
      <c r="C156" s="25"/>
      <c r="D156" s="25"/>
      <c r="E156" s="25"/>
      <c r="F156" s="25"/>
      <c r="G156" s="25"/>
      <c r="H156" s="25"/>
      <c r="I156" s="25"/>
      <c r="J156" s="25"/>
      <c r="K156" s="25"/>
      <c r="L156" s="25"/>
      <c r="M156" s="25"/>
      <c r="N156" s="25"/>
      <c r="O156" s="25"/>
      <c r="P156" s="53">
        <f>P155+P154</f>
        <v>211</v>
      </c>
      <c r="Q156" s="25"/>
      <c r="R156" s="5"/>
    </row>
    <row r="157" spans="1:18" ht="15.6" x14ac:dyDescent="0.3">
      <c r="A157" s="24"/>
      <c r="B157" s="403" t="s">
        <v>297</v>
      </c>
      <c r="C157" s="25"/>
      <c r="D157" s="25"/>
      <c r="E157" s="25"/>
      <c r="F157" s="25"/>
      <c r="G157" s="25"/>
      <c r="H157" s="25"/>
      <c r="I157" s="25"/>
      <c r="J157" s="25"/>
      <c r="K157" s="25"/>
      <c r="L157" s="25"/>
      <c r="M157" s="25"/>
      <c r="N157" s="25"/>
      <c r="O157" s="25"/>
      <c r="P157" s="53">
        <f>P115</f>
        <v>-211</v>
      </c>
      <c r="Q157" s="25"/>
      <c r="R157" s="5"/>
    </row>
    <row r="158" spans="1:18" ht="15.6" x14ac:dyDescent="0.3">
      <c r="A158" s="24"/>
      <c r="B158" s="25" t="s">
        <v>63</v>
      </c>
      <c r="C158" s="25"/>
      <c r="D158" s="25"/>
      <c r="E158" s="25"/>
      <c r="F158" s="25"/>
      <c r="G158" s="25"/>
      <c r="H158" s="25"/>
      <c r="I158" s="25"/>
      <c r="J158" s="25"/>
      <c r="K158" s="25"/>
      <c r="L158" s="25"/>
      <c r="M158" s="25"/>
      <c r="N158" s="25"/>
      <c r="O158" s="25"/>
      <c r="P158" s="53">
        <f>P156+P157</f>
        <v>0</v>
      </c>
      <c r="Q158" s="25"/>
      <c r="R158" s="5"/>
    </row>
    <row r="159" spans="1:18" ht="16.2" thickBot="1" x14ac:dyDescent="0.35">
      <c r="A159" s="24"/>
      <c r="B159" s="25"/>
      <c r="C159" s="25"/>
      <c r="D159" s="25"/>
      <c r="E159" s="25"/>
      <c r="F159" s="25"/>
      <c r="G159" s="25"/>
      <c r="H159" s="25"/>
      <c r="I159" s="25"/>
      <c r="J159" s="25"/>
      <c r="K159" s="25"/>
      <c r="L159" s="25"/>
      <c r="M159" s="25"/>
      <c r="N159" s="25"/>
      <c r="O159" s="25"/>
      <c r="P159" s="61"/>
      <c r="Q159" s="25"/>
      <c r="R159" s="5"/>
    </row>
    <row r="160" spans="1:18" ht="15.6" x14ac:dyDescent="0.3">
      <c r="A160" s="2"/>
      <c r="B160" s="4"/>
      <c r="C160" s="4"/>
      <c r="D160" s="4"/>
      <c r="E160" s="4"/>
      <c r="F160" s="4"/>
      <c r="G160" s="4"/>
      <c r="H160" s="4"/>
      <c r="I160" s="4"/>
      <c r="J160" s="4"/>
      <c r="K160" s="4"/>
      <c r="L160" s="4"/>
      <c r="M160" s="4"/>
      <c r="N160" s="4"/>
      <c r="O160" s="4"/>
      <c r="P160" s="50"/>
      <c r="Q160" s="4"/>
      <c r="R160" s="5"/>
    </row>
    <row r="161" spans="1:19" ht="15.6" x14ac:dyDescent="0.3">
      <c r="A161" s="6"/>
      <c r="B161" s="119" t="s">
        <v>64</v>
      </c>
      <c r="C161" s="8"/>
      <c r="D161" s="8"/>
      <c r="E161" s="8"/>
      <c r="F161" s="8"/>
      <c r="G161" s="8"/>
      <c r="H161" s="8"/>
      <c r="I161" s="8"/>
      <c r="J161" s="8"/>
      <c r="K161" s="8"/>
      <c r="L161" s="8"/>
      <c r="M161" s="8"/>
      <c r="N161" s="8"/>
      <c r="O161" s="8"/>
      <c r="P161" s="52"/>
      <c r="Q161" s="8"/>
      <c r="R161" s="5"/>
    </row>
    <row r="162" spans="1:19" ht="15.6" x14ac:dyDescent="0.3">
      <c r="A162" s="6"/>
      <c r="B162" s="21"/>
      <c r="C162" s="8"/>
      <c r="D162" s="8"/>
      <c r="E162" s="8"/>
      <c r="F162" s="8"/>
      <c r="G162" s="8"/>
      <c r="H162" s="8"/>
      <c r="I162" s="8"/>
      <c r="J162" s="8"/>
      <c r="K162" s="8"/>
      <c r="L162" s="8"/>
      <c r="M162" s="8"/>
      <c r="N162" s="8"/>
      <c r="O162" s="8"/>
      <c r="P162" s="52"/>
      <c r="Q162" s="8"/>
      <c r="R162" s="5"/>
    </row>
    <row r="163" spans="1:19" ht="15.6" x14ac:dyDescent="0.3">
      <c r="A163" s="24"/>
      <c r="B163" s="25" t="s">
        <v>221</v>
      </c>
      <c r="C163" s="25"/>
      <c r="D163" s="25"/>
      <c r="E163" s="25"/>
      <c r="F163" s="25"/>
      <c r="G163" s="25"/>
      <c r="H163" s="25"/>
      <c r="I163" s="25"/>
      <c r="J163" s="25"/>
      <c r="K163" s="25"/>
      <c r="L163" s="25"/>
      <c r="M163" s="25"/>
      <c r="N163" s="25"/>
      <c r="O163" s="25"/>
      <c r="P163" s="53">
        <f>P73</f>
        <v>422086</v>
      </c>
      <c r="Q163" s="25"/>
      <c r="R163" s="5"/>
    </row>
    <row r="164" spans="1:19" ht="15.6" x14ac:dyDescent="0.3">
      <c r="A164" s="24"/>
      <c r="B164" s="25" t="s">
        <v>273</v>
      </c>
      <c r="C164" s="25"/>
      <c r="D164" s="25"/>
      <c r="E164" s="25"/>
      <c r="F164" s="25"/>
      <c r="G164" s="25"/>
      <c r="H164" s="25"/>
      <c r="I164" s="25"/>
      <c r="J164" s="25"/>
      <c r="K164" s="25"/>
      <c r="L164" s="25"/>
      <c r="M164" s="25"/>
      <c r="N164" s="25"/>
      <c r="O164" s="25"/>
      <c r="P164" s="53">
        <f>+P86</f>
        <v>0</v>
      </c>
      <c r="Q164" s="25"/>
      <c r="R164" s="5"/>
    </row>
    <row r="165" spans="1:19" ht="15.6" x14ac:dyDescent="0.3">
      <c r="A165" s="24"/>
      <c r="B165" s="25" t="s">
        <v>65</v>
      </c>
      <c r="C165" s="25"/>
      <c r="D165" s="25"/>
      <c r="E165" s="25"/>
      <c r="F165" s="25"/>
      <c r="G165" s="25"/>
      <c r="H165" s="25"/>
      <c r="I165" s="25"/>
      <c r="J165" s="25"/>
      <c r="K165" s="25"/>
      <c r="L165" s="25"/>
      <c r="M165" s="25"/>
      <c r="N165" s="25"/>
      <c r="O165" s="25"/>
      <c r="P165" s="53">
        <f>P38</f>
        <v>422085.85229627573</v>
      </c>
      <c r="Q165" s="25"/>
      <c r="R165" s="5"/>
      <c r="S165" s="109"/>
    </row>
    <row r="166" spans="1:19" ht="16.2" thickBot="1" x14ac:dyDescent="0.35">
      <c r="A166" s="24"/>
      <c r="B166" s="25"/>
      <c r="C166" s="25"/>
      <c r="D166" s="25"/>
      <c r="E166" s="25"/>
      <c r="F166" s="25"/>
      <c r="G166" s="25"/>
      <c r="H166" s="25"/>
      <c r="I166" s="25"/>
      <c r="J166" s="25"/>
      <c r="K166" s="25"/>
      <c r="L166" s="25"/>
      <c r="M166" s="25"/>
      <c r="N166" s="25"/>
      <c r="O166" s="25"/>
      <c r="P166" s="61"/>
      <c r="Q166" s="25"/>
      <c r="R166" s="5"/>
    </row>
    <row r="167" spans="1:19" ht="15.6" x14ac:dyDescent="0.3">
      <c r="A167" s="2"/>
      <c r="B167" s="4"/>
      <c r="C167" s="4"/>
      <c r="D167" s="4"/>
      <c r="E167" s="4"/>
      <c r="F167" s="4"/>
      <c r="G167" s="4"/>
      <c r="H167" s="4"/>
      <c r="I167" s="4"/>
      <c r="J167" s="4"/>
      <c r="K167" s="4"/>
      <c r="L167" s="4"/>
      <c r="M167" s="4"/>
      <c r="N167" s="4"/>
      <c r="O167" s="4"/>
      <c r="P167" s="50"/>
      <c r="Q167" s="4"/>
      <c r="R167" s="5"/>
    </row>
    <row r="168" spans="1:19" ht="15.6" x14ac:dyDescent="0.3">
      <c r="A168" s="6"/>
      <c r="B168" s="119" t="s">
        <v>66</v>
      </c>
      <c r="C168" s="117"/>
      <c r="D168" s="117"/>
      <c r="E168" s="117"/>
      <c r="F168" s="120"/>
      <c r="G168" s="120"/>
      <c r="H168" s="120"/>
      <c r="I168" s="120"/>
      <c r="J168" s="120"/>
      <c r="K168" s="120"/>
      <c r="L168" s="120"/>
      <c r="M168" s="120" t="s">
        <v>112</v>
      </c>
      <c r="N168" s="120" t="s">
        <v>120</v>
      </c>
      <c r="O168" s="111"/>
      <c r="P168" s="121" t="s">
        <v>129</v>
      </c>
      <c r="Q168" s="10"/>
      <c r="R168" s="5"/>
    </row>
    <row r="169" spans="1:19" ht="15.6" x14ac:dyDescent="0.3">
      <c r="A169" s="24"/>
      <c r="B169" s="25" t="s">
        <v>67</v>
      </c>
      <c r="C169" s="25"/>
      <c r="D169" s="25"/>
      <c r="E169" s="25"/>
      <c r="F169" s="25"/>
      <c r="G169" s="25"/>
      <c r="H169" s="25"/>
      <c r="I169" s="25"/>
      <c r="J169" s="25"/>
      <c r="K169" s="25"/>
      <c r="L169" s="25"/>
      <c r="M169" s="53">
        <v>144000</v>
      </c>
      <c r="N169" s="40">
        <v>0</v>
      </c>
      <c r="O169" s="25"/>
      <c r="P169" s="53"/>
      <c r="Q169" s="25"/>
      <c r="R169" s="5"/>
    </row>
    <row r="170" spans="1:19" ht="15.6" x14ac:dyDescent="0.3">
      <c r="A170" s="24"/>
      <c r="B170" s="25" t="s">
        <v>68</v>
      </c>
      <c r="C170" s="25"/>
      <c r="D170" s="25"/>
      <c r="E170" s="25"/>
      <c r="F170" s="25"/>
      <c r="G170" s="25"/>
      <c r="H170" s="25"/>
      <c r="I170" s="25"/>
      <c r="J170" s="25"/>
      <c r="K170" s="25"/>
      <c r="L170" s="25"/>
      <c r="M170" s="53">
        <f>+'April 09'!M172</f>
        <v>84409</v>
      </c>
      <c r="N170" s="53">
        <f>+'April 09'!N172</f>
        <v>10103</v>
      </c>
      <c r="O170" s="25"/>
      <c r="P170" s="53">
        <f>M170+N170</f>
        <v>94512</v>
      </c>
      <c r="Q170" s="25"/>
      <c r="R170" s="5"/>
    </row>
    <row r="171" spans="1:19" ht="15.6" x14ac:dyDescent="0.3">
      <c r="A171" s="24"/>
      <c r="B171" s="25" t="s">
        <v>69</v>
      </c>
      <c r="C171" s="25"/>
      <c r="D171" s="25"/>
      <c r="E171" s="25"/>
      <c r="F171" s="25"/>
      <c r="G171" s="25"/>
      <c r="H171" s="25"/>
      <c r="I171" s="25"/>
      <c r="J171" s="25"/>
      <c r="K171" s="25"/>
      <c r="L171" s="25"/>
      <c r="M171" s="34">
        <f>683+14</f>
        <v>697</v>
      </c>
      <c r="N171" s="34">
        <f>-N100-N122</f>
        <v>1</v>
      </c>
      <c r="O171" s="25"/>
      <c r="P171" s="53">
        <f>M171+N171</f>
        <v>698</v>
      </c>
      <c r="Q171" s="25"/>
      <c r="R171" s="5"/>
    </row>
    <row r="172" spans="1:19" ht="15.6" x14ac:dyDescent="0.3">
      <c r="A172" s="24"/>
      <c r="B172" s="25" t="s">
        <v>70</v>
      </c>
      <c r="C172" s="25"/>
      <c r="D172" s="25"/>
      <c r="E172" s="25"/>
      <c r="F172" s="25"/>
      <c r="G172" s="25"/>
      <c r="H172" s="25"/>
      <c r="I172" s="25"/>
      <c r="J172" s="25"/>
      <c r="K172" s="25"/>
      <c r="L172" s="25"/>
      <c r="M172" s="53">
        <f>M170+M171</f>
        <v>85106</v>
      </c>
      <c r="N172" s="53">
        <f>N171+N170</f>
        <v>10104</v>
      </c>
      <c r="O172" s="25"/>
      <c r="P172" s="53">
        <f>M172+N172</f>
        <v>95210</v>
      </c>
      <c r="Q172" s="25"/>
      <c r="R172" s="5"/>
    </row>
    <row r="173" spans="1:19" ht="15.6" x14ac:dyDescent="0.3">
      <c r="A173" s="24"/>
      <c r="B173" s="25" t="s">
        <v>71</v>
      </c>
      <c r="C173" s="25"/>
      <c r="D173" s="25"/>
      <c r="E173" s="25"/>
      <c r="F173" s="25"/>
      <c r="G173" s="25"/>
      <c r="H173" s="25"/>
      <c r="I173" s="25"/>
      <c r="J173" s="25"/>
      <c r="K173" s="25"/>
      <c r="L173" s="25"/>
      <c r="M173" s="53">
        <f>M169-M172-N172</f>
        <v>48790</v>
      </c>
      <c r="N173" s="40"/>
      <c r="O173" s="25"/>
      <c r="P173" s="53"/>
      <c r="Q173" s="25"/>
      <c r="R173" s="5"/>
    </row>
    <row r="174" spans="1:19" ht="16.2" thickBot="1" x14ac:dyDescent="0.35">
      <c r="A174" s="24"/>
      <c r="B174" s="25"/>
      <c r="C174" s="25"/>
      <c r="D174" s="25"/>
      <c r="E174" s="25"/>
      <c r="F174" s="25"/>
      <c r="G174" s="25"/>
      <c r="H174" s="25"/>
      <c r="I174" s="25"/>
      <c r="J174" s="25"/>
      <c r="K174" s="25"/>
      <c r="L174" s="25"/>
      <c r="M174" s="25"/>
      <c r="N174" s="25"/>
      <c r="O174" s="25"/>
      <c r="P174" s="61"/>
      <c r="Q174" s="25"/>
      <c r="R174" s="5"/>
    </row>
    <row r="175" spans="1:19" ht="15.6" x14ac:dyDescent="0.3">
      <c r="A175" s="2"/>
      <c r="B175" s="4"/>
      <c r="C175" s="4"/>
      <c r="D175" s="4"/>
      <c r="E175" s="4"/>
      <c r="F175" s="4"/>
      <c r="G175" s="4"/>
      <c r="H175" s="4"/>
      <c r="I175" s="4"/>
      <c r="J175" s="4"/>
      <c r="K175" s="4"/>
      <c r="L175" s="4"/>
      <c r="M175" s="4"/>
      <c r="N175" s="4"/>
      <c r="O175" s="4"/>
      <c r="P175" s="50"/>
      <c r="Q175" s="4"/>
      <c r="R175" s="5"/>
    </row>
    <row r="176" spans="1:19" ht="15.6" x14ac:dyDescent="0.3">
      <c r="A176" s="6"/>
      <c r="B176" s="119" t="s">
        <v>72</v>
      </c>
      <c r="C176" s="8"/>
      <c r="D176" s="8"/>
      <c r="E176" s="8"/>
      <c r="F176" s="8"/>
      <c r="G176" s="8"/>
      <c r="H176" s="8"/>
      <c r="I176" s="8"/>
      <c r="J176" s="8"/>
      <c r="K176" s="8"/>
      <c r="L176" s="8"/>
      <c r="M176" s="8"/>
      <c r="N176" s="8"/>
      <c r="O176" s="8"/>
      <c r="P176" s="65"/>
      <c r="Q176" s="8"/>
      <c r="R176" s="5"/>
    </row>
    <row r="177" spans="1:18" ht="15.6" x14ac:dyDescent="0.3">
      <c r="A177" s="24"/>
      <c r="B177" s="25" t="s">
        <v>73</v>
      </c>
      <c r="C177" s="25"/>
      <c r="D177" s="25"/>
      <c r="E177" s="25"/>
      <c r="F177" s="25"/>
      <c r="G177" s="25"/>
      <c r="H177" s="25"/>
      <c r="I177" s="25"/>
      <c r="J177" s="25"/>
      <c r="K177" s="25"/>
      <c r="L177" s="25"/>
      <c r="M177" s="25"/>
      <c r="N177" s="25"/>
      <c r="O177" s="25"/>
      <c r="P177" s="66">
        <f>(P103+P105+P106+P107+P108)/-(P109+P110+P111)</f>
        <v>2.1787234042553192</v>
      </c>
      <c r="Q177" s="25" t="s">
        <v>130</v>
      </c>
      <c r="R177" s="5"/>
    </row>
    <row r="178" spans="1:18" ht="15.6" x14ac:dyDescent="0.3">
      <c r="A178" s="24"/>
      <c r="B178" s="25" t="s">
        <v>74</v>
      </c>
      <c r="C178" s="25"/>
      <c r="D178" s="25"/>
      <c r="E178" s="25"/>
      <c r="F178" s="25"/>
      <c r="G178" s="25"/>
      <c r="H178" s="25"/>
      <c r="I178" s="25"/>
      <c r="J178" s="25"/>
      <c r="K178" s="25"/>
      <c r="L178" s="25"/>
      <c r="M178" s="25"/>
      <c r="N178" s="25"/>
      <c r="O178" s="25"/>
      <c r="P178" s="66">
        <v>1.42</v>
      </c>
      <c r="Q178" s="25" t="s">
        <v>130</v>
      </c>
      <c r="R178" s="5"/>
    </row>
    <row r="179" spans="1:18" ht="15.6" x14ac:dyDescent="0.3">
      <c r="A179" s="24"/>
      <c r="B179" s="25" t="s">
        <v>75</v>
      </c>
      <c r="C179" s="25"/>
      <c r="D179" s="25"/>
      <c r="E179" s="25"/>
      <c r="F179" s="25"/>
      <c r="G179" s="25"/>
      <c r="H179" s="25"/>
      <c r="I179" s="25"/>
      <c r="J179" s="25"/>
      <c r="K179" s="25"/>
      <c r="L179" s="25"/>
      <c r="M179" s="25"/>
      <c r="N179" s="25"/>
      <c r="O179" s="25"/>
      <c r="P179" s="59">
        <f>(P103+P105+P106+P107+P108+P109+P110+P111)/-(P112+P113)</f>
        <v>3.1417769376181472</v>
      </c>
      <c r="Q179" s="25" t="s">
        <v>130</v>
      </c>
      <c r="R179" s="5"/>
    </row>
    <row r="180" spans="1:18" ht="15.6" x14ac:dyDescent="0.3">
      <c r="A180" s="24"/>
      <c r="B180" s="25" t="s">
        <v>76</v>
      </c>
      <c r="C180" s="25"/>
      <c r="D180" s="25"/>
      <c r="E180" s="25"/>
      <c r="F180" s="25"/>
      <c r="G180" s="25"/>
      <c r="H180" s="25"/>
      <c r="I180" s="25"/>
      <c r="J180" s="25"/>
      <c r="K180" s="25"/>
      <c r="L180" s="25"/>
      <c r="M180" s="25"/>
      <c r="N180" s="25"/>
      <c r="O180" s="25"/>
      <c r="P180" s="66">
        <v>2.33</v>
      </c>
      <c r="Q180" s="25" t="s">
        <v>130</v>
      </c>
      <c r="R180" s="5"/>
    </row>
    <row r="181" spans="1:18" ht="15.6" x14ac:dyDescent="0.3">
      <c r="A181" s="24"/>
      <c r="B181" s="25"/>
      <c r="C181" s="25"/>
      <c r="D181" s="25"/>
      <c r="E181" s="25"/>
      <c r="F181" s="25"/>
      <c r="G181" s="25"/>
      <c r="H181" s="25"/>
      <c r="I181" s="25"/>
      <c r="J181" s="25"/>
      <c r="K181" s="25"/>
      <c r="L181" s="25"/>
      <c r="M181" s="25"/>
      <c r="N181" s="25"/>
      <c r="O181" s="25"/>
      <c r="P181" s="25"/>
      <c r="Q181" s="25"/>
      <c r="R181" s="5"/>
    </row>
    <row r="182" spans="1:18" ht="15.6" x14ac:dyDescent="0.3">
      <c r="A182" s="24"/>
      <c r="B182" s="25"/>
      <c r="C182" s="25"/>
      <c r="D182" s="25"/>
      <c r="E182" s="25"/>
      <c r="F182" s="25"/>
      <c r="G182" s="25"/>
      <c r="H182" s="25"/>
      <c r="I182" s="25"/>
      <c r="J182" s="25"/>
      <c r="K182" s="25"/>
      <c r="L182" s="25"/>
      <c r="M182" s="25"/>
      <c r="N182" s="25"/>
      <c r="O182" s="25"/>
      <c r="P182" s="25"/>
      <c r="Q182" s="25"/>
      <c r="R182" s="5"/>
    </row>
    <row r="183" spans="1:18" ht="15.6" x14ac:dyDescent="0.3">
      <c r="A183" s="6"/>
      <c r="B183" s="8"/>
      <c r="C183" s="8"/>
      <c r="D183" s="8"/>
      <c r="E183" s="8"/>
      <c r="F183" s="8"/>
      <c r="G183" s="8"/>
      <c r="H183" s="8"/>
      <c r="I183" s="8"/>
      <c r="J183" s="8"/>
      <c r="K183" s="8"/>
      <c r="L183" s="8"/>
      <c r="M183" s="8"/>
      <c r="N183" s="8"/>
      <c r="O183" s="8"/>
      <c r="P183" s="8"/>
      <c r="Q183" s="8"/>
      <c r="R183" s="5"/>
    </row>
    <row r="184" spans="1:18" ht="18" thickBot="1" x14ac:dyDescent="0.35">
      <c r="A184" s="101"/>
      <c r="B184" s="102" t="str">
        <f>B133</f>
        <v>PM7 INVESTOR REPORT QUARTER ENDING JULY 2009</v>
      </c>
      <c r="C184" s="143"/>
      <c r="D184" s="143"/>
      <c r="E184" s="143"/>
      <c r="F184" s="143"/>
      <c r="G184" s="143"/>
      <c r="H184" s="143"/>
      <c r="I184" s="143"/>
      <c r="J184" s="143"/>
      <c r="K184" s="143"/>
      <c r="L184" s="143"/>
      <c r="M184" s="143"/>
      <c r="N184" s="143"/>
      <c r="O184" s="143"/>
      <c r="P184" s="143"/>
      <c r="Q184" s="144"/>
      <c r="R184" s="5"/>
    </row>
    <row r="185" spans="1:18" ht="15.6" x14ac:dyDescent="0.3">
      <c r="A185" s="67"/>
      <c r="B185" s="60" t="s">
        <v>77</v>
      </c>
      <c r="C185" s="68"/>
      <c r="D185" s="68"/>
      <c r="E185" s="69"/>
      <c r="F185" s="69"/>
      <c r="G185" s="69"/>
      <c r="H185" s="69"/>
      <c r="I185" s="69"/>
      <c r="J185" s="69"/>
      <c r="K185" s="69"/>
      <c r="L185" s="69"/>
      <c r="M185" s="69"/>
      <c r="N185" s="70">
        <f>H90</f>
        <v>40025</v>
      </c>
      <c r="O185" s="4"/>
      <c r="P185" s="4"/>
      <c r="Q185" s="4"/>
      <c r="R185" s="5"/>
    </row>
    <row r="186" spans="1:18" ht="15.6" x14ac:dyDescent="0.3">
      <c r="A186" s="71"/>
      <c r="B186" s="72"/>
      <c r="C186" s="73"/>
      <c r="D186" s="73"/>
      <c r="E186" s="74"/>
      <c r="F186" s="74"/>
      <c r="G186" s="74"/>
      <c r="H186" s="74"/>
      <c r="I186" s="74"/>
      <c r="J186" s="74"/>
      <c r="K186" s="74"/>
      <c r="L186" s="74"/>
      <c r="M186" s="74"/>
      <c r="N186" s="74"/>
      <c r="O186" s="8"/>
      <c r="P186" s="8"/>
      <c r="Q186" s="8"/>
      <c r="R186" s="5"/>
    </row>
    <row r="187" spans="1:18" ht="15.6" x14ac:dyDescent="0.3">
      <c r="A187" s="75"/>
      <c r="B187" s="76" t="s">
        <v>78</v>
      </c>
      <c r="C187" s="77"/>
      <c r="D187" s="77"/>
      <c r="E187" s="64"/>
      <c r="F187" s="64"/>
      <c r="G187" s="64"/>
      <c r="H187" s="64"/>
      <c r="I187" s="64"/>
      <c r="J187" s="64"/>
      <c r="K187" s="64"/>
      <c r="L187" s="64"/>
      <c r="M187" s="64"/>
      <c r="N187" s="78">
        <v>5.8069999999999997E-2</v>
      </c>
      <c r="O187" s="25"/>
      <c r="P187" s="25"/>
      <c r="Q187" s="25"/>
      <c r="R187" s="5"/>
    </row>
    <row r="188" spans="1:18" ht="15.6" x14ac:dyDescent="0.3">
      <c r="A188" s="75"/>
      <c r="B188" s="76" t="s">
        <v>219</v>
      </c>
      <c r="C188" s="77"/>
      <c r="D188" s="77"/>
      <c r="E188" s="64"/>
      <c r="F188" s="64"/>
      <c r="G188" s="64"/>
      <c r="H188" s="64"/>
      <c r="I188" s="64"/>
      <c r="J188" s="64"/>
      <c r="K188" s="64"/>
      <c r="L188" s="64"/>
      <c r="M188" s="64"/>
      <c r="N188" s="39">
        <v>5.1499999999999997E-2</v>
      </c>
      <c r="O188" s="25"/>
      <c r="P188" s="25"/>
      <c r="Q188" s="25"/>
      <c r="R188" s="5"/>
    </row>
    <row r="189" spans="1:18" ht="15.6" x14ac:dyDescent="0.3">
      <c r="A189" s="75"/>
      <c r="B189" s="76" t="s">
        <v>79</v>
      </c>
      <c r="C189" s="77"/>
      <c r="D189" s="77"/>
      <c r="E189" s="64"/>
      <c r="F189" s="64"/>
      <c r="G189" s="64"/>
      <c r="H189" s="64"/>
      <c r="I189" s="64"/>
      <c r="J189" s="64"/>
      <c r="K189" s="64"/>
      <c r="L189" s="64"/>
      <c r="M189" s="64"/>
      <c r="N189" s="78">
        <f>N187-N188</f>
        <v>6.5699999999999995E-3</v>
      </c>
      <c r="O189" s="25"/>
      <c r="P189" s="25"/>
      <c r="Q189" s="25"/>
      <c r="R189" s="5"/>
    </row>
    <row r="190" spans="1:18" ht="15.6" x14ac:dyDescent="0.3">
      <c r="A190" s="75"/>
      <c r="B190" s="76" t="s">
        <v>80</v>
      </c>
      <c r="C190" s="77"/>
      <c r="D190" s="77"/>
      <c r="E190" s="64"/>
      <c r="F190" s="64"/>
      <c r="G190" s="64"/>
      <c r="H190" s="64"/>
      <c r="I190" s="64"/>
      <c r="J190" s="64"/>
      <c r="K190" s="64"/>
      <c r="L190" s="64"/>
      <c r="M190" s="64"/>
      <c r="N190" s="78">
        <v>3.4880000000000001E-2</v>
      </c>
      <c r="O190" s="25"/>
      <c r="P190" s="25"/>
      <c r="Q190" s="25"/>
      <c r="R190" s="5"/>
    </row>
    <row r="191" spans="1:18" ht="15.6" x14ac:dyDescent="0.3">
      <c r="A191" s="75"/>
      <c r="B191" s="76" t="s">
        <v>241</v>
      </c>
      <c r="C191" s="77"/>
      <c r="D191" s="77"/>
      <c r="E191" s="64"/>
      <c r="F191" s="64"/>
      <c r="G191" s="64"/>
      <c r="H191" s="64"/>
      <c r="I191" s="64"/>
      <c r="J191" s="64"/>
      <c r="K191" s="64"/>
      <c r="L191" s="64"/>
      <c r="M191" s="64"/>
      <c r="N191" s="78">
        <f>+P45</f>
        <v>1.7671385084328185E-2</v>
      </c>
      <c r="O191" s="25"/>
      <c r="P191" s="25"/>
      <c r="Q191" s="25"/>
      <c r="R191" s="5"/>
    </row>
    <row r="192" spans="1:18" ht="15.6" x14ac:dyDescent="0.3">
      <c r="A192" s="75"/>
      <c r="B192" s="76" t="s">
        <v>81</v>
      </c>
      <c r="C192" s="77"/>
      <c r="D192" s="77"/>
      <c r="E192" s="64"/>
      <c r="F192" s="64"/>
      <c r="G192" s="64"/>
      <c r="H192" s="64"/>
      <c r="I192" s="64"/>
      <c r="J192" s="64"/>
      <c r="K192" s="64"/>
      <c r="L192" s="64"/>
      <c r="M192" s="64"/>
      <c r="N192" s="78">
        <f>N190-N191</f>
        <v>1.7208614915671817E-2</v>
      </c>
      <c r="O192" s="25"/>
      <c r="P192" s="25"/>
      <c r="Q192" s="25"/>
      <c r="R192" s="5"/>
    </row>
    <row r="193" spans="1:18" ht="15.6" x14ac:dyDescent="0.3">
      <c r="A193" s="75"/>
      <c r="B193" s="76" t="s">
        <v>257</v>
      </c>
      <c r="C193" s="77"/>
      <c r="D193" s="77"/>
      <c r="E193" s="64"/>
      <c r="F193" s="64"/>
      <c r="G193" s="64"/>
      <c r="H193" s="64"/>
      <c r="I193" s="64"/>
      <c r="J193" s="64"/>
      <c r="K193" s="64"/>
      <c r="L193" s="64"/>
      <c r="M193" s="64"/>
      <c r="N193" s="78">
        <f>+P103/H73</f>
        <v>1.0691332107575512E-2</v>
      </c>
      <c r="O193" s="25"/>
      <c r="P193" s="25"/>
      <c r="Q193" s="25"/>
      <c r="R193" s="5"/>
    </row>
    <row r="194" spans="1:18" ht="15.6" x14ac:dyDescent="0.3">
      <c r="A194" s="75"/>
      <c r="B194" s="76" t="s">
        <v>170</v>
      </c>
      <c r="C194" s="77"/>
      <c r="D194" s="77"/>
      <c r="E194" s="64"/>
      <c r="F194" s="64"/>
      <c r="G194" s="64"/>
      <c r="H194" s="64"/>
      <c r="I194" s="64"/>
      <c r="J194" s="64"/>
      <c r="K194" s="64"/>
      <c r="L194" s="64"/>
      <c r="M194" s="64"/>
      <c r="N194" s="133">
        <v>49065</v>
      </c>
      <c r="O194" s="25"/>
      <c r="P194" s="25"/>
      <c r="Q194" s="25"/>
      <c r="R194" s="5"/>
    </row>
    <row r="195" spans="1:18" ht="15.6" x14ac:dyDescent="0.3">
      <c r="A195" s="75"/>
      <c r="B195" s="76" t="s">
        <v>171</v>
      </c>
      <c r="C195" s="77"/>
      <c r="D195" s="77"/>
      <c r="E195" s="64"/>
      <c r="F195" s="64"/>
      <c r="G195" s="64"/>
      <c r="H195" s="64"/>
      <c r="I195" s="64"/>
      <c r="J195" s="64"/>
      <c r="K195" s="64"/>
      <c r="L195" s="64"/>
      <c r="M195" s="64"/>
      <c r="N195" s="133">
        <v>49065</v>
      </c>
      <c r="O195" s="25"/>
      <c r="P195" s="25"/>
      <c r="Q195" s="25"/>
      <c r="R195" s="5"/>
    </row>
    <row r="196" spans="1:18" ht="15.6" x14ac:dyDescent="0.3">
      <c r="A196" s="75"/>
      <c r="B196" s="76" t="s">
        <v>172</v>
      </c>
      <c r="C196" s="77"/>
      <c r="D196" s="77"/>
      <c r="E196" s="64"/>
      <c r="F196" s="64"/>
      <c r="G196" s="64"/>
      <c r="H196" s="64"/>
      <c r="I196" s="64"/>
      <c r="J196" s="64"/>
      <c r="K196" s="64"/>
      <c r="L196" s="64"/>
      <c r="M196" s="64"/>
      <c r="N196" s="133">
        <v>49065</v>
      </c>
      <c r="O196" s="25"/>
      <c r="P196" s="25"/>
      <c r="Q196" s="25"/>
      <c r="R196" s="5"/>
    </row>
    <row r="197" spans="1:18" ht="15.6" x14ac:dyDescent="0.3">
      <c r="A197" s="75"/>
      <c r="B197" s="76" t="s">
        <v>138</v>
      </c>
      <c r="C197" s="77"/>
      <c r="D197" s="77"/>
      <c r="E197" s="64"/>
      <c r="F197" s="64"/>
      <c r="G197" s="64"/>
      <c r="H197" s="64"/>
      <c r="I197" s="64"/>
      <c r="J197" s="64"/>
      <c r="K197" s="64"/>
      <c r="L197" s="64"/>
      <c r="M197" s="64"/>
      <c r="N197" s="133">
        <v>52352</v>
      </c>
      <c r="O197" s="25"/>
      <c r="P197" s="25"/>
      <c r="Q197" s="25"/>
      <c r="R197" s="5"/>
    </row>
    <row r="198" spans="1:18" ht="15.6" x14ac:dyDescent="0.3">
      <c r="A198" s="75"/>
      <c r="B198" s="76" t="s">
        <v>139</v>
      </c>
      <c r="C198" s="77"/>
      <c r="D198" s="77"/>
      <c r="E198" s="64"/>
      <c r="F198" s="64"/>
      <c r="G198" s="64"/>
      <c r="H198" s="64"/>
      <c r="I198" s="64"/>
      <c r="J198" s="64"/>
      <c r="K198" s="64"/>
      <c r="L198" s="64"/>
      <c r="M198" s="64"/>
      <c r="N198" s="133">
        <v>52352</v>
      </c>
      <c r="O198" s="25"/>
      <c r="P198" s="25"/>
      <c r="Q198" s="25"/>
      <c r="R198" s="5"/>
    </row>
    <row r="199" spans="1:18" ht="15.6" x14ac:dyDescent="0.3">
      <c r="A199" s="75"/>
      <c r="B199" s="76" t="s">
        <v>82</v>
      </c>
      <c r="C199" s="77"/>
      <c r="D199" s="77"/>
      <c r="E199" s="64"/>
      <c r="F199" s="64"/>
      <c r="G199" s="64"/>
      <c r="H199" s="64"/>
      <c r="I199" s="64"/>
      <c r="J199" s="64"/>
      <c r="K199" s="64"/>
      <c r="L199" s="64"/>
      <c r="M199" s="64"/>
      <c r="N199" s="137">
        <v>20.45</v>
      </c>
      <c r="O199" s="25" t="s">
        <v>125</v>
      </c>
      <c r="P199" s="25"/>
      <c r="Q199" s="25"/>
      <c r="R199" s="5"/>
    </row>
    <row r="200" spans="1:18" ht="15.6" x14ac:dyDescent="0.3">
      <c r="A200" s="75"/>
      <c r="B200" s="76" t="s">
        <v>83</v>
      </c>
      <c r="C200" s="77"/>
      <c r="D200" s="77"/>
      <c r="E200" s="64"/>
      <c r="F200" s="64"/>
      <c r="G200" s="64"/>
      <c r="H200" s="64"/>
      <c r="I200" s="64"/>
      <c r="J200" s="64"/>
      <c r="K200" s="64"/>
      <c r="L200" s="64"/>
      <c r="M200" s="64"/>
      <c r="N200" s="137">
        <v>16.78</v>
      </c>
      <c r="O200" s="25" t="s">
        <v>125</v>
      </c>
      <c r="P200" s="25"/>
      <c r="Q200" s="25"/>
      <c r="R200" s="5"/>
    </row>
    <row r="201" spans="1:18" ht="15.6" x14ac:dyDescent="0.3">
      <c r="A201" s="75"/>
      <c r="B201" s="76" t="s">
        <v>84</v>
      </c>
      <c r="C201" s="77"/>
      <c r="D201" s="77"/>
      <c r="E201" s="64"/>
      <c r="F201" s="64"/>
      <c r="G201" s="64"/>
      <c r="H201" s="64"/>
      <c r="I201" s="64"/>
      <c r="J201" s="64"/>
      <c r="K201" s="64"/>
      <c r="L201" s="64"/>
      <c r="M201" s="64"/>
      <c r="N201" s="78">
        <f>J70/H70</f>
        <v>1.04987801126664E-2</v>
      </c>
      <c r="O201" s="25"/>
      <c r="P201" s="25"/>
      <c r="Q201" s="25"/>
      <c r="R201" s="5"/>
    </row>
    <row r="202" spans="1:18" ht="15.6" x14ac:dyDescent="0.3">
      <c r="A202" s="75"/>
      <c r="B202" s="76" t="s">
        <v>85</v>
      </c>
      <c r="C202" s="77"/>
      <c r="D202" s="77"/>
      <c r="E202" s="64"/>
      <c r="F202" s="64"/>
      <c r="G202" s="64"/>
      <c r="H202" s="64"/>
      <c r="I202" s="64"/>
      <c r="J202" s="64"/>
      <c r="K202" s="64"/>
      <c r="L202" s="64"/>
      <c r="M202" s="64"/>
      <c r="N202" s="78">
        <v>0.16189999999999999</v>
      </c>
      <c r="O202" s="25"/>
      <c r="P202" s="25"/>
      <c r="Q202" s="25"/>
      <c r="R202" s="5"/>
    </row>
    <row r="203" spans="1:18" ht="15.6" x14ac:dyDescent="0.3">
      <c r="A203" s="75"/>
      <c r="B203" s="76"/>
      <c r="C203" s="76"/>
      <c r="D203" s="76"/>
      <c r="E203" s="25"/>
      <c r="F203" s="25"/>
      <c r="G203" s="25"/>
      <c r="H203" s="25"/>
      <c r="I203" s="25"/>
      <c r="J203" s="25"/>
      <c r="K203" s="25"/>
      <c r="L203" s="25"/>
      <c r="M203" s="25"/>
      <c r="N203" s="61"/>
      <c r="O203" s="25"/>
      <c r="P203" s="79"/>
      <c r="Q203" s="25"/>
      <c r="R203" s="5"/>
    </row>
    <row r="204" spans="1:18" ht="15.6" x14ac:dyDescent="0.3">
      <c r="A204" s="80"/>
      <c r="B204" s="14" t="s">
        <v>86</v>
      </c>
      <c r="C204" s="81"/>
      <c r="D204" s="82"/>
      <c r="E204" s="81"/>
      <c r="F204" s="17"/>
      <c r="G204" s="17"/>
      <c r="H204" s="17"/>
      <c r="I204" s="17"/>
      <c r="J204" s="17"/>
      <c r="K204" s="17"/>
      <c r="L204" s="17"/>
      <c r="M204" s="17" t="s">
        <v>113</v>
      </c>
      <c r="N204" s="83" t="s">
        <v>121</v>
      </c>
      <c r="O204" s="8"/>
      <c r="P204" s="8"/>
      <c r="Q204" s="8"/>
      <c r="R204" s="5"/>
    </row>
    <row r="205" spans="1:18" ht="15.6" x14ac:dyDescent="0.3">
      <c r="A205" s="84"/>
      <c r="B205" s="76" t="s">
        <v>87</v>
      </c>
      <c r="C205" s="54"/>
      <c r="D205" s="25"/>
      <c r="E205" s="25"/>
      <c r="F205" s="30"/>
      <c r="G205" s="30"/>
      <c r="H205" s="30"/>
      <c r="I205" s="30"/>
      <c r="J205" s="30"/>
      <c r="K205" s="30"/>
      <c r="L205" s="30"/>
      <c r="M205" s="30">
        <v>0</v>
      </c>
      <c r="N205" s="85">
        <v>0</v>
      </c>
      <c r="O205" s="25"/>
      <c r="P205" s="79"/>
      <c r="Q205" s="86"/>
      <c r="R205" s="5"/>
    </row>
    <row r="206" spans="1:18" ht="15.6" x14ac:dyDescent="0.3">
      <c r="A206" s="84"/>
      <c r="B206" s="76" t="s">
        <v>203</v>
      </c>
      <c r="C206" s="54"/>
      <c r="D206" s="25"/>
      <c r="E206" s="25"/>
      <c r="F206" s="30"/>
      <c r="G206" s="30"/>
      <c r="H206" s="30"/>
      <c r="I206" s="30"/>
      <c r="J206" s="30"/>
      <c r="K206" s="30"/>
      <c r="L206" s="30"/>
      <c r="M206" s="151">
        <f>+L243</f>
        <v>108</v>
      </c>
      <c r="N206" s="85">
        <f>+N243</f>
        <v>16370</v>
      </c>
      <c r="O206" s="25"/>
      <c r="P206" s="79"/>
      <c r="Q206" s="86"/>
      <c r="R206" s="5"/>
    </row>
    <row r="207" spans="1:18" ht="15.6" x14ac:dyDescent="0.3">
      <c r="A207" s="84"/>
      <c r="B207" s="76" t="s">
        <v>88</v>
      </c>
      <c r="C207" s="54"/>
      <c r="D207" s="25"/>
      <c r="E207" s="25"/>
      <c r="F207" s="30"/>
      <c r="G207" s="30"/>
      <c r="H207" s="30"/>
      <c r="I207" s="30"/>
      <c r="J207" s="30"/>
      <c r="K207" s="30"/>
      <c r="L207" s="30"/>
      <c r="M207" s="151">
        <f>+L254</f>
        <v>0</v>
      </c>
      <c r="N207" s="85">
        <f>+N254</f>
        <v>0</v>
      </c>
      <c r="O207" s="25"/>
      <c r="P207" s="79"/>
      <c r="Q207" s="86"/>
      <c r="R207" s="5"/>
    </row>
    <row r="208" spans="1:18" ht="15.6" x14ac:dyDescent="0.3">
      <c r="A208" s="84"/>
      <c r="B208" s="122" t="s">
        <v>89</v>
      </c>
      <c r="C208" s="54"/>
      <c r="D208" s="25"/>
      <c r="E208" s="25"/>
      <c r="F208" s="25"/>
      <c r="G208" s="25"/>
      <c r="H208" s="25"/>
      <c r="I208" s="25"/>
      <c r="J208" s="25"/>
      <c r="K208" s="25"/>
      <c r="L208" s="25"/>
      <c r="M208" s="25"/>
      <c r="N208" s="85">
        <v>0</v>
      </c>
      <c r="O208" s="25"/>
      <c r="P208" s="79"/>
      <c r="Q208" s="86"/>
      <c r="R208" s="5"/>
    </row>
    <row r="209" spans="1:18" ht="15.6" x14ac:dyDescent="0.3">
      <c r="A209" s="84"/>
      <c r="B209" s="122" t="s">
        <v>90</v>
      </c>
      <c r="C209" s="54"/>
      <c r="D209" s="25"/>
      <c r="E209" s="25"/>
      <c r="F209" s="25"/>
      <c r="G209" s="25"/>
      <c r="H209" s="25"/>
      <c r="I209" s="25"/>
      <c r="J209" s="25"/>
      <c r="K209" s="25"/>
      <c r="L209" s="25"/>
      <c r="M209" s="25"/>
      <c r="N209" s="62" t="s">
        <v>122</v>
      </c>
      <c r="O209" s="25"/>
      <c r="P209" s="79"/>
      <c r="Q209" s="86"/>
      <c r="R209" s="5"/>
    </row>
    <row r="210" spans="1:18" ht="15.6" x14ac:dyDescent="0.3">
      <c r="A210" s="87"/>
      <c r="B210" s="122" t="s">
        <v>91</v>
      </c>
      <c r="C210" s="76"/>
      <c r="D210" s="76"/>
      <c r="E210" s="25"/>
      <c r="F210" s="25"/>
      <c r="G210" s="25"/>
      <c r="H210" s="25"/>
      <c r="I210" s="25"/>
      <c r="J210" s="167"/>
      <c r="K210" s="25"/>
      <c r="L210" s="25"/>
      <c r="M210" s="25"/>
      <c r="N210" s="85"/>
      <c r="O210" s="25"/>
      <c r="P210" s="79"/>
      <c r="Q210" s="88"/>
      <c r="R210" s="5"/>
    </row>
    <row r="211" spans="1:18" ht="15.6" x14ac:dyDescent="0.3">
      <c r="A211" s="87"/>
      <c r="B211" s="135" t="s">
        <v>92</v>
      </c>
      <c r="C211" s="76"/>
      <c r="D211" s="76"/>
      <c r="E211" s="25"/>
      <c r="F211" s="25"/>
      <c r="G211" s="25"/>
      <c r="H211" s="25"/>
      <c r="I211" s="25"/>
      <c r="J211" s="25"/>
      <c r="K211" s="25"/>
      <c r="L211" s="25"/>
      <c r="M211" s="25"/>
      <c r="N211" s="85">
        <f>P155</f>
        <v>211</v>
      </c>
      <c r="O211" s="25"/>
      <c r="P211" s="79"/>
      <c r="Q211" s="88"/>
      <c r="R211" s="5"/>
    </row>
    <row r="212" spans="1:18" ht="15.6" x14ac:dyDescent="0.3">
      <c r="A212" s="84"/>
      <c r="B212" s="76" t="s">
        <v>93</v>
      </c>
      <c r="C212" s="54"/>
      <c r="D212" s="54"/>
      <c r="E212" s="25"/>
      <c r="F212" s="25"/>
      <c r="G212" s="25"/>
      <c r="H212" s="25"/>
      <c r="I212" s="25"/>
      <c r="J212" s="25"/>
      <c r="K212" s="25"/>
      <c r="L212" s="25"/>
      <c r="M212" s="25"/>
      <c r="N212" s="85">
        <f>'April 09'!N212+'July 09'!N211</f>
        <v>1851</v>
      </c>
      <c r="O212" s="25"/>
      <c r="P212" s="79"/>
      <c r="Q212" s="88"/>
      <c r="R212" s="5"/>
    </row>
    <row r="213" spans="1:18" ht="15.6" x14ac:dyDescent="0.3">
      <c r="A213" s="87"/>
      <c r="B213" s="122" t="s">
        <v>278</v>
      </c>
      <c r="C213" s="76"/>
      <c r="D213" s="76"/>
      <c r="E213" s="25"/>
      <c r="F213" s="25"/>
      <c r="G213" s="25"/>
      <c r="H213" s="25"/>
      <c r="I213" s="25"/>
      <c r="J213" s="25"/>
      <c r="K213" s="25"/>
      <c r="L213" s="25"/>
      <c r="M213" s="25"/>
      <c r="N213" s="85"/>
      <c r="O213" s="25"/>
      <c r="P213" s="79"/>
      <c r="Q213" s="88"/>
      <c r="R213" s="5"/>
    </row>
    <row r="214" spans="1:18" ht="15.6" x14ac:dyDescent="0.3">
      <c r="A214" s="87"/>
      <c r="B214" s="76" t="s">
        <v>276</v>
      </c>
      <c r="C214" s="76"/>
      <c r="D214" s="76"/>
      <c r="E214" s="25"/>
      <c r="F214" s="25"/>
      <c r="G214" s="25"/>
      <c r="H214" s="25"/>
      <c r="I214" s="25"/>
      <c r="J214" s="25"/>
      <c r="K214" s="25"/>
      <c r="L214" s="25"/>
      <c r="M214" s="30">
        <v>1</v>
      </c>
      <c r="N214" s="85">
        <v>92</v>
      </c>
      <c r="O214" s="25"/>
      <c r="P214" s="79"/>
      <c r="Q214" s="88"/>
      <c r="R214" s="5"/>
    </row>
    <row r="215" spans="1:18" ht="15.6" x14ac:dyDescent="0.3">
      <c r="A215" s="84"/>
      <c r="B215" s="76" t="s">
        <v>95</v>
      </c>
      <c r="C215" s="89"/>
      <c r="D215" s="90"/>
      <c r="E215" s="25"/>
      <c r="F215" s="25"/>
      <c r="G215" s="25"/>
      <c r="H215" s="25"/>
      <c r="I215" s="25"/>
      <c r="J215" s="25"/>
      <c r="K215" s="25"/>
      <c r="L215" s="25"/>
      <c r="M215" s="25"/>
      <c r="N215" s="62">
        <v>66.400000000000006</v>
      </c>
      <c r="O215" s="25"/>
      <c r="P215" s="79"/>
      <c r="Q215" s="88"/>
      <c r="R215" s="5"/>
    </row>
    <row r="216" spans="1:18" ht="15.6" x14ac:dyDescent="0.3">
      <c r="A216" s="84"/>
      <c r="B216" s="76" t="s">
        <v>96</v>
      </c>
      <c r="C216" s="89"/>
      <c r="D216" s="90"/>
      <c r="E216" s="25"/>
      <c r="F216" s="25"/>
      <c r="G216" s="25"/>
      <c r="H216" s="25"/>
      <c r="I216" s="25"/>
      <c r="J216" s="25"/>
      <c r="K216" s="25"/>
      <c r="L216" s="25"/>
      <c r="M216" s="25"/>
      <c r="N216" s="62">
        <v>5.95</v>
      </c>
      <c r="O216" s="25"/>
      <c r="P216" s="79"/>
      <c r="Q216" s="88"/>
      <c r="R216" s="5"/>
    </row>
    <row r="217" spans="1:18" ht="15.6" x14ac:dyDescent="0.3">
      <c r="A217" s="84"/>
      <c r="B217" s="122" t="s">
        <v>251</v>
      </c>
      <c r="C217" s="89"/>
      <c r="D217" s="90"/>
      <c r="E217" s="25"/>
      <c r="F217" s="25"/>
      <c r="G217" s="25"/>
      <c r="H217" s="25"/>
      <c r="I217" s="25"/>
      <c r="J217" s="25"/>
      <c r="K217" s="25"/>
      <c r="L217" s="25"/>
      <c r="M217" s="25"/>
      <c r="N217" s="91"/>
      <c r="O217" s="25"/>
      <c r="P217" s="79"/>
      <c r="Q217" s="88"/>
      <c r="R217" s="5"/>
    </row>
    <row r="218" spans="1:18" ht="15.6" x14ac:dyDescent="0.3">
      <c r="A218" s="84"/>
      <c r="B218" s="76" t="s">
        <v>276</v>
      </c>
      <c r="C218" s="89"/>
      <c r="D218" s="90"/>
      <c r="E218" s="25"/>
      <c r="F218" s="25"/>
      <c r="G218" s="25"/>
      <c r="H218" s="25"/>
      <c r="I218" s="25"/>
      <c r="J218" s="25"/>
      <c r="K218" s="25"/>
      <c r="L218" s="25"/>
      <c r="M218" s="30">
        <v>5</v>
      </c>
      <c r="N218" s="85">
        <v>494</v>
      </c>
      <c r="O218" s="25"/>
      <c r="P218" s="79"/>
      <c r="Q218" s="88"/>
      <c r="R218" s="5"/>
    </row>
    <row r="219" spans="1:18" ht="15.6" x14ac:dyDescent="0.3">
      <c r="A219" s="84"/>
      <c r="B219" s="76" t="s">
        <v>252</v>
      </c>
      <c r="C219" s="89"/>
      <c r="D219" s="90"/>
      <c r="E219" s="25"/>
      <c r="F219" s="25"/>
      <c r="G219" s="25"/>
      <c r="H219" s="25"/>
      <c r="I219" s="25"/>
      <c r="J219" s="25"/>
      <c r="K219" s="25"/>
      <c r="L219" s="25"/>
      <c r="M219" s="25"/>
      <c r="N219" s="62">
        <v>10.8</v>
      </c>
      <c r="O219" s="25"/>
      <c r="P219" s="79"/>
      <c r="Q219" s="88"/>
      <c r="R219" s="5"/>
    </row>
    <row r="220" spans="1:18" ht="15.6" x14ac:dyDescent="0.3">
      <c r="A220" s="84"/>
      <c r="B220" s="76"/>
      <c r="C220" s="89"/>
      <c r="D220" s="90"/>
      <c r="E220" s="25"/>
      <c r="F220" s="25"/>
      <c r="G220" s="25"/>
      <c r="H220" s="25"/>
      <c r="I220" s="25"/>
      <c r="J220" s="25"/>
      <c r="K220" s="25"/>
      <c r="L220" s="25"/>
      <c r="M220" s="25"/>
      <c r="N220" s="91"/>
      <c r="O220" s="25"/>
      <c r="P220" s="79"/>
      <c r="Q220" s="88"/>
      <c r="R220" s="5"/>
    </row>
    <row r="221" spans="1:18" ht="17.399999999999999" x14ac:dyDescent="0.3">
      <c r="A221" s="84"/>
      <c r="B221" s="160" t="s">
        <v>244</v>
      </c>
      <c r="C221" s="161"/>
      <c r="D221" s="162"/>
      <c r="E221" s="163"/>
      <c r="F221" s="163"/>
      <c r="G221" s="163"/>
      <c r="H221" s="163"/>
      <c r="I221" s="166"/>
      <c r="J221" s="169" t="s">
        <v>243</v>
      </c>
      <c r="K221" s="163"/>
      <c r="L221" s="163"/>
      <c r="M221" s="25"/>
      <c r="N221" s="91"/>
      <c r="O221" s="25"/>
      <c r="P221" s="79"/>
      <c r="Q221" s="88"/>
      <c r="R221" s="5"/>
    </row>
    <row r="222" spans="1:18" ht="15.6" x14ac:dyDescent="0.3">
      <c r="A222" s="84"/>
      <c r="B222" s="156"/>
      <c r="C222" s="157"/>
      <c r="D222" s="158"/>
      <c r="E222" s="146"/>
      <c r="F222" s="146"/>
      <c r="G222" s="146"/>
      <c r="H222" s="146"/>
      <c r="I222" s="146"/>
      <c r="J222" s="146"/>
      <c r="K222" s="146"/>
      <c r="L222" s="146"/>
      <c r="M222" s="25"/>
      <c r="N222" s="91"/>
      <c r="O222" s="25"/>
      <c r="P222" s="79"/>
      <c r="Q222" s="88"/>
      <c r="R222" s="5"/>
    </row>
    <row r="223" spans="1:18" ht="15.6" x14ac:dyDescent="0.3">
      <c r="A223" s="6"/>
      <c r="B223" s="14" t="s">
        <v>236</v>
      </c>
      <c r="C223" s="81"/>
      <c r="D223" s="82"/>
      <c r="E223" s="81"/>
      <c r="F223" s="17"/>
      <c r="G223" s="17"/>
      <c r="H223" s="17"/>
      <c r="I223" s="17"/>
      <c r="J223" s="17"/>
      <c r="K223" s="17"/>
      <c r="L223" s="83" t="s">
        <v>113</v>
      </c>
      <c r="M223" s="17" t="s">
        <v>114</v>
      </c>
      <c r="N223" s="83" t="s">
        <v>123</v>
      </c>
      <c r="O223" s="17" t="s">
        <v>114</v>
      </c>
      <c r="P223" s="8"/>
      <c r="Q223" s="92"/>
      <c r="R223" s="5"/>
    </row>
    <row r="224" spans="1:18" ht="15.6" x14ac:dyDescent="0.3">
      <c r="A224" s="24"/>
      <c r="B224" s="54" t="s">
        <v>98</v>
      </c>
      <c r="C224" s="93"/>
      <c r="D224" s="25"/>
      <c r="E224" s="93"/>
      <c r="F224" s="93"/>
      <c r="G224" s="93"/>
      <c r="H224" s="93"/>
      <c r="I224" s="93"/>
      <c r="J224" s="93"/>
      <c r="K224" s="93"/>
      <c r="L224" s="54">
        <v>3622</v>
      </c>
      <c r="M224" s="94">
        <f t="shared" ref="M224:M231" si="1">L224/$L$232</f>
        <v>0.97654354273389055</v>
      </c>
      <c r="N224" s="53">
        <v>398270</v>
      </c>
      <c r="O224" s="136">
        <f t="shared" ref="O224:O231" si="2">N224/$N$232</f>
        <v>0.98164726064537755</v>
      </c>
      <c r="P224" s="79"/>
      <c r="Q224" s="88"/>
      <c r="R224" s="5"/>
    </row>
    <row r="225" spans="1:18" ht="15.6" x14ac:dyDescent="0.3">
      <c r="A225" s="24"/>
      <c r="B225" s="54" t="s">
        <v>99</v>
      </c>
      <c r="C225" s="93"/>
      <c r="D225" s="25"/>
      <c r="E225" s="94"/>
      <c r="F225" s="93"/>
      <c r="G225" s="93"/>
      <c r="H225" s="93"/>
      <c r="I225" s="93"/>
      <c r="J225" s="93"/>
      <c r="K225" s="93"/>
      <c r="L225" s="54">
        <v>66</v>
      </c>
      <c r="M225" s="94">
        <f t="shared" si="1"/>
        <v>1.7794553788083041E-2</v>
      </c>
      <c r="N225" s="53">
        <v>5640</v>
      </c>
      <c r="O225" s="136">
        <f t="shared" si="2"/>
        <v>1.3901349712606849E-2</v>
      </c>
      <c r="P225" s="79"/>
      <c r="Q225" s="88"/>
      <c r="R225" s="5"/>
    </row>
    <row r="226" spans="1:18" ht="15.6" x14ac:dyDescent="0.3">
      <c r="A226" s="24"/>
      <c r="B226" s="54" t="s">
        <v>100</v>
      </c>
      <c r="C226" s="93"/>
      <c r="D226" s="25"/>
      <c r="E226" s="94"/>
      <c r="F226" s="93"/>
      <c r="G226" s="93"/>
      <c r="H226" s="93"/>
      <c r="I226" s="93"/>
      <c r="J226" s="93"/>
      <c r="K226" s="93"/>
      <c r="L226" s="54">
        <v>12</v>
      </c>
      <c r="M226" s="94">
        <f t="shared" si="1"/>
        <v>3.2353734160150984E-3</v>
      </c>
      <c r="N226" s="53">
        <v>1273</v>
      </c>
      <c r="O226" s="136">
        <f t="shared" si="2"/>
        <v>3.1376627986078932E-3</v>
      </c>
      <c r="P226" s="79"/>
      <c r="Q226" s="88"/>
      <c r="R226" s="5"/>
    </row>
    <row r="227" spans="1:18" ht="15.6" x14ac:dyDescent="0.3">
      <c r="A227" s="24"/>
      <c r="B227" s="54" t="s">
        <v>227</v>
      </c>
      <c r="C227" s="93"/>
      <c r="D227" s="25"/>
      <c r="E227" s="94"/>
      <c r="F227" s="93"/>
      <c r="G227" s="93"/>
      <c r="H227" s="93"/>
      <c r="I227" s="93"/>
      <c r="J227" s="93"/>
      <c r="K227" s="93"/>
      <c r="L227" s="54">
        <v>3</v>
      </c>
      <c r="M227" s="94">
        <f t="shared" si="1"/>
        <v>8.088433540037746E-4</v>
      </c>
      <c r="N227" s="53">
        <v>253</v>
      </c>
      <c r="O227" s="136">
        <f t="shared" si="2"/>
        <v>6.235889144130377E-4</v>
      </c>
      <c r="P227" s="79"/>
      <c r="Q227" s="88"/>
      <c r="R227" s="5"/>
    </row>
    <row r="228" spans="1:18" ht="15.6" x14ac:dyDescent="0.3">
      <c r="A228" s="24"/>
      <c r="B228" s="54" t="s">
        <v>228</v>
      </c>
      <c r="C228" s="93"/>
      <c r="D228" s="25"/>
      <c r="E228" s="94"/>
      <c r="F228" s="93"/>
      <c r="G228" s="93"/>
      <c r="H228" s="93"/>
      <c r="I228" s="93"/>
      <c r="J228" s="93"/>
      <c r="K228" s="93"/>
      <c r="L228" s="54">
        <v>2</v>
      </c>
      <c r="M228" s="94">
        <f t="shared" si="1"/>
        <v>5.392289026691831E-4</v>
      </c>
      <c r="N228" s="53">
        <v>43</v>
      </c>
      <c r="O228" s="136">
        <f t="shared" si="2"/>
        <v>1.0598546766703803E-4</v>
      </c>
      <c r="P228" s="79"/>
      <c r="Q228" s="88"/>
      <c r="R228" s="5"/>
    </row>
    <row r="229" spans="1:18" ht="15.6" x14ac:dyDescent="0.3">
      <c r="A229" s="24"/>
      <c r="B229" s="54" t="s">
        <v>229</v>
      </c>
      <c r="C229" s="93"/>
      <c r="D229" s="25"/>
      <c r="E229" s="94"/>
      <c r="F229" s="93"/>
      <c r="G229" s="93"/>
      <c r="H229" s="93"/>
      <c r="I229" s="93"/>
      <c r="J229" s="93"/>
      <c r="K229" s="93"/>
      <c r="L229" s="54">
        <v>2</v>
      </c>
      <c r="M229" s="94">
        <f t="shared" si="1"/>
        <v>5.392289026691831E-4</v>
      </c>
      <c r="N229" s="53">
        <v>165</v>
      </c>
      <c r="O229" s="136">
        <f t="shared" si="2"/>
        <v>4.0668842244328542E-4</v>
      </c>
      <c r="P229" s="79"/>
      <c r="Q229" s="88"/>
      <c r="R229" s="5"/>
    </row>
    <row r="230" spans="1:18" ht="15.6" x14ac:dyDescent="0.3">
      <c r="A230" s="24"/>
      <c r="B230" s="54" t="s">
        <v>230</v>
      </c>
      <c r="C230" s="93"/>
      <c r="D230" s="25"/>
      <c r="E230" s="94"/>
      <c r="F230" s="93"/>
      <c r="G230" s="93"/>
      <c r="H230" s="93"/>
      <c r="I230" s="93"/>
      <c r="J230" s="93"/>
      <c r="K230" s="93"/>
      <c r="L230" s="54">
        <v>2</v>
      </c>
      <c r="M230" s="94">
        <f t="shared" si="1"/>
        <v>5.392289026691831E-4</v>
      </c>
      <c r="N230" s="53">
        <v>72</v>
      </c>
      <c r="O230" s="136">
        <f t="shared" si="2"/>
        <v>1.7746403888434275E-4</v>
      </c>
      <c r="P230" s="79"/>
      <c r="Q230" s="88"/>
      <c r="R230" s="5"/>
    </row>
    <row r="231" spans="1:18" ht="15.6" x14ac:dyDescent="0.3">
      <c r="A231" s="24"/>
      <c r="B231" s="54" t="s">
        <v>231</v>
      </c>
      <c r="C231" s="93"/>
      <c r="D231" s="25"/>
      <c r="E231" s="94"/>
      <c r="F231" s="93"/>
      <c r="G231" s="93"/>
      <c r="H231" s="93"/>
      <c r="I231" s="93"/>
      <c r="J231" s="93"/>
      <c r="K231" s="93"/>
      <c r="L231" s="54">
        <v>0</v>
      </c>
      <c r="M231" s="94">
        <f t="shared" si="1"/>
        <v>0</v>
      </c>
      <c r="N231" s="53">
        <v>0</v>
      </c>
      <c r="O231" s="136">
        <f t="shared" si="2"/>
        <v>0</v>
      </c>
      <c r="P231" s="79"/>
      <c r="Q231" s="88"/>
      <c r="R231" s="5"/>
    </row>
    <row r="232" spans="1:18" ht="15.6" x14ac:dyDescent="0.3">
      <c r="A232" s="24"/>
      <c r="B232" s="25" t="s">
        <v>129</v>
      </c>
      <c r="C232" s="25"/>
      <c r="D232" s="25"/>
      <c r="E232" s="25"/>
      <c r="F232" s="95"/>
      <c r="G232" s="95"/>
      <c r="H232" s="95"/>
      <c r="I232" s="95"/>
      <c r="J232" s="95"/>
      <c r="K232" s="95"/>
      <c r="L232" s="34">
        <f>SUM(L224:L231)</f>
        <v>3709</v>
      </c>
      <c r="M232" s="136">
        <f>SUM(M224:M231)</f>
        <v>1</v>
      </c>
      <c r="N232" s="53">
        <f>SUM(N224:N231)</f>
        <v>405716</v>
      </c>
      <c r="O232" s="136">
        <f>SUM(O224:O231)</f>
        <v>1</v>
      </c>
      <c r="P232" s="25"/>
      <c r="Q232" s="25"/>
      <c r="R232" s="5"/>
    </row>
    <row r="233" spans="1:18" ht="15.6" x14ac:dyDescent="0.3">
      <c r="A233" s="24"/>
      <c r="B233" s="25"/>
      <c r="C233" s="25"/>
      <c r="D233" s="25"/>
      <c r="E233" s="25"/>
      <c r="F233" s="95"/>
      <c r="G233" s="95"/>
      <c r="H233" s="95"/>
      <c r="I233" s="95"/>
      <c r="J233" s="95"/>
      <c r="K233" s="95"/>
      <c r="L233" s="34"/>
      <c r="M233" s="136"/>
      <c r="N233" s="53"/>
      <c r="O233" s="136"/>
      <c r="P233" s="25"/>
      <c r="Q233" s="25"/>
      <c r="R233" s="5"/>
    </row>
    <row r="234" spans="1:18" ht="15.6" x14ac:dyDescent="0.3">
      <c r="A234" s="148"/>
      <c r="B234" s="14" t="s">
        <v>238</v>
      </c>
      <c r="C234" s="81"/>
      <c r="D234" s="82"/>
      <c r="E234" s="81"/>
      <c r="F234" s="17"/>
      <c r="G234" s="17"/>
      <c r="H234" s="17"/>
      <c r="I234" s="17"/>
      <c r="J234" s="17"/>
      <c r="K234" s="17"/>
      <c r="L234" s="83" t="s">
        <v>113</v>
      </c>
      <c r="M234" s="17" t="s">
        <v>114</v>
      </c>
      <c r="N234" s="83" t="s">
        <v>123</v>
      </c>
      <c r="O234" s="17" t="s">
        <v>114</v>
      </c>
      <c r="P234" s="8"/>
      <c r="Q234" s="149"/>
      <c r="R234" s="5"/>
    </row>
    <row r="235" spans="1:18" ht="15.6" x14ac:dyDescent="0.3">
      <c r="A235" s="24"/>
      <c r="B235" s="54" t="s">
        <v>98</v>
      </c>
      <c r="C235" s="93"/>
      <c r="D235" s="25"/>
      <c r="E235" s="93"/>
      <c r="F235" s="93"/>
      <c r="G235" s="93"/>
      <c r="H235" s="93"/>
      <c r="I235" s="93"/>
      <c r="J235" s="93"/>
      <c r="K235" s="93"/>
      <c r="L235" s="54">
        <v>16</v>
      </c>
      <c r="M235" s="94">
        <f t="shared" ref="M235:M242" si="3">L235/$L$243</f>
        <v>0.14814814814814814</v>
      </c>
      <c r="N235" s="53">
        <v>2309</v>
      </c>
      <c r="O235" s="136">
        <f t="shared" ref="O235:O242" si="4">N235/$N$243</f>
        <v>0.14105070250458154</v>
      </c>
      <c r="P235" s="79"/>
      <c r="Q235" s="25"/>
      <c r="R235" s="5"/>
    </row>
    <row r="236" spans="1:18" ht="15.6" x14ac:dyDescent="0.3">
      <c r="A236" s="24"/>
      <c r="B236" s="54" t="s">
        <v>99</v>
      </c>
      <c r="C236" s="93"/>
      <c r="D236" s="25"/>
      <c r="E236" s="94"/>
      <c r="F236" s="93"/>
      <c r="G236" s="93"/>
      <c r="H236" s="93"/>
      <c r="I236" s="93"/>
      <c r="J236" s="93"/>
      <c r="K236" s="93"/>
      <c r="L236" s="54">
        <v>28</v>
      </c>
      <c r="M236" s="94">
        <f t="shared" si="3"/>
        <v>0.25925925925925924</v>
      </c>
      <c r="N236" s="53">
        <v>4621</v>
      </c>
      <c r="O236" s="136">
        <f t="shared" si="4"/>
        <v>0.2822846670739157</v>
      </c>
      <c r="P236" s="79"/>
      <c r="Q236" s="25"/>
      <c r="R236" s="5"/>
    </row>
    <row r="237" spans="1:18" ht="15.6" x14ac:dyDescent="0.3">
      <c r="A237" s="24"/>
      <c r="B237" s="54" t="s">
        <v>100</v>
      </c>
      <c r="C237" s="93"/>
      <c r="D237" s="25"/>
      <c r="E237" s="94"/>
      <c r="F237" s="93"/>
      <c r="G237" s="93"/>
      <c r="H237" s="93"/>
      <c r="I237" s="93"/>
      <c r="J237" s="93"/>
      <c r="K237" s="93"/>
      <c r="L237" s="54">
        <v>27</v>
      </c>
      <c r="M237" s="94">
        <f t="shared" si="3"/>
        <v>0.25</v>
      </c>
      <c r="N237" s="53">
        <v>2716</v>
      </c>
      <c r="O237" s="136">
        <f t="shared" si="4"/>
        <v>0.16591325595601711</v>
      </c>
      <c r="P237" s="79"/>
      <c r="Q237" s="25"/>
      <c r="R237" s="5"/>
    </row>
    <row r="238" spans="1:18" ht="15.6" x14ac:dyDescent="0.3">
      <c r="A238" s="24"/>
      <c r="B238" s="54" t="s">
        <v>227</v>
      </c>
      <c r="C238" s="93"/>
      <c r="D238" s="25"/>
      <c r="E238" s="94"/>
      <c r="F238" s="93"/>
      <c r="G238" s="93"/>
      <c r="H238" s="93"/>
      <c r="I238" s="93"/>
      <c r="J238" s="93"/>
      <c r="K238" s="93"/>
      <c r="L238" s="54">
        <v>4</v>
      </c>
      <c r="M238" s="94">
        <f t="shared" si="3"/>
        <v>3.7037037037037035E-2</v>
      </c>
      <c r="N238" s="53">
        <v>347</v>
      </c>
      <c r="O238" s="136">
        <f t="shared" si="4"/>
        <v>2.1197312156383628E-2</v>
      </c>
      <c r="P238" s="79"/>
      <c r="Q238" s="25"/>
      <c r="R238" s="5"/>
    </row>
    <row r="239" spans="1:18" ht="15.6" x14ac:dyDescent="0.3">
      <c r="A239" s="24"/>
      <c r="B239" s="54" t="s">
        <v>228</v>
      </c>
      <c r="C239" s="93"/>
      <c r="D239" s="25"/>
      <c r="E239" s="94"/>
      <c r="F239" s="93"/>
      <c r="G239" s="93"/>
      <c r="H239" s="93"/>
      <c r="I239" s="93"/>
      <c r="J239" s="93"/>
      <c r="K239" s="93"/>
      <c r="L239" s="54">
        <v>3</v>
      </c>
      <c r="M239" s="94">
        <f t="shared" si="3"/>
        <v>2.7777777777777776E-2</v>
      </c>
      <c r="N239" s="53">
        <v>499</v>
      </c>
      <c r="O239" s="136">
        <f t="shared" si="4"/>
        <v>3.0482590103848503E-2</v>
      </c>
      <c r="P239" s="79"/>
      <c r="Q239" s="25"/>
      <c r="R239" s="5"/>
    </row>
    <row r="240" spans="1:18" ht="15.6" x14ac:dyDescent="0.3">
      <c r="A240" s="24"/>
      <c r="B240" s="54" t="s">
        <v>229</v>
      </c>
      <c r="C240" s="93"/>
      <c r="D240" s="25"/>
      <c r="E240" s="94"/>
      <c r="F240" s="93"/>
      <c r="G240" s="93"/>
      <c r="H240" s="93"/>
      <c r="I240" s="93"/>
      <c r="J240" s="93"/>
      <c r="K240" s="93"/>
      <c r="L240" s="54">
        <v>5</v>
      </c>
      <c r="M240" s="94">
        <f t="shared" si="3"/>
        <v>4.6296296296296294E-2</v>
      </c>
      <c r="N240" s="53">
        <v>816</v>
      </c>
      <c r="O240" s="136">
        <f t="shared" si="4"/>
        <v>4.9847281612706171E-2</v>
      </c>
      <c r="P240" s="79"/>
      <c r="Q240" s="25"/>
      <c r="R240" s="5"/>
    </row>
    <row r="241" spans="1:18" ht="15.6" x14ac:dyDescent="0.3">
      <c r="A241" s="24"/>
      <c r="B241" s="54" t="s">
        <v>230</v>
      </c>
      <c r="C241" s="93"/>
      <c r="D241" s="25"/>
      <c r="E241" s="94"/>
      <c r="F241" s="93"/>
      <c r="G241" s="93"/>
      <c r="H241" s="93"/>
      <c r="I241" s="93"/>
      <c r="J241" s="93"/>
      <c r="K241" s="93"/>
      <c r="L241" s="54">
        <v>12</v>
      </c>
      <c r="M241" s="94">
        <f t="shared" si="3"/>
        <v>0.1111111111111111</v>
      </c>
      <c r="N241" s="53">
        <v>3276</v>
      </c>
      <c r="O241" s="136">
        <f t="shared" si="4"/>
        <v>0.20012217470983507</v>
      </c>
      <c r="P241" s="79"/>
      <c r="Q241" s="25"/>
      <c r="R241" s="5"/>
    </row>
    <row r="242" spans="1:18" ht="15.6" x14ac:dyDescent="0.3">
      <c r="A242" s="24"/>
      <c r="B242" s="54" t="s">
        <v>231</v>
      </c>
      <c r="C242" s="93"/>
      <c r="D242" s="25"/>
      <c r="E242" s="94"/>
      <c r="F242" s="93"/>
      <c r="G242" s="93"/>
      <c r="H242" s="93"/>
      <c r="I242" s="93"/>
      <c r="J242" s="93"/>
      <c r="K242" s="93"/>
      <c r="L242" s="54">
        <v>13</v>
      </c>
      <c r="M242" s="94">
        <f t="shared" si="3"/>
        <v>0.12037037037037036</v>
      </c>
      <c r="N242" s="53">
        <v>1786</v>
      </c>
      <c r="O242" s="136">
        <f t="shared" si="4"/>
        <v>0.10910201588271227</v>
      </c>
      <c r="P242" s="79"/>
      <c r="Q242" s="25"/>
      <c r="R242" s="5"/>
    </row>
    <row r="243" spans="1:18" ht="15.6" x14ac:dyDescent="0.3">
      <c r="A243" s="24"/>
      <c r="B243" s="25" t="s">
        <v>129</v>
      </c>
      <c r="C243" s="25"/>
      <c r="D243" s="25"/>
      <c r="E243" s="25"/>
      <c r="F243" s="95"/>
      <c r="G243" s="95"/>
      <c r="H243" s="95"/>
      <c r="I243" s="95"/>
      <c r="J243" s="95"/>
      <c r="K243" s="95"/>
      <c r="L243" s="34">
        <f>SUM(L235:L242)</f>
        <v>108</v>
      </c>
      <c r="M243" s="136">
        <f>SUM(M235:M242)</f>
        <v>0.99999999999999989</v>
      </c>
      <c r="N243" s="53">
        <f>SUM(N235:N242)</f>
        <v>16370</v>
      </c>
      <c r="O243" s="136">
        <f>SUM(O235:O242)</f>
        <v>1</v>
      </c>
      <c r="P243" s="25"/>
      <c r="Q243" s="25"/>
      <c r="R243" s="5"/>
    </row>
    <row r="244" spans="1:18" ht="15.6" x14ac:dyDescent="0.3">
      <c r="A244" s="24"/>
      <c r="B244" s="25"/>
      <c r="C244" s="25"/>
      <c r="D244" s="25"/>
      <c r="E244" s="25"/>
      <c r="F244" s="95"/>
      <c r="G244" s="95"/>
      <c r="H244" s="95"/>
      <c r="I244" s="95"/>
      <c r="J244" s="95"/>
      <c r="K244" s="95"/>
      <c r="L244" s="34"/>
      <c r="M244" s="136"/>
      <c r="N244" s="53"/>
      <c r="O244" s="136"/>
      <c r="P244" s="25"/>
      <c r="Q244" s="25"/>
      <c r="R244" s="5"/>
    </row>
    <row r="245" spans="1:18" ht="15.6" x14ac:dyDescent="0.3">
      <c r="A245" s="148"/>
      <c r="B245" s="14" t="s">
        <v>239</v>
      </c>
      <c r="C245" s="81"/>
      <c r="D245" s="82"/>
      <c r="E245" s="81"/>
      <c r="F245" s="17"/>
      <c r="G245" s="17"/>
      <c r="H245" s="17"/>
      <c r="I245" s="17"/>
      <c r="J245" s="17"/>
      <c r="K245" s="17"/>
      <c r="L245" s="83" t="s">
        <v>113</v>
      </c>
      <c r="M245" s="17" t="s">
        <v>114</v>
      </c>
      <c r="N245" s="83" t="s">
        <v>123</v>
      </c>
      <c r="O245" s="17" t="s">
        <v>114</v>
      </c>
      <c r="P245" s="150"/>
      <c r="Q245" s="149"/>
      <c r="R245" s="5"/>
    </row>
    <row r="246" spans="1:18" ht="15.6" x14ac:dyDescent="0.3">
      <c r="A246" s="24"/>
      <c r="B246" s="54" t="s">
        <v>98</v>
      </c>
      <c r="C246" s="93"/>
      <c r="D246" s="25"/>
      <c r="E246" s="93"/>
      <c r="F246" s="93"/>
      <c r="G246" s="93"/>
      <c r="H246" s="93"/>
      <c r="I246" s="93"/>
      <c r="J246" s="93"/>
      <c r="K246" s="93"/>
      <c r="L246" s="54">
        <v>0</v>
      </c>
      <c r="M246" s="136">
        <v>0</v>
      </c>
      <c r="N246" s="53">
        <v>0</v>
      </c>
      <c r="O246" s="136">
        <v>0</v>
      </c>
      <c r="P246" s="25"/>
      <c r="Q246" s="25"/>
      <c r="R246" s="5"/>
    </row>
    <row r="247" spans="1:18" ht="15.6" x14ac:dyDescent="0.3">
      <c r="A247" s="24"/>
      <c r="B247" s="54" t="s">
        <v>99</v>
      </c>
      <c r="C247" s="93"/>
      <c r="D247" s="25"/>
      <c r="E247" s="94"/>
      <c r="F247" s="93"/>
      <c r="G247" s="93"/>
      <c r="H247" s="93"/>
      <c r="I247" s="93"/>
      <c r="J247" s="93"/>
      <c r="K247" s="93"/>
      <c r="L247" s="54">
        <v>0</v>
      </c>
      <c r="M247" s="136">
        <v>0</v>
      </c>
      <c r="N247" s="53">
        <v>0</v>
      </c>
      <c r="O247" s="136">
        <v>0</v>
      </c>
      <c r="P247" s="25"/>
      <c r="Q247" s="25"/>
      <c r="R247" s="5"/>
    </row>
    <row r="248" spans="1:18" ht="15.6" x14ac:dyDescent="0.3">
      <c r="A248" s="24"/>
      <c r="B248" s="54" t="s">
        <v>100</v>
      </c>
      <c r="C248" s="93"/>
      <c r="D248" s="25"/>
      <c r="E248" s="94"/>
      <c r="F248" s="93"/>
      <c r="G248" s="93"/>
      <c r="H248" s="93"/>
      <c r="I248" s="93"/>
      <c r="J248" s="93"/>
      <c r="K248" s="93"/>
      <c r="L248" s="54">
        <v>0</v>
      </c>
      <c r="M248" s="136">
        <v>0</v>
      </c>
      <c r="N248" s="53">
        <v>0</v>
      </c>
      <c r="O248" s="136">
        <v>0</v>
      </c>
      <c r="P248" s="25"/>
      <c r="Q248" s="25"/>
      <c r="R248" s="5"/>
    </row>
    <row r="249" spans="1:18" ht="15.6" x14ac:dyDescent="0.3">
      <c r="A249" s="24"/>
      <c r="B249" s="54" t="s">
        <v>227</v>
      </c>
      <c r="C249" s="93"/>
      <c r="D249" s="25"/>
      <c r="E249" s="94"/>
      <c r="F249" s="93"/>
      <c r="G249" s="93"/>
      <c r="H249" s="93"/>
      <c r="I249" s="93"/>
      <c r="J249" s="93"/>
      <c r="K249" s="93"/>
      <c r="L249" s="54">
        <v>0</v>
      </c>
      <c r="M249" s="136">
        <v>0</v>
      </c>
      <c r="N249" s="53">
        <v>0</v>
      </c>
      <c r="O249" s="136">
        <v>0</v>
      </c>
      <c r="P249" s="25"/>
      <c r="Q249" s="25"/>
      <c r="R249" s="5"/>
    </row>
    <row r="250" spans="1:18" ht="15.6" x14ac:dyDescent="0.3">
      <c r="A250" s="24"/>
      <c r="B250" s="54" t="s">
        <v>228</v>
      </c>
      <c r="C250" s="93"/>
      <c r="D250" s="25"/>
      <c r="E250" s="94"/>
      <c r="F250" s="93"/>
      <c r="G250" s="93"/>
      <c r="H250" s="93"/>
      <c r="I250" s="93"/>
      <c r="J250" s="93"/>
      <c r="K250" s="93"/>
      <c r="L250" s="54">
        <v>0</v>
      </c>
      <c r="M250" s="136">
        <v>0</v>
      </c>
      <c r="N250" s="53">
        <v>0</v>
      </c>
      <c r="O250" s="136">
        <v>0</v>
      </c>
      <c r="P250" s="25"/>
      <c r="Q250" s="25"/>
      <c r="R250" s="5"/>
    </row>
    <row r="251" spans="1:18" ht="15.6" x14ac:dyDescent="0.3">
      <c r="A251" s="24"/>
      <c r="B251" s="54" t="s">
        <v>229</v>
      </c>
      <c r="C251" s="93"/>
      <c r="D251" s="25"/>
      <c r="E251" s="94"/>
      <c r="F251" s="93"/>
      <c r="G251" s="93"/>
      <c r="H251" s="93"/>
      <c r="I251" s="93"/>
      <c r="J251" s="93"/>
      <c r="K251" s="93"/>
      <c r="L251" s="54">
        <v>0</v>
      </c>
      <c r="M251" s="136">
        <v>0</v>
      </c>
      <c r="N251" s="53">
        <v>0</v>
      </c>
      <c r="O251" s="136">
        <v>0</v>
      </c>
      <c r="P251" s="25"/>
      <c r="Q251" s="25"/>
      <c r="R251" s="5"/>
    </row>
    <row r="252" spans="1:18" ht="15.6" x14ac:dyDescent="0.3">
      <c r="A252" s="24"/>
      <c r="B252" s="54" t="s">
        <v>230</v>
      </c>
      <c r="C252" s="93"/>
      <c r="D252" s="25"/>
      <c r="E252" s="94"/>
      <c r="F252" s="93"/>
      <c r="G252" s="93"/>
      <c r="H252" s="93"/>
      <c r="I252" s="93"/>
      <c r="J252" s="93"/>
      <c r="K252" s="93"/>
      <c r="L252" s="54">
        <v>0</v>
      </c>
      <c r="M252" s="136">
        <v>0</v>
      </c>
      <c r="N252" s="53">
        <v>0</v>
      </c>
      <c r="O252" s="136">
        <v>0</v>
      </c>
      <c r="P252" s="25"/>
      <c r="Q252" s="25"/>
      <c r="R252" s="5"/>
    </row>
    <row r="253" spans="1:18" ht="15.6" x14ac:dyDescent="0.3">
      <c r="A253" s="24"/>
      <c r="B253" s="54" t="s">
        <v>231</v>
      </c>
      <c r="C253" s="93"/>
      <c r="D253" s="25"/>
      <c r="E253" s="94"/>
      <c r="F253" s="93"/>
      <c r="G253" s="93"/>
      <c r="H253" s="93"/>
      <c r="I253" s="93"/>
      <c r="J253" s="93"/>
      <c r="K253" s="93"/>
      <c r="L253" s="54">
        <v>0</v>
      </c>
      <c r="M253" s="136">
        <v>0</v>
      </c>
      <c r="N253" s="53">
        <v>0</v>
      </c>
      <c r="O253" s="136">
        <v>0</v>
      </c>
      <c r="P253" s="25"/>
      <c r="Q253" s="25"/>
      <c r="R253" s="5"/>
    </row>
    <row r="254" spans="1:18" ht="15.6" x14ac:dyDescent="0.3">
      <c r="A254" s="24"/>
      <c r="B254" s="25" t="s">
        <v>129</v>
      </c>
      <c r="C254" s="25"/>
      <c r="D254" s="25"/>
      <c r="E254" s="25"/>
      <c r="F254" s="95"/>
      <c r="G254" s="95"/>
      <c r="H254" s="95"/>
      <c r="I254" s="95"/>
      <c r="J254" s="95"/>
      <c r="K254" s="95"/>
      <c r="L254" s="34">
        <f>SUM(L246:L253)</f>
        <v>0</v>
      </c>
      <c r="M254" s="136">
        <v>0</v>
      </c>
      <c r="N254" s="53">
        <f>SUM(N246:N253)</f>
        <v>0</v>
      </c>
      <c r="O254" s="136">
        <v>0</v>
      </c>
      <c r="P254" s="25"/>
      <c r="Q254" s="25"/>
      <c r="R254" s="5"/>
    </row>
    <row r="255" spans="1:18" ht="15.6" x14ac:dyDescent="0.3">
      <c r="A255" s="24"/>
      <c r="B255" s="25"/>
      <c r="C255" s="25"/>
      <c r="D255" s="25"/>
      <c r="E255" s="25"/>
      <c r="F255" s="95"/>
      <c r="G255" s="95"/>
      <c r="H255" s="95"/>
      <c r="I255" s="95"/>
      <c r="J255" s="95"/>
      <c r="K255" s="95"/>
      <c r="L255" s="34"/>
      <c r="M255" s="136"/>
      <c r="N255" s="53"/>
      <c r="O255" s="136"/>
      <c r="P255" s="25"/>
      <c r="Q255" s="25"/>
      <c r="R255" s="5"/>
    </row>
    <row r="256" spans="1:18" ht="15.6" x14ac:dyDescent="0.3">
      <c r="A256" s="24"/>
      <c r="B256" s="152" t="s">
        <v>240</v>
      </c>
      <c r="C256" s="25"/>
      <c r="D256" s="25"/>
      <c r="E256" s="25"/>
      <c r="F256" s="95"/>
      <c r="G256" s="95"/>
      <c r="H256" s="95"/>
      <c r="I256" s="95"/>
      <c r="J256" s="95"/>
      <c r="K256" s="95"/>
      <c r="L256" s="173">
        <f>+L232+L243+L254</f>
        <v>3817</v>
      </c>
      <c r="M256" s="136"/>
      <c r="N256" s="175">
        <f>+N254+N243+N232</f>
        <v>422086</v>
      </c>
      <c r="O256" s="136"/>
      <c r="P256" s="25"/>
      <c r="Q256" s="25"/>
      <c r="R256" s="5"/>
    </row>
    <row r="257" spans="1:18" ht="15.6" x14ac:dyDescent="0.3">
      <c r="A257" s="24"/>
      <c r="B257" s="25"/>
      <c r="C257" s="25"/>
      <c r="D257" s="25"/>
      <c r="E257" s="25"/>
      <c r="F257" s="95"/>
      <c r="G257" s="95"/>
      <c r="H257" s="95"/>
      <c r="I257" s="95"/>
      <c r="J257" s="95"/>
      <c r="K257" s="95"/>
      <c r="L257" s="95"/>
      <c r="M257" s="95"/>
      <c r="N257" s="53"/>
      <c r="O257" s="95"/>
      <c r="P257" s="25"/>
      <c r="Q257" s="25"/>
      <c r="R257" s="5"/>
    </row>
    <row r="258" spans="1:18" ht="15.6" x14ac:dyDescent="0.3">
      <c r="A258" s="6"/>
      <c r="B258" s="8"/>
      <c r="C258" s="8"/>
      <c r="D258" s="8"/>
      <c r="E258" s="8"/>
      <c r="F258" s="96"/>
      <c r="G258" s="96"/>
      <c r="H258" s="96"/>
      <c r="I258" s="96"/>
      <c r="J258" s="96"/>
      <c r="K258" s="96"/>
      <c r="L258" s="96"/>
      <c r="M258" s="96"/>
      <c r="N258" s="97"/>
      <c r="O258" s="96"/>
      <c r="P258" s="8"/>
      <c r="Q258" s="8"/>
      <c r="R258" s="5"/>
    </row>
    <row r="259" spans="1:18" ht="15.6" x14ac:dyDescent="0.3">
      <c r="A259" s="145"/>
      <c r="B259" s="14" t="s">
        <v>102</v>
      </c>
      <c r="C259" s="15"/>
      <c r="D259" s="15"/>
      <c r="E259" s="15"/>
      <c r="F259" s="17" t="s">
        <v>108</v>
      </c>
      <c r="G259" s="15"/>
      <c r="H259" s="14" t="s">
        <v>110</v>
      </c>
      <c r="I259" s="140"/>
      <c r="J259" s="140"/>
      <c r="K259" s="140"/>
      <c r="L259" s="140"/>
      <c r="M259" s="140"/>
      <c r="N259" s="140"/>
      <c r="O259" s="140"/>
      <c r="P259" s="140"/>
      <c r="Q259" s="140"/>
      <c r="R259" s="5"/>
    </row>
    <row r="260" spans="1:18" ht="15.6" x14ac:dyDescent="0.3">
      <c r="A260" s="145"/>
      <c r="B260" s="140"/>
      <c r="C260" s="8"/>
      <c r="D260" s="8"/>
      <c r="E260" s="8"/>
      <c r="F260" s="8"/>
      <c r="G260" s="8"/>
      <c r="H260" s="8"/>
      <c r="I260" s="140"/>
      <c r="J260" s="140"/>
      <c r="K260" s="140"/>
      <c r="L260" s="140"/>
      <c r="M260" s="140"/>
      <c r="N260" s="140"/>
      <c r="O260" s="140"/>
      <c r="P260" s="140"/>
      <c r="Q260" s="140"/>
      <c r="R260" s="5"/>
    </row>
    <row r="261" spans="1:18" ht="15.6" x14ac:dyDescent="0.3">
      <c r="A261" s="145"/>
      <c r="B261" s="13" t="s">
        <v>103</v>
      </c>
      <c r="C261" s="13"/>
      <c r="D261" s="13"/>
      <c r="E261" s="13"/>
      <c r="F261" s="134" t="s">
        <v>212</v>
      </c>
      <c r="G261" s="13"/>
      <c r="H261" s="13" t="s">
        <v>222</v>
      </c>
      <c r="I261" s="140"/>
      <c r="J261" s="140"/>
      <c r="K261" s="140"/>
      <c r="L261" s="140"/>
      <c r="M261" s="140"/>
      <c r="N261" s="140"/>
      <c r="O261" s="140"/>
      <c r="P261" s="140"/>
      <c r="Q261" s="140"/>
      <c r="R261" s="5"/>
    </row>
    <row r="262" spans="1:18" ht="15.6" x14ac:dyDescent="0.3">
      <c r="A262" s="145"/>
      <c r="B262" s="13" t="s">
        <v>263</v>
      </c>
      <c r="C262" s="13"/>
      <c r="D262" s="13"/>
      <c r="E262" s="13"/>
      <c r="F262" s="134" t="s">
        <v>264</v>
      </c>
      <c r="G262" s="13"/>
      <c r="H262" s="13" t="s">
        <v>265</v>
      </c>
      <c r="I262" s="140"/>
      <c r="J262" s="140"/>
      <c r="K262" s="140"/>
      <c r="L262" s="140"/>
      <c r="M262" s="140"/>
      <c r="N262" s="140"/>
      <c r="O262" s="140"/>
      <c r="P262" s="140"/>
      <c r="Q262" s="140"/>
      <c r="R262" s="5"/>
    </row>
    <row r="263" spans="1:18" ht="15.6" x14ac:dyDescent="0.3">
      <c r="A263" s="145"/>
      <c r="B263" s="13" t="s">
        <v>104</v>
      </c>
      <c r="C263" s="13"/>
      <c r="D263" s="13"/>
      <c r="E263" s="13"/>
      <c r="F263" s="134" t="s">
        <v>211</v>
      </c>
      <c r="G263" s="13"/>
      <c r="H263" s="13" t="s">
        <v>223</v>
      </c>
      <c r="I263" s="140"/>
      <c r="J263" s="140"/>
      <c r="K263" s="140"/>
      <c r="L263" s="140"/>
      <c r="M263" s="140"/>
      <c r="N263" s="140"/>
      <c r="O263" s="140"/>
      <c r="P263" s="140"/>
      <c r="Q263" s="140"/>
      <c r="R263" s="5"/>
    </row>
    <row r="264" spans="1:18" ht="15.6" x14ac:dyDescent="0.3">
      <c r="A264" s="145"/>
      <c r="B264" s="13"/>
      <c r="C264" s="13"/>
      <c r="D264" s="13"/>
      <c r="E264" s="99"/>
      <c r="F264" s="140"/>
      <c r="G264" s="140"/>
      <c r="H264" s="140"/>
      <c r="I264" s="140"/>
      <c r="J264" s="140"/>
      <c r="K264" s="140"/>
      <c r="L264" s="140"/>
      <c r="M264" s="140"/>
      <c r="N264" s="140"/>
      <c r="O264" s="140"/>
      <c r="P264" s="140"/>
      <c r="Q264" s="140"/>
      <c r="R264" s="5"/>
    </row>
    <row r="265" spans="1:18" ht="15.6" x14ac:dyDescent="0.3">
      <c r="A265" s="145"/>
      <c r="B265" s="13"/>
      <c r="C265" s="13"/>
      <c r="D265" s="13"/>
      <c r="E265" s="99"/>
      <c r="F265" s="140"/>
      <c r="G265" s="140"/>
      <c r="H265" s="140"/>
      <c r="I265" s="140"/>
      <c r="J265" s="140"/>
      <c r="K265" s="140"/>
      <c r="L265" s="140"/>
      <c r="M265" s="140"/>
      <c r="N265" s="140"/>
      <c r="O265" s="140"/>
      <c r="P265" s="140"/>
      <c r="Q265" s="140"/>
      <c r="R265" s="5"/>
    </row>
    <row r="266" spans="1:18" ht="18" thickBot="1" x14ac:dyDescent="0.35">
      <c r="A266" s="145"/>
      <c r="B266" s="49" t="str">
        <f>B184</f>
        <v>PM7 INVESTOR REPORT QUARTER ENDING JULY 2009</v>
      </c>
      <c r="C266" s="13"/>
      <c r="D266" s="13"/>
      <c r="E266" s="99"/>
      <c r="F266" s="140"/>
      <c r="G266" s="140"/>
      <c r="H266" s="140"/>
      <c r="I266" s="140"/>
      <c r="J266" s="140"/>
      <c r="K266" s="140"/>
      <c r="L266" s="140"/>
      <c r="M266" s="140"/>
      <c r="N266" s="140"/>
      <c r="O266" s="140"/>
      <c r="P266" s="140"/>
      <c r="Q266" s="140"/>
      <c r="R266" s="5"/>
    </row>
    <row r="267" spans="1:18" x14ac:dyDescent="0.25">
      <c r="A267" s="100"/>
      <c r="B267" s="100"/>
      <c r="C267" s="100"/>
      <c r="D267" s="100"/>
      <c r="E267" s="100"/>
      <c r="F267" s="100"/>
      <c r="G267" s="100"/>
      <c r="H267" s="100"/>
      <c r="I267" s="100"/>
      <c r="J267" s="100"/>
      <c r="K267" s="100"/>
      <c r="L267" s="100"/>
      <c r="M267" s="100"/>
      <c r="N267" s="100"/>
      <c r="O267" s="100"/>
      <c r="P267" s="100"/>
      <c r="Q267" s="100"/>
    </row>
  </sheetData>
  <phoneticPr fontId="0" type="noConversion"/>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3" max="14" man="1"/>
    <brk id="184" max="14"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S26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0.95620000000000005</v>
      </c>
      <c r="N17" s="17" t="s">
        <v>173</v>
      </c>
      <c r="O17" s="138">
        <v>4.3799999999999999E-2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40140</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9"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9" ht="15.6" x14ac:dyDescent="0.3">
      <c r="A34" s="24"/>
      <c r="B34" s="25" t="s">
        <v>156</v>
      </c>
      <c r="C34" s="32"/>
      <c r="D34" s="130">
        <f>+D33*D40</f>
        <v>186355.845</v>
      </c>
      <c r="E34" s="31"/>
      <c r="F34" s="131">
        <f>+F33*F40</f>
        <v>91080.748000000007</v>
      </c>
      <c r="G34" s="31"/>
      <c r="H34" s="124">
        <f>+H33*H40</f>
        <v>207075.4</v>
      </c>
      <c r="I34" s="31"/>
      <c r="J34" s="130">
        <f>J33*J40</f>
        <v>79050.980250000008</v>
      </c>
      <c r="K34" s="31"/>
      <c r="L34" s="124">
        <f>L33*L40</f>
        <v>62282.583999999995</v>
      </c>
      <c r="M34" s="31"/>
      <c r="N34" s="31"/>
      <c r="O34" s="142"/>
      <c r="P34" s="31"/>
      <c r="Q34" s="34"/>
      <c r="R34" s="5"/>
    </row>
    <row r="35" spans="1:19" ht="15.6" x14ac:dyDescent="0.3">
      <c r="A35" s="28"/>
      <c r="B35" s="29" t="s">
        <v>158</v>
      </c>
      <c r="C35" s="36"/>
      <c r="D35" s="129">
        <f>+D33*D39</f>
        <v>185810.80500000002</v>
      </c>
      <c r="E35" s="35"/>
      <c r="F35" s="132">
        <f>+F33*F39</f>
        <v>90814.372000000003</v>
      </c>
      <c r="G35" s="35"/>
      <c r="H35" s="125">
        <f>+H33*H39</f>
        <v>206469.7</v>
      </c>
      <c r="I35" s="35"/>
      <c r="J35" s="129">
        <f>J33*J39</f>
        <v>76664.989499999996</v>
      </c>
      <c r="K35" s="35"/>
      <c r="L35" s="125">
        <f>L33*L39</f>
        <v>60402.712499999994</v>
      </c>
      <c r="M35" s="35"/>
      <c r="N35" s="35"/>
      <c r="O35" s="37"/>
      <c r="P35" s="35"/>
      <c r="Q35" s="34"/>
      <c r="R35" s="5"/>
    </row>
    <row r="36" spans="1:19"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9" ht="15.6" x14ac:dyDescent="0.3">
      <c r="A37" s="24"/>
      <c r="B37" s="25" t="s">
        <v>280</v>
      </c>
      <c r="C37" s="32"/>
      <c r="D37" s="31">
        <f>+D34/1.779</f>
        <v>104753.14502529512</v>
      </c>
      <c r="E37" s="31"/>
      <c r="F37" s="31">
        <f>+F34</f>
        <v>91080.748000000007</v>
      </c>
      <c r="G37" s="31"/>
      <c r="H37" s="31">
        <f>+H34/1.481481</f>
        <v>139775.94042718064</v>
      </c>
      <c r="I37" s="31"/>
      <c r="J37" s="31">
        <f>J36*J40</f>
        <v>44435.274643800003</v>
      </c>
      <c r="K37" s="31"/>
      <c r="L37" s="31">
        <f>L36*L40</f>
        <v>42040.744200000001</v>
      </c>
      <c r="M37" s="31"/>
      <c r="N37" s="31"/>
      <c r="O37" s="142"/>
      <c r="P37" s="31">
        <f>SUM(C37:L37)</f>
        <v>422085.85229627573</v>
      </c>
      <c r="Q37" s="34"/>
      <c r="R37" s="5"/>
      <c r="S37" s="154"/>
    </row>
    <row r="38" spans="1:19" ht="15.6" x14ac:dyDescent="0.3">
      <c r="A38" s="28"/>
      <c r="B38" s="29" t="s">
        <v>281</v>
      </c>
      <c r="C38" s="36"/>
      <c r="D38" s="35">
        <f>D35/1.779</f>
        <v>104446.77065767287</v>
      </c>
      <c r="E38" s="35"/>
      <c r="F38" s="35">
        <f>+F35</f>
        <v>90814.372000000003</v>
      </c>
      <c r="G38" s="35"/>
      <c r="H38" s="35">
        <f>H35/1.481481</f>
        <v>139367.09279430515</v>
      </c>
      <c r="I38" s="35"/>
      <c r="J38" s="35">
        <f>J36*J39</f>
        <v>43094.0875524</v>
      </c>
      <c r="K38" s="35"/>
      <c r="L38" s="35">
        <f>L36*L39</f>
        <v>40771.830937499995</v>
      </c>
      <c r="M38" s="35"/>
      <c r="N38" s="35"/>
      <c r="O38" s="37"/>
      <c r="P38" s="35">
        <f>SUM(D38:L38)</f>
        <v>418494.15394187806</v>
      </c>
      <c r="Q38" s="34"/>
      <c r="R38" s="5"/>
      <c r="S38" s="176"/>
    </row>
    <row r="39" spans="1:19" ht="15.6" x14ac:dyDescent="0.3">
      <c r="A39" s="28"/>
      <c r="B39" s="122" t="s">
        <v>154</v>
      </c>
      <c r="C39" s="126"/>
      <c r="D39" s="174">
        <v>0.41291290000000003</v>
      </c>
      <c r="E39" s="174"/>
      <c r="F39" s="174">
        <v>0.41279260000000001</v>
      </c>
      <c r="G39" s="174"/>
      <c r="H39" s="174">
        <v>0.41293940000000001</v>
      </c>
      <c r="I39" s="174"/>
      <c r="J39" s="174">
        <v>0.9292726</v>
      </c>
      <c r="K39" s="174"/>
      <c r="L39" s="174">
        <v>0.92927249999999995</v>
      </c>
      <c r="M39" s="31"/>
      <c r="N39" s="31"/>
      <c r="O39" s="142"/>
      <c r="P39" s="31"/>
      <c r="Q39" s="34"/>
      <c r="R39" s="5"/>
    </row>
    <row r="40" spans="1:19" ht="15.6" x14ac:dyDescent="0.3">
      <c r="A40" s="28"/>
      <c r="B40" s="122" t="s">
        <v>155</v>
      </c>
      <c r="C40" s="126"/>
      <c r="D40" s="174">
        <v>0.41412409999999999</v>
      </c>
      <c r="E40" s="174"/>
      <c r="F40" s="174">
        <v>0.41400340000000002</v>
      </c>
      <c r="G40" s="174"/>
      <c r="H40" s="174">
        <v>0.41415079999999999</v>
      </c>
      <c r="I40" s="174"/>
      <c r="J40" s="174">
        <v>0.95819370000000004</v>
      </c>
      <c r="K40" s="174"/>
      <c r="L40" s="174">
        <v>0.95819359999999998</v>
      </c>
      <c r="M40" s="128"/>
      <c r="N40" s="128"/>
      <c r="O40" s="142"/>
      <c r="P40" s="31"/>
      <c r="Q40" s="34"/>
      <c r="R40" s="5"/>
    </row>
    <row r="41" spans="1:19"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9" ht="15.6" x14ac:dyDescent="0.3">
      <c r="A42" s="24"/>
      <c r="B42" s="25" t="s">
        <v>13</v>
      </c>
      <c r="C42" s="25"/>
      <c r="D42" s="38">
        <v>6.4999999999999997E-3</v>
      </c>
      <c r="E42" s="39"/>
      <c r="F42" s="38">
        <v>9.6749999999999996E-3</v>
      </c>
      <c r="G42" s="39"/>
      <c r="H42" s="38">
        <v>1.0829999999999999E-2</v>
      </c>
      <c r="I42" s="39"/>
      <c r="J42" s="38">
        <v>1.1900000000000001E-2</v>
      </c>
      <c r="K42" s="39"/>
      <c r="L42" s="38">
        <v>1.6230000000000001E-2</v>
      </c>
      <c r="M42" s="39"/>
      <c r="N42" s="38"/>
      <c r="O42" s="141"/>
      <c r="P42" s="39"/>
      <c r="Q42" s="25"/>
      <c r="R42" s="5"/>
    </row>
    <row r="43" spans="1:19" ht="15.6" x14ac:dyDescent="0.3">
      <c r="A43" s="24"/>
      <c r="B43" s="25" t="s">
        <v>14</v>
      </c>
      <c r="C43" s="25"/>
      <c r="D43" s="38">
        <v>1.09313E-2</v>
      </c>
      <c r="E43" s="39"/>
      <c r="F43" s="38">
        <v>1.56688E-2</v>
      </c>
      <c r="G43" s="39"/>
      <c r="H43" s="38">
        <v>1.491E-2</v>
      </c>
      <c r="I43" s="39"/>
      <c r="J43" s="38">
        <v>1.63313E-2</v>
      </c>
      <c r="K43" s="39"/>
      <c r="L43" s="38">
        <v>2.0310000000000002E-2</v>
      </c>
      <c r="M43" s="39"/>
      <c r="N43" s="38"/>
      <c r="O43" s="141"/>
      <c r="P43" s="141"/>
      <c r="Q43" s="25"/>
      <c r="R43" s="5"/>
    </row>
    <row r="44" spans="1:19"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9" ht="15.6" x14ac:dyDescent="0.3">
      <c r="A45" s="24"/>
      <c r="B45" s="25" t="s">
        <v>285</v>
      </c>
      <c r="C45" s="25"/>
      <c r="D45" s="38">
        <v>1.0619999999999999E-2</v>
      </c>
      <c r="E45" s="39"/>
      <c r="F45" s="38">
        <f>+F42</f>
        <v>9.6749999999999996E-3</v>
      </c>
      <c r="G45" s="39"/>
      <c r="H45" s="38">
        <v>1.0500000000000001E-2</v>
      </c>
      <c r="I45" s="39"/>
      <c r="J45" s="38">
        <v>1.6750000000000001E-2</v>
      </c>
      <c r="K45" s="39"/>
      <c r="L45" s="38">
        <v>1.6750000000000001E-2</v>
      </c>
      <c r="M45" s="39"/>
      <c r="N45" s="38"/>
      <c r="O45" s="141"/>
      <c r="P45" s="39">
        <f>SUMPRODUCT(D45:L45,D37:L37)/P37</f>
        <v>1.1632243299501376E-2</v>
      </c>
      <c r="Q45" s="25"/>
      <c r="R45" s="5"/>
    </row>
    <row r="46" spans="1:19" ht="15.6" x14ac:dyDescent="0.3">
      <c r="A46" s="24"/>
      <c r="B46" s="25" t="s">
        <v>283</v>
      </c>
      <c r="C46" s="25"/>
      <c r="D46" s="38">
        <v>1.6613800000000001E-2</v>
      </c>
      <c r="E46" s="39"/>
      <c r="F46" s="38">
        <f>+F43</f>
        <v>1.56688E-2</v>
      </c>
      <c r="G46" s="39"/>
      <c r="H46" s="38">
        <v>1.6493799999999999E-2</v>
      </c>
      <c r="I46" s="39"/>
      <c r="J46" s="38">
        <v>2.2743800000000002E-2</v>
      </c>
      <c r="K46" s="39"/>
      <c r="L46" s="38">
        <v>2.2743800000000002E-2</v>
      </c>
      <c r="M46" s="39"/>
      <c r="N46" s="38"/>
      <c r="O46" s="141"/>
      <c r="P46" s="141"/>
      <c r="Q46" s="25"/>
      <c r="R46" s="5"/>
    </row>
    <row r="47" spans="1:19"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9"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0.25062415422483214</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40133</v>
      </c>
      <c r="Q57" s="25"/>
      <c r="R57" s="5"/>
    </row>
    <row r="58" spans="1:18" ht="15.6" x14ac:dyDescent="0.3">
      <c r="A58" s="24"/>
      <c r="B58" s="25" t="s">
        <v>142</v>
      </c>
      <c r="C58" s="25"/>
      <c r="D58" s="25"/>
      <c r="E58" s="25"/>
      <c r="F58" s="58"/>
      <c r="G58" s="58"/>
      <c r="H58" s="58"/>
      <c r="I58" s="58"/>
      <c r="J58" s="58"/>
      <c r="K58" s="58"/>
      <c r="L58" s="25">
        <f>+P58-N58+1</f>
        <v>94</v>
      </c>
      <c r="M58" s="58"/>
      <c r="N58" s="45">
        <v>39948</v>
      </c>
      <c r="O58" s="46"/>
      <c r="P58" s="45">
        <v>40041</v>
      </c>
      <c r="Q58" s="25"/>
      <c r="R58" s="5"/>
    </row>
    <row r="59" spans="1:18" ht="15.6" x14ac:dyDescent="0.3">
      <c r="A59" s="24"/>
      <c r="B59" s="25" t="s">
        <v>143</v>
      </c>
      <c r="C59" s="25"/>
      <c r="D59" s="25"/>
      <c r="E59" s="25"/>
      <c r="F59" s="25"/>
      <c r="G59" s="25"/>
      <c r="H59" s="25"/>
      <c r="I59" s="25"/>
      <c r="J59" s="25"/>
      <c r="K59" s="25"/>
      <c r="L59" s="25">
        <f>+P59-N59+1</f>
        <v>91</v>
      </c>
      <c r="M59" s="25"/>
      <c r="N59" s="45">
        <v>40042</v>
      </c>
      <c r="O59" s="46"/>
      <c r="P59" s="45">
        <v>40132</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40119</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286</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422086</v>
      </c>
      <c r="I70" s="34"/>
      <c r="J70" s="34">
        <f>3592+460+34</f>
        <v>4086</v>
      </c>
      <c r="K70" s="34"/>
      <c r="L70" s="34">
        <f>460+34</f>
        <v>494</v>
      </c>
      <c r="M70" s="34"/>
      <c r="N70" s="34">
        <v>0</v>
      </c>
      <c r="O70" s="34"/>
      <c r="P70" s="53">
        <f>+H70-J70+L70-N70</f>
        <v>418494</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422086</v>
      </c>
      <c r="I73" s="34"/>
      <c r="J73" s="34">
        <f>SUM(J70:J72)</f>
        <v>4086</v>
      </c>
      <c r="K73" s="34"/>
      <c r="L73" s="34">
        <f>SUM(L70:L72)</f>
        <v>494</v>
      </c>
      <c r="M73" s="34"/>
      <c r="N73" s="34">
        <f>SUM(N70:N72)</f>
        <v>0</v>
      </c>
      <c r="O73" s="34"/>
      <c r="P73" s="54">
        <f>SUM(P70:P72)</f>
        <v>418494</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273</v>
      </c>
      <c r="C86" s="34"/>
      <c r="D86" s="34"/>
      <c r="E86" s="34"/>
      <c r="F86" s="34">
        <v>0</v>
      </c>
      <c r="G86" s="34"/>
      <c r="H86" s="53">
        <v>0</v>
      </c>
      <c r="I86" s="34"/>
      <c r="J86" s="34">
        <v>0</v>
      </c>
      <c r="K86" s="34"/>
      <c r="L86" s="34">
        <v>0</v>
      </c>
      <c r="M86" s="34"/>
      <c r="N86" s="34"/>
      <c r="O86" s="34"/>
      <c r="P86" s="54">
        <f>+N130</f>
        <v>0</v>
      </c>
      <c r="Q86" s="25"/>
      <c r="R86" s="5"/>
    </row>
    <row r="87" spans="1:18" ht="15.6" x14ac:dyDescent="0.3">
      <c r="A87" s="24"/>
      <c r="B87" s="25" t="s">
        <v>30</v>
      </c>
      <c r="C87" s="34"/>
      <c r="D87" s="54"/>
      <c r="E87" s="34"/>
      <c r="F87" s="54">
        <f>SUM(F73:F86)</f>
        <v>900700</v>
      </c>
      <c r="G87" s="54"/>
      <c r="H87" s="54">
        <f>SUM(H73:H86)</f>
        <v>422086</v>
      </c>
      <c r="I87" s="34"/>
      <c r="J87" s="54">
        <f>SUM(J73:J86)</f>
        <v>4086</v>
      </c>
      <c r="K87" s="34"/>
      <c r="L87" s="54">
        <f>SUM(L73:L86)</f>
        <v>494</v>
      </c>
      <c r="M87" s="34"/>
      <c r="N87" s="54"/>
      <c r="O87" s="34"/>
      <c r="P87" s="54">
        <f>SUM(P73:P86)</f>
        <v>418494</v>
      </c>
      <c r="Q87" s="25"/>
      <c r="R87" s="5"/>
    </row>
    <row r="88" spans="1:18" ht="15.6" x14ac:dyDescent="0.3">
      <c r="A88" s="24"/>
      <c r="B88" s="25"/>
      <c r="C88" s="34"/>
      <c r="D88" s="34"/>
      <c r="E88" s="34"/>
      <c r="F88" s="34"/>
      <c r="G88" s="34"/>
      <c r="H88" s="34"/>
      <c r="I88" s="34"/>
      <c r="J88" s="34"/>
      <c r="K88" s="34"/>
      <c r="L88" s="34"/>
      <c r="M88" s="34"/>
      <c r="N88" s="34"/>
      <c r="O88" s="34"/>
      <c r="P88" s="54"/>
      <c r="Q88" s="25"/>
      <c r="R88" s="5"/>
    </row>
    <row r="89" spans="1:18" ht="15.6" x14ac:dyDescent="0.3">
      <c r="A89" s="6"/>
      <c r="B89" s="8"/>
      <c r="C89" s="8"/>
      <c r="D89" s="8"/>
      <c r="E89" s="8"/>
      <c r="F89" s="8"/>
      <c r="G89" s="8"/>
      <c r="H89" s="8"/>
      <c r="I89" s="8"/>
      <c r="J89" s="8"/>
      <c r="K89" s="8"/>
      <c r="L89" s="8"/>
      <c r="M89" s="8"/>
      <c r="N89" s="8"/>
      <c r="O89" s="8"/>
      <c r="P89" s="8"/>
      <c r="Q89" s="8"/>
      <c r="R89" s="5"/>
    </row>
    <row r="90" spans="1:18" ht="15.6" x14ac:dyDescent="0.3">
      <c r="A90" s="6"/>
      <c r="B90" s="51" t="s">
        <v>31</v>
      </c>
      <c r="C90" s="14"/>
      <c r="D90" s="14"/>
      <c r="E90" s="14"/>
      <c r="F90" s="170" t="s">
        <v>106</v>
      </c>
      <c r="G90" s="17"/>
      <c r="H90" s="171">
        <v>40116</v>
      </c>
      <c r="I90" s="17"/>
      <c r="J90" s="17"/>
      <c r="K90" s="17"/>
      <c r="L90" s="17"/>
      <c r="M90" s="17"/>
      <c r="N90" s="17" t="s">
        <v>119</v>
      </c>
      <c r="O90" s="17"/>
      <c r="P90" s="17" t="s">
        <v>128</v>
      </c>
      <c r="Q90" s="8"/>
      <c r="R90" s="5"/>
    </row>
    <row r="91" spans="1:18" ht="15.6" x14ac:dyDescent="0.3">
      <c r="A91" s="24"/>
      <c r="B91" s="25" t="s">
        <v>32</v>
      </c>
      <c r="C91" s="25"/>
      <c r="D91" s="25"/>
      <c r="E91" s="25"/>
      <c r="F91" s="25"/>
      <c r="G91" s="25"/>
      <c r="H91" s="25"/>
      <c r="I91" s="25"/>
      <c r="J91" s="25"/>
      <c r="K91" s="25"/>
      <c r="L91" s="25"/>
      <c r="M91" s="25"/>
      <c r="N91" s="34">
        <v>0</v>
      </c>
      <c r="O91" s="25"/>
      <c r="P91" s="53">
        <v>0</v>
      </c>
      <c r="Q91" s="25"/>
      <c r="R91" s="5"/>
    </row>
    <row r="92" spans="1:18" ht="15.6" x14ac:dyDescent="0.3">
      <c r="A92" s="24"/>
      <c r="B92" s="25" t="s">
        <v>33</v>
      </c>
      <c r="C92" s="25"/>
      <c r="D92" s="25"/>
      <c r="E92" s="25"/>
      <c r="F92" s="40" t="s">
        <v>253</v>
      </c>
      <c r="G92" s="57"/>
      <c r="H92" s="127" t="s">
        <v>253</v>
      </c>
      <c r="I92" s="25"/>
      <c r="J92" s="25"/>
      <c r="K92" s="25"/>
      <c r="L92" s="25"/>
      <c r="M92" s="25"/>
      <c r="N92" s="34">
        <f>4086-327</f>
        <v>3759</v>
      </c>
      <c r="O92" s="25"/>
      <c r="P92" s="53"/>
      <c r="Q92" s="25"/>
      <c r="R92" s="5"/>
    </row>
    <row r="93" spans="1:18" ht="15.6" x14ac:dyDescent="0.3">
      <c r="A93" s="24"/>
      <c r="B93" s="25" t="s">
        <v>248</v>
      </c>
      <c r="C93" s="25"/>
      <c r="D93" s="25"/>
      <c r="E93" s="25"/>
      <c r="F93" s="40"/>
      <c r="G93" s="57"/>
      <c r="H93" s="127"/>
      <c r="I93" s="25"/>
      <c r="J93" s="25"/>
      <c r="K93" s="25"/>
      <c r="L93" s="25"/>
      <c r="M93" s="25"/>
      <c r="N93" s="34"/>
      <c r="O93" s="25"/>
      <c r="P93" s="53">
        <f>3951+181-685-35+53+5+7</f>
        <v>3477</v>
      </c>
      <c r="Q93" s="25"/>
      <c r="R93" s="5"/>
    </row>
    <row r="94" spans="1:18" ht="15.6" x14ac:dyDescent="0.3">
      <c r="A94" s="24"/>
      <c r="B94" s="25" t="s">
        <v>249</v>
      </c>
      <c r="C94" s="25"/>
      <c r="D94" s="25"/>
      <c r="E94" s="25"/>
      <c r="F94" s="40"/>
      <c r="G94" s="57"/>
      <c r="H94" s="127"/>
      <c r="I94" s="25"/>
      <c r="J94" s="25"/>
      <c r="K94" s="25"/>
      <c r="L94" s="25"/>
      <c r="M94" s="25"/>
      <c r="N94" s="34"/>
      <c r="O94" s="25"/>
      <c r="P94" s="53">
        <v>171</v>
      </c>
      <c r="Q94" s="25"/>
      <c r="R94" s="5"/>
    </row>
    <row r="95" spans="1:18" ht="15.6" x14ac:dyDescent="0.3">
      <c r="A95" s="24"/>
      <c r="B95" s="25" t="s">
        <v>250</v>
      </c>
      <c r="C95" s="25"/>
      <c r="D95" s="25"/>
      <c r="E95" s="25"/>
      <c r="F95" s="40"/>
      <c r="G95" s="57"/>
      <c r="H95" s="127"/>
      <c r="I95" s="25"/>
      <c r="J95" s="25"/>
      <c r="K95" s="25"/>
      <c r="L95" s="25"/>
      <c r="M95" s="25"/>
      <c r="N95" s="34"/>
      <c r="O95" s="25"/>
      <c r="P95" s="53">
        <v>67</v>
      </c>
      <c r="Q95" s="25"/>
      <c r="R95" s="5"/>
    </row>
    <row r="96" spans="1:18" ht="15.6" x14ac:dyDescent="0.3">
      <c r="A96" s="24"/>
      <c r="B96" s="25" t="s">
        <v>259</v>
      </c>
      <c r="C96" s="25"/>
      <c r="D96" s="25"/>
      <c r="E96" s="25"/>
      <c r="F96" s="40"/>
      <c r="G96" s="57"/>
      <c r="H96" s="127"/>
      <c r="I96" s="25"/>
      <c r="J96" s="25"/>
      <c r="K96" s="25"/>
      <c r="L96" s="25"/>
      <c r="M96" s="25"/>
      <c r="N96" s="34"/>
      <c r="O96" s="25"/>
      <c r="P96" s="53">
        <v>0</v>
      </c>
      <c r="Q96" s="25"/>
      <c r="R96" s="5"/>
    </row>
    <row r="97" spans="1:19" ht="15.6" x14ac:dyDescent="0.3">
      <c r="A97" s="24"/>
      <c r="B97" s="25" t="s">
        <v>160</v>
      </c>
      <c r="C97" s="25"/>
      <c r="D97" s="25"/>
      <c r="E97" s="25"/>
      <c r="F97" s="25"/>
      <c r="G97" s="25"/>
      <c r="H97" s="25"/>
      <c r="I97" s="25"/>
      <c r="J97" s="25"/>
      <c r="K97" s="25"/>
      <c r="L97" s="25"/>
      <c r="M97" s="25"/>
      <c r="N97" s="34"/>
      <c r="O97" s="25"/>
      <c r="P97" s="53">
        <v>0</v>
      </c>
      <c r="Q97" s="25"/>
      <c r="R97" s="5"/>
    </row>
    <row r="98" spans="1:19" ht="15.6" x14ac:dyDescent="0.3">
      <c r="A98" s="24"/>
      <c r="B98" s="25" t="s">
        <v>192</v>
      </c>
      <c r="C98" s="25"/>
      <c r="D98" s="25"/>
      <c r="E98" s="25"/>
      <c r="F98" s="25"/>
      <c r="G98" s="25"/>
      <c r="H98" s="25"/>
      <c r="I98" s="25"/>
      <c r="J98" s="25"/>
      <c r="K98" s="25"/>
      <c r="L98" s="25"/>
      <c r="M98" s="25"/>
      <c r="N98" s="34"/>
      <c r="O98" s="25"/>
      <c r="P98" s="53">
        <v>0</v>
      </c>
      <c r="Q98" s="25"/>
      <c r="R98" s="5"/>
    </row>
    <row r="99" spans="1:19" ht="15.6" x14ac:dyDescent="0.3">
      <c r="A99" s="24"/>
      <c r="B99" s="25" t="s">
        <v>35</v>
      </c>
      <c r="C99" s="25"/>
      <c r="D99" s="25"/>
      <c r="E99" s="25"/>
      <c r="F99" s="25"/>
      <c r="G99" s="25"/>
      <c r="H99" s="25"/>
      <c r="I99" s="25"/>
      <c r="J99" s="25"/>
      <c r="K99" s="25"/>
      <c r="L99" s="25"/>
      <c r="M99" s="25"/>
      <c r="N99" s="34">
        <f>SUM(N91:N98)</f>
        <v>3759</v>
      </c>
      <c r="O99" s="25"/>
      <c r="P99" s="54">
        <f>SUM(P91:P98)</f>
        <v>3715</v>
      </c>
      <c r="Q99" s="25"/>
      <c r="R99" s="5"/>
    </row>
    <row r="100" spans="1:19" ht="15.6" x14ac:dyDescent="0.3">
      <c r="A100" s="24"/>
      <c r="B100" s="25" t="s">
        <v>237</v>
      </c>
      <c r="C100" s="25"/>
      <c r="D100" s="25"/>
      <c r="E100" s="25"/>
      <c r="F100" s="25"/>
      <c r="G100" s="25"/>
      <c r="H100" s="25"/>
      <c r="I100" s="25"/>
      <c r="J100" s="25"/>
      <c r="K100" s="25"/>
      <c r="L100" s="25"/>
      <c r="M100" s="25"/>
      <c r="N100" s="34">
        <v>-3</v>
      </c>
      <c r="O100" s="25"/>
      <c r="P100" s="54">
        <f>-N100</f>
        <v>3</v>
      </c>
      <c r="Q100" s="25"/>
      <c r="R100" s="5"/>
    </row>
    <row r="101" spans="1:19" ht="15.6" x14ac:dyDescent="0.3">
      <c r="A101" s="24"/>
      <c r="B101" s="25" t="s">
        <v>36</v>
      </c>
      <c r="C101" s="25"/>
      <c r="D101" s="25"/>
      <c r="E101" s="25"/>
      <c r="F101" s="25"/>
      <c r="G101" s="25"/>
      <c r="H101" s="25"/>
      <c r="I101" s="25"/>
      <c r="J101" s="25"/>
      <c r="K101" s="25"/>
      <c r="L101" s="25"/>
      <c r="M101" s="25"/>
      <c r="N101" s="34">
        <f>-P101</f>
        <v>0</v>
      </c>
      <c r="O101" s="25"/>
      <c r="P101" s="53">
        <v>0</v>
      </c>
      <c r="Q101" s="25"/>
      <c r="R101" s="5"/>
    </row>
    <row r="102" spans="1:19" ht="15.6" x14ac:dyDescent="0.3">
      <c r="A102" s="24"/>
      <c r="B102" s="25" t="s">
        <v>268</v>
      </c>
      <c r="C102" s="25"/>
      <c r="D102" s="25"/>
      <c r="E102" s="25"/>
      <c r="F102" s="25"/>
      <c r="G102" s="25"/>
      <c r="H102" s="25"/>
      <c r="I102" s="25"/>
      <c r="J102" s="25"/>
      <c r="K102" s="25"/>
      <c r="L102" s="25"/>
      <c r="M102" s="25"/>
      <c r="N102" s="34"/>
      <c r="O102" s="25"/>
      <c r="P102" s="53">
        <v>-256</v>
      </c>
      <c r="Q102" s="25"/>
      <c r="R102" s="5"/>
    </row>
    <row r="103" spans="1:19" ht="15.6" x14ac:dyDescent="0.3">
      <c r="A103" s="24"/>
      <c r="B103" s="25" t="s">
        <v>37</v>
      </c>
      <c r="C103" s="25"/>
      <c r="D103" s="25"/>
      <c r="E103" s="25"/>
      <c r="F103" s="25"/>
      <c r="G103" s="25"/>
      <c r="H103" s="25"/>
      <c r="I103" s="25"/>
      <c r="J103" s="25"/>
      <c r="K103" s="25"/>
      <c r="L103" s="25"/>
      <c r="M103" s="25"/>
      <c r="N103" s="34">
        <f>N99+N101+N100</f>
        <v>3756</v>
      </c>
      <c r="O103" s="25"/>
      <c r="P103" s="54">
        <f>P99+P101+P100+P102</f>
        <v>3462</v>
      </c>
      <c r="Q103" s="25"/>
      <c r="R103" s="5"/>
      <c r="S103" s="154"/>
    </row>
    <row r="104" spans="1:19" ht="15.6" x14ac:dyDescent="0.3">
      <c r="A104" s="24"/>
      <c r="B104" s="118" t="s">
        <v>38</v>
      </c>
      <c r="C104" s="25"/>
      <c r="D104" s="25"/>
      <c r="E104" s="25"/>
      <c r="F104" s="25"/>
      <c r="G104" s="25"/>
      <c r="H104" s="25"/>
      <c r="I104" s="25"/>
      <c r="J104" s="25"/>
      <c r="K104" s="25"/>
      <c r="L104" s="25"/>
      <c r="M104" s="25"/>
      <c r="N104" s="34"/>
      <c r="O104" s="25"/>
      <c r="P104" s="53"/>
      <c r="Q104" s="25"/>
      <c r="R104" s="5"/>
    </row>
    <row r="105" spans="1:19" ht="15.6" x14ac:dyDescent="0.3">
      <c r="A105" s="24">
        <v>1</v>
      </c>
      <c r="B105" s="25" t="s">
        <v>39</v>
      </c>
      <c r="C105" s="25"/>
      <c r="D105" s="25"/>
      <c r="E105" s="25"/>
      <c r="F105" s="25"/>
      <c r="G105" s="25"/>
      <c r="H105" s="25"/>
      <c r="I105" s="25"/>
      <c r="J105" s="25"/>
      <c r="K105" s="25"/>
      <c r="L105" s="25"/>
      <c r="M105" s="25"/>
      <c r="N105" s="25"/>
      <c r="O105" s="25"/>
      <c r="P105" s="53">
        <v>0</v>
      </c>
      <c r="Q105" s="25"/>
      <c r="R105" s="5"/>
    </row>
    <row r="106" spans="1:19" ht="15.6" x14ac:dyDescent="0.3">
      <c r="A106" s="24">
        <f>+A105+1</f>
        <v>2</v>
      </c>
      <c r="B106" s="25" t="s">
        <v>40</v>
      </c>
      <c r="C106" s="25"/>
      <c r="D106" s="25"/>
      <c r="E106" s="25"/>
      <c r="F106" s="25"/>
      <c r="G106" s="25"/>
      <c r="H106" s="25"/>
      <c r="I106" s="25"/>
      <c r="J106" s="25"/>
      <c r="K106" s="25"/>
      <c r="L106" s="25"/>
      <c r="M106" s="25"/>
      <c r="N106" s="25"/>
      <c r="O106" s="25"/>
      <c r="P106" s="53">
        <v>-2</v>
      </c>
      <c r="Q106" s="25"/>
      <c r="R106" s="5"/>
    </row>
    <row r="107" spans="1:19" ht="15.6" x14ac:dyDescent="0.3">
      <c r="A107" s="24">
        <f>+A106+1</f>
        <v>3</v>
      </c>
      <c r="B107" s="25" t="s">
        <v>226</v>
      </c>
      <c r="C107" s="25"/>
      <c r="D107" s="25"/>
      <c r="E107" s="25"/>
      <c r="F107" s="25"/>
      <c r="G107" s="25"/>
      <c r="H107" s="25"/>
      <c r="I107" s="25"/>
      <c r="J107" s="25"/>
      <c r="K107" s="25"/>
      <c r="L107" s="25"/>
      <c r="M107" s="25"/>
      <c r="N107" s="25"/>
      <c r="O107" s="25"/>
      <c r="P107" s="53">
        <f>-106-124-5</f>
        <v>-235</v>
      </c>
      <c r="Q107" s="25"/>
      <c r="R107" s="5"/>
    </row>
    <row r="108" spans="1:19" ht="15.6" x14ac:dyDescent="0.3">
      <c r="A108" s="24" t="s">
        <v>151</v>
      </c>
      <c r="B108" s="25" t="s">
        <v>131</v>
      </c>
      <c r="C108" s="25"/>
      <c r="D108" s="25"/>
      <c r="E108" s="25"/>
      <c r="F108" s="25"/>
      <c r="G108" s="25"/>
      <c r="H108" s="25"/>
      <c r="I108" s="25"/>
      <c r="J108" s="25"/>
      <c r="K108" s="25"/>
      <c r="L108" s="25"/>
      <c r="M108" s="25"/>
      <c r="N108" s="25"/>
      <c r="O108" s="25"/>
      <c r="P108" s="53">
        <f>-970-13</f>
        <v>-983</v>
      </c>
      <c r="Q108" s="25"/>
      <c r="R108" s="5"/>
    </row>
    <row r="109" spans="1:19" ht="15.6" x14ac:dyDescent="0.3">
      <c r="A109" s="24" t="s">
        <v>152</v>
      </c>
      <c r="B109" s="25" t="s">
        <v>195</v>
      </c>
      <c r="C109" s="25"/>
      <c r="D109" s="25"/>
      <c r="E109" s="25"/>
      <c r="F109" s="25"/>
      <c r="G109" s="25"/>
      <c r="H109" s="25"/>
      <c r="I109" s="25"/>
      <c r="J109" s="25"/>
      <c r="K109" s="25"/>
      <c r="L109" s="25"/>
      <c r="M109" s="25"/>
      <c r="N109" s="25"/>
      <c r="O109" s="25"/>
      <c r="P109" s="53">
        <v>-277</v>
      </c>
      <c r="Q109" s="25"/>
      <c r="R109" s="5"/>
      <c r="S109" s="109"/>
    </row>
    <row r="110" spans="1:19" ht="15.6" x14ac:dyDescent="0.3">
      <c r="A110" s="24" t="s">
        <v>217</v>
      </c>
      <c r="B110" s="25" t="s">
        <v>196</v>
      </c>
      <c r="C110" s="25"/>
      <c r="D110" s="25"/>
      <c r="E110" s="25"/>
      <c r="F110" s="25"/>
      <c r="G110" s="25"/>
      <c r="H110" s="25"/>
      <c r="I110" s="25"/>
      <c r="J110" s="25"/>
      <c r="K110" s="25"/>
      <c r="L110" s="25"/>
      <c r="M110" s="25"/>
      <c r="N110" s="25"/>
      <c r="O110" s="25"/>
      <c r="P110" s="53">
        <v>-220</v>
      </c>
      <c r="Q110" s="25"/>
      <c r="R110" s="5"/>
      <c r="S110" s="109"/>
    </row>
    <row r="111" spans="1:19" ht="15.6" x14ac:dyDescent="0.3">
      <c r="A111" s="24" t="s">
        <v>218</v>
      </c>
      <c r="B111" s="25" t="s">
        <v>197</v>
      </c>
      <c r="C111" s="25"/>
      <c r="D111" s="25"/>
      <c r="E111" s="25"/>
      <c r="F111" s="25"/>
      <c r="G111" s="25"/>
      <c r="H111" s="25"/>
      <c r="I111" s="25"/>
      <c r="J111" s="25"/>
      <c r="K111" s="25"/>
      <c r="L111" s="25"/>
      <c r="M111" s="25"/>
      <c r="N111" s="25"/>
      <c r="O111" s="25"/>
      <c r="P111" s="53">
        <v>-366</v>
      </c>
      <c r="Q111" s="25"/>
      <c r="R111" s="5"/>
      <c r="S111" s="109"/>
    </row>
    <row r="112" spans="1:19" ht="15.6" x14ac:dyDescent="0.3">
      <c r="A112" s="24" t="s">
        <v>147</v>
      </c>
      <c r="B112" s="25" t="s">
        <v>146</v>
      </c>
      <c r="C112" s="25"/>
      <c r="D112" s="25"/>
      <c r="E112" s="25"/>
      <c r="F112" s="25"/>
      <c r="G112" s="25"/>
      <c r="H112" s="25"/>
      <c r="I112" s="25"/>
      <c r="J112" s="25"/>
      <c r="K112" s="25"/>
      <c r="L112" s="25"/>
      <c r="M112" s="25"/>
      <c r="N112" s="25"/>
      <c r="O112" s="25"/>
      <c r="P112" s="53">
        <v>-186</v>
      </c>
      <c r="Q112" s="25"/>
      <c r="R112" s="5"/>
      <c r="S112" s="109"/>
    </row>
    <row r="113" spans="1:19" ht="15.6" x14ac:dyDescent="0.3">
      <c r="A113" s="24" t="s">
        <v>148</v>
      </c>
      <c r="B113" s="25" t="s">
        <v>198</v>
      </c>
      <c r="C113" s="25"/>
      <c r="D113" s="25"/>
      <c r="E113" s="25"/>
      <c r="F113" s="25"/>
      <c r="G113" s="25"/>
      <c r="H113" s="25"/>
      <c r="I113" s="25"/>
      <c r="J113" s="25"/>
      <c r="K113" s="25"/>
      <c r="L113" s="25"/>
      <c r="M113" s="25"/>
      <c r="N113" s="25"/>
      <c r="O113" s="25"/>
      <c r="P113" s="53">
        <v>-175</v>
      </c>
      <c r="Q113" s="25"/>
      <c r="R113" s="5"/>
      <c r="S113" s="109"/>
    </row>
    <row r="114" spans="1:19" ht="15.6" x14ac:dyDescent="0.3">
      <c r="A114" s="24">
        <v>6</v>
      </c>
      <c r="B114" s="25" t="s">
        <v>41</v>
      </c>
      <c r="C114" s="25"/>
      <c r="D114" s="25"/>
      <c r="E114" s="25"/>
      <c r="F114" s="25"/>
      <c r="G114" s="25"/>
      <c r="H114" s="25"/>
      <c r="I114" s="25"/>
      <c r="J114" s="25"/>
      <c r="K114" s="25"/>
      <c r="L114" s="25"/>
      <c r="M114" s="25"/>
      <c r="N114" s="25"/>
      <c r="O114" s="25"/>
      <c r="P114" s="53">
        <v>-10</v>
      </c>
      <c r="Q114" s="25"/>
      <c r="R114" s="5"/>
    </row>
    <row r="115" spans="1:19" ht="15.6" x14ac:dyDescent="0.3">
      <c r="A115" s="24">
        <f t="shared" ref="A115:A120" si="0">+A114+1</f>
        <v>7</v>
      </c>
      <c r="B115" s="25" t="s">
        <v>53</v>
      </c>
      <c r="C115" s="25"/>
      <c r="D115" s="25"/>
      <c r="E115" s="25"/>
      <c r="F115" s="25"/>
      <c r="G115" s="25"/>
      <c r="H115" s="25"/>
      <c r="I115" s="25"/>
      <c r="J115" s="25"/>
      <c r="K115" s="25"/>
      <c r="L115" s="25"/>
      <c r="M115" s="25"/>
      <c r="N115" s="34">
        <f>-P115</f>
        <v>327</v>
      </c>
      <c r="O115" s="25"/>
      <c r="P115" s="53">
        <v>-327</v>
      </c>
      <c r="Q115" s="25"/>
      <c r="R115" s="5"/>
    </row>
    <row r="116" spans="1:19" ht="15.6" x14ac:dyDescent="0.3">
      <c r="A116" s="24">
        <f t="shared" si="0"/>
        <v>8</v>
      </c>
      <c r="B116" s="25" t="s">
        <v>149</v>
      </c>
      <c r="C116" s="25"/>
      <c r="D116" s="25"/>
      <c r="E116" s="25"/>
      <c r="F116" s="25"/>
      <c r="G116" s="25"/>
      <c r="H116" s="25"/>
      <c r="I116" s="25"/>
      <c r="J116" s="25"/>
      <c r="K116" s="25"/>
      <c r="L116" s="25"/>
      <c r="M116" s="25"/>
      <c r="N116" s="25"/>
      <c r="O116" s="25"/>
      <c r="P116" s="53">
        <v>0</v>
      </c>
      <c r="Q116" s="25"/>
      <c r="R116" s="5"/>
    </row>
    <row r="117" spans="1:19" ht="15.6" x14ac:dyDescent="0.3">
      <c r="A117" s="24">
        <f t="shared" si="0"/>
        <v>9</v>
      </c>
      <c r="B117" s="25" t="s">
        <v>42</v>
      </c>
      <c r="C117" s="25"/>
      <c r="D117" s="25"/>
      <c r="E117" s="25"/>
      <c r="F117" s="25"/>
      <c r="G117" s="25"/>
      <c r="H117" s="25"/>
      <c r="I117" s="25"/>
      <c r="J117" s="25"/>
      <c r="K117" s="25"/>
      <c r="L117" s="25"/>
      <c r="M117" s="25"/>
      <c r="N117" s="25"/>
      <c r="O117" s="25"/>
      <c r="P117" s="53">
        <v>0</v>
      </c>
      <c r="Q117" s="25"/>
      <c r="R117" s="5"/>
    </row>
    <row r="118" spans="1:19" ht="15.6" x14ac:dyDescent="0.3">
      <c r="A118" s="24">
        <f t="shared" si="0"/>
        <v>10</v>
      </c>
      <c r="B118" s="25" t="s">
        <v>43</v>
      </c>
      <c r="C118" s="25"/>
      <c r="D118" s="25"/>
      <c r="E118" s="25"/>
      <c r="F118" s="25"/>
      <c r="G118" s="25"/>
      <c r="H118" s="25"/>
      <c r="I118" s="25"/>
      <c r="J118" s="25"/>
      <c r="K118" s="25"/>
      <c r="L118" s="25"/>
      <c r="M118" s="25"/>
      <c r="N118" s="25"/>
      <c r="O118" s="25"/>
      <c r="P118" s="53">
        <v>0</v>
      </c>
      <c r="Q118" s="25"/>
      <c r="R118" s="5"/>
    </row>
    <row r="119" spans="1:19" ht="15.6" x14ac:dyDescent="0.3">
      <c r="A119" s="24">
        <f t="shared" si="0"/>
        <v>11</v>
      </c>
      <c r="B119" s="25" t="s">
        <v>215</v>
      </c>
      <c r="C119" s="25"/>
      <c r="D119" s="25"/>
      <c r="E119" s="25"/>
      <c r="F119" s="25"/>
      <c r="G119" s="25"/>
      <c r="H119" s="25"/>
      <c r="I119" s="25"/>
      <c r="J119" s="25"/>
      <c r="K119" s="25"/>
      <c r="L119" s="25"/>
      <c r="M119" s="25"/>
      <c r="N119" s="25"/>
      <c r="O119" s="25"/>
      <c r="P119" s="53">
        <v>-216</v>
      </c>
      <c r="Q119" s="25"/>
      <c r="R119" s="5"/>
    </row>
    <row r="120" spans="1:19" ht="15.6" x14ac:dyDescent="0.3">
      <c r="A120" s="24">
        <f t="shared" si="0"/>
        <v>12</v>
      </c>
      <c r="B120" s="25" t="s">
        <v>150</v>
      </c>
      <c r="C120" s="25"/>
      <c r="D120" s="25"/>
      <c r="E120" s="25"/>
      <c r="F120" s="25"/>
      <c r="G120" s="25"/>
      <c r="H120" s="25"/>
      <c r="I120" s="25"/>
      <c r="J120" s="25"/>
      <c r="K120" s="25"/>
      <c r="L120" s="25"/>
      <c r="M120" s="25"/>
      <c r="N120" s="25"/>
      <c r="O120" s="25"/>
      <c r="P120" s="53">
        <f>-P103-SUM(P105:P119)</f>
        <v>-465</v>
      </c>
      <c r="Q120" s="25"/>
      <c r="R120" s="5"/>
    </row>
    <row r="121" spans="1:19" ht="15.6" x14ac:dyDescent="0.3">
      <c r="A121" s="24"/>
      <c r="B121" s="118" t="s">
        <v>44</v>
      </c>
      <c r="C121" s="25"/>
      <c r="D121" s="25"/>
      <c r="E121" s="25"/>
      <c r="F121" s="25"/>
      <c r="G121" s="25"/>
      <c r="H121" s="25"/>
      <c r="I121" s="25"/>
      <c r="J121" s="25"/>
      <c r="K121" s="25"/>
      <c r="L121" s="25"/>
      <c r="M121" s="25"/>
      <c r="N121" s="25"/>
      <c r="O121" s="25"/>
      <c r="P121" s="59"/>
      <c r="Q121" s="25"/>
      <c r="R121" s="5"/>
    </row>
    <row r="122" spans="1:19" ht="15.6" x14ac:dyDescent="0.3">
      <c r="A122" s="24"/>
      <c r="B122" s="25" t="s">
        <v>45</v>
      </c>
      <c r="C122" s="25"/>
      <c r="D122" s="25"/>
      <c r="E122" s="25"/>
      <c r="F122" s="25"/>
      <c r="G122" s="25"/>
      <c r="H122" s="25"/>
      <c r="I122" s="25"/>
      <c r="J122" s="25"/>
      <c r="K122" s="25"/>
      <c r="L122" s="25"/>
      <c r="M122" s="25"/>
      <c r="N122" s="34">
        <v>-85</v>
      </c>
      <c r="O122" s="34"/>
      <c r="P122" s="53"/>
      <c r="Q122" s="25"/>
      <c r="R122" s="5"/>
    </row>
    <row r="123" spans="1:19" ht="15.6" x14ac:dyDescent="0.3">
      <c r="A123" s="24"/>
      <c r="B123" s="25" t="s">
        <v>46</v>
      </c>
      <c r="C123" s="25"/>
      <c r="D123" s="25"/>
      <c r="E123" s="25"/>
      <c r="F123" s="25"/>
      <c r="G123" s="25"/>
      <c r="H123" s="25"/>
      <c r="I123" s="25"/>
      <c r="J123" s="25"/>
      <c r="K123" s="25"/>
      <c r="L123" s="25"/>
      <c r="M123" s="25"/>
      <c r="N123" s="34">
        <f>-M172</f>
        <v>-406</v>
      </c>
      <c r="O123" s="34"/>
      <c r="P123" s="53"/>
      <c r="Q123" s="25"/>
      <c r="R123" s="5"/>
    </row>
    <row r="124" spans="1:19" ht="15.6" x14ac:dyDescent="0.3">
      <c r="A124" s="24"/>
      <c r="B124" s="25" t="s">
        <v>199</v>
      </c>
      <c r="C124" s="25"/>
      <c r="D124" s="25"/>
      <c r="E124" s="25"/>
      <c r="F124" s="25"/>
      <c r="G124" s="25"/>
      <c r="H124" s="25"/>
      <c r="I124" s="25"/>
      <c r="J124" s="25"/>
      <c r="K124" s="25"/>
      <c r="L124" s="25"/>
      <c r="M124" s="25"/>
      <c r="N124" s="34">
        <v>-307</v>
      </c>
      <c r="O124" s="34"/>
      <c r="P124" s="53"/>
      <c r="Q124" s="25"/>
      <c r="R124" s="5"/>
    </row>
    <row r="125" spans="1:19" ht="15.6" x14ac:dyDescent="0.3">
      <c r="A125" s="24"/>
      <c r="B125" s="25" t="s">
        <v>200</v>
      </c>
      <c r="C125" s="25"/>
      <c r="D125" s="25"/>
      <c r="E125" s="25"/>
      <c r="F125" s="25"/>
      <c r="G125" s="25"/>
      <c r="H125" s="25"/>
      <c r="I125" s="25"/>
      <c r="J125" s="25"/>
      <c r="K125" s="25"/>
      <c r="L125" s="25"/>
      <c r="M125" s="25"/>
      <c r="N125" s="34">
        <v>-266</v>
      </c>
      <c r="O125" s="34"/>
      <c r="P125" s="53"/>
      <c r="Q125" s="25"/>
      <c r="R125" s="5"/>
    </row>
    <row r="126" spans="1:19" ht="15.6" x14ac:dyDescent="0.3">
      <c r="A126" s="24"/>
      <c r="B126" s="25" t="s">
        <v>201</v>
      </c>
      <c r="C126" s="25"/>
      <c r="D126" s="25"/>
      <c r="E126" s="25"/>
      <c r="F126" s="25"/>
      <c r="G126" s="25"/>
      <c r="H126" s="25"/>
      <c r="I126" s="25"/>
      <c r="J126" s="25"/>
      <c r="K126" s="25"/>
      <c r="L126" s="25"/>
      <c r="M126" s="25"/>
      <c r="N126" s="34">
        <v>-409</v>
      </c>
      <c r="O126" s="34"/>
      <c r="P126" s="53"/>
      <c r="Q126" s="25"/>
      <c r="R126" s="5"/>
    </row>
    <row r="127" spans="1:19" ht="15.6" x14ac:dyDescent="0.3">
      <c r="A127" s="24"/>
      <c r="B127" s="25" t="s">
        <v>159</v>
      </c>
      <c r="C127" s="25"/>
      <c r="D127" s="25"/>
      <c r="E127" s="25"/>
      <c r="F127" s="25"/>
      <c r="G127" s="25"/>
      <c r="H127" s="25"/>
      <c r="I127" s="25"/>
      <c r="J127" s="25"/>
      <c r="K127" s="25"/>
      <c r="L127" s="25"/>
      <c r="M127" s="25"/>
      <c r="N127" s="34">
        <v>-1341</v>
      </c>
      <c r="O127" s="34"/>
      <c r="P127" s="53"/>
      <c r="Q127" s="25"/>
      <c r="R127" s="5"/>
    </row>
    <row r="128" spans="1:19" ht="15.6" x14ac:dyDescent="0.3">
      <c r="A128" s="24"/>
      <c r="B128" s="25" t="s">
        <v>214</v>
      </c>
      <c r="C128" s="25"/>
      <c r="D128" s="25"/>
      <c r="E128" s="25"/>
      <c r="F128" s="25"/>
      <c r="G128" s="25"/>
      <c r="H128" s="25"/>
      <c r="I128" s="25"/>
      <c r="J128" s="25"/>
      <c r="K128" s="25"/>
      <c r="L128" s="25"/>
      <c r="M128" s="25"/>
      <c r="N128" s="34">
        <v>-1269</v>
      </c>
      <c r="O128" s="34"/>
      <c r="P128" s="53"/>
      <c r="Q128" s="25"/>
      <c r="R128" s="5"/>
    </row>
    <row r="129" spans="1:19" ht="15.6" x14ac:dyDescent="0.3">
      <c r="A129" s="24"/>
      <c r="B129" s="25" t="s">
        <v>47</v>
      </c>
      <c r="C129" s="25"/>
      <c r="D129" s="25"/>
      <c r="E129" s="25"/>
      <c r="F129" s="25"/>
      <c r="G129" s="25"/>
      <c r="H129" s="25"/>
      <c r="I129" s="25"/>
      <c r="J129" s="25"/>
      <c r="K129" s="25"/>
      <c r="L129" s="25"/>
      <c r="M129" s="25"/>
      <c r="N129" s="34">
        <f>SUM(N122:N128)</f>
        <v>-4083</v>
      </c>
      <c r="O129" s="34"/>
      <c r="P129" s="34">
        <f>SUM(P104:P128)</f>
        <v>-3462</v>
      </c>
      <c r="Q129" s="25"/>
      <c r="R129" s="5"/>
    </row>
    <row r="130" spans="1:19" ht="15.6" x14ac:dyDescent="0.3">
      <c r="A130" s="24"/>
      <c r="B130" s="25" t="s">
        <v>48</v>
      </c>
      <c r="C130" s="25"/>
      <c r="D130" s="25"/>
      <c r="E130" s="25"/>
      <c r="F130" s="25"/>
      <c r="G130" s="25"/>
      <c r="H130" s="25"/>
      <c r="I130" s="25"/>
      <c r="J130" s="25"/>
      <c r="K130" s="25"/>
      <c r="L130" s="25"/>
      <c r="M130" s="25"/>
      <c r="N130" s="34">
        <f>N103+N129+N115</f>
        <v>0</v>
      </c>
      <c r="O130" s="34"/>
      <c r="P130" s="34">
        <f>P103+P129</f>
        <v>0</v>
      </c>
      <c r="Q130" s="25"/>
      <c r="R130" s="5"/>
    </row>
    <row r="131" spans="1:19" ht="15.6" x14ac:dyDescent="0.3">
      <c r="A131" s="24"/>
      <c r="B131" s="25"/>
      <c r="C131" s="25"/>
      <c r="D131" s="25"/>
      <c r="E131" s="25"/>
      <c r="F131" s="25"/>
      <c r="G131" s="25"/>
      <c r="H131" s="25"/>
      <c r="I131" s="25"/>
      <c r="J131" s="25"/>
      <c r="K131" s="25"/>
      <c r="L131" s="25"/>
      <c r="M131" s="25"/>
      <c r="N131" s="34"/>
      <c r="O131" s="34"/>
      <c r="P131" s="34"/>
      <c r="Q131" s="25"/>
      <c r="R131" s="5"/>
    </row>
    <row r="132" spans="1:19" ht="15.6" x14ac:dyDescent="0.3">
      <c r="A132" s="6"/>
      <c r="B132" s="146"/>
      <c r="C132" s="146"/>
      <c r="D132" s="146"/>
      <c r="E132" s="146"/>
      <c r="F132" s="146"/>
      <c r="G132" s="146"/>
      <c r="H132" s="146"/>
      <c r="I132" s="146"/>
      <c r="J132" s="146"/>
      <c r="K132" s="146"/>
      <c r="L132" s="146"/>
      <c r="M132" s="146"/>
      <c r="N132" s="147"/>
      <c r="O132" s="147"/>
      <c r="P132" s="147"/>
      <c r="Q132" s="146"/>
      <c r="R132" s="5"/>
    </row>
    <row r="133" spans="1:19" ht="18" thickBot="1" x14ac:dyDescent="0.35">
      <c r="A133" s="101"/>
      <c r="B133" s="102" t="str">
        <f>B65</f>
        <v>PM7 INVESTOR REPORT QUARTER ENDING OCTOBER 2009</v>
      </c>
      <c r="C133" s="103"/>
      <c r="D133" s="103"/>
      <c r="E133" s="103"/>
      <c r="F133" s="103"/>
      <c r="G133" s="103"/>
      <c r="H133" s="103"/>
      <c r="I133" s="103"/>
      <c r="J133" s="103"/>
      <c r="K133" s="103"/>
      <c r="L133" s="103"/>
      <c r="M133" s="103"/>
      <c r="N133" s="103"/>
      <c r="O133" s="103"/>
      <c r="P133" s="106"/>
      <c r="Q133" s="105"/>
      <c r="R133" s="5"/>
    </row>
    <row r="134" spans="1:19" ht="15.6" x14ac:dyDescent="0.3">
      <c r="A134" s="2"/>
      <c r="B134" s="60" t="s">
        <v>49</v>
      </c>
      <c r="C134" s="4"/>
      <c r="D134" s="4"/>
      <c r="E134" s="4"/>
      <c r="F134" s="4"/>
      <c r="G134" s="4"/>
      <c r="H134" s="4"/>
      <c r="I134" s="4"/>
      <c r="J134" s="4"/>
      <c r="K134" s="4"/>
      <c r="L134" s="4"/>
      <c r="M134" s="4"/>
      <c r="N134" s="4"/>
      <c r="O134" s="4"/>
      <c r="P134" s="50"/>
      <c r="Q134" s="4"/>
      <c r="R134" s="5"/>
    </row>
    <row r="135" spans="1:19" ht="15.6" x14ac:dyDescent="0.3">
      <c r="A135" s="6"/>
      <c r="B135" s="21"/>
      <c r="C135" s="8"/>
      <c r="D135" s="8"/>
      <c r="E135" s="8"/>
      <c r="F135" s="8"/>
      <c r="G135" s="8"/>
      <c r="H135" s="8"/>
      <c r="I135" s="8"/>
      <c r="J135" s="8"/>
      <c r="K135" s="8"/>
      <c r="L135" s="8"/>
      <c r="M135" s="8"/>
      <c r="N135" s="8"/>
      <c r="O135" s="8"/>
      <c r="P135" s="52"/>
      <c r="Q135" s="8"/>
      <c r="R135" s="5"/>
    </row>
    <row r="136" spans="1:19" ht="15.6" x14ac:dyDescent="0.3">
      <c r="A136" s="6"/>
      <c r="B136" s="119" t="s">
        <v>50</v>
      </c>
      <c r="C136" s="8"/>
      <c r="D136" s="8"/>
      <c r="E136" s="8"/>
      <c r="F136" s="8"/>
      <c r="G136" s="8"/>
      <c r="H136" s="8"/>
      <c r="I136" s="8"/>
      <c r="J136" s="8"/>
      <c r="K136" s="8"/>
      <c r="L136" s="8"/>
      <c r="M136" s="8"/>
      <c r="N136" s="8"/>
      <c r="O136" s="8"/>
      <c r="P136" s="52"/>
      <c r="Q136" s="8"/>
      <c r="R136" s="5"/>
    </row>
    <row r="137" spans="1:19" ht="15.6" x14ac:dyDescent="0.3">
      <c r="A137" s="24"/>
      <c r="B137" s="25" t="s">
        <v>51</v>
      </c>
      <c r="C137" s="25"/>
      <c r="D137" s="25"/>
      <c r="E137" s="25"/>
      <c r="F137" s="25"/>
      <c r="G137" s="25"/>
      <c r="H137" s="25"/>
      <c r="I137" s="25"/>
      <c r="J137" s="25"/>
      <c r="K137" s="25"/>
      <c r="L137" s="25"/>
      <c r="M137" s="25"/>
      <c r="N137" s="25"/>
      <c r="O137" s="25"/>
      <c r="P137" s="53">
        <f>+P36*0.022</f>
        <v>19815.399999999998</v>
      </c>
      <c r="Q137" s="25"/>
      <c r="R137" s="5"/>
    </row>
    <row r="138" spans="1:19" ht="15.6" x14ac:dyDescent="0.3">
      <c r="A138" s="24"/>
      <c r="B138" s="25" t="s">
        <v>52</v>
      </c>
      <c r="C138" s="25"/>
      <c r="D138" s="25"/>
      <c r="E138" s="25"/>
      <c r="F138" s="25"/>
      <c r="G138" s="25"/>
      <c r="H138" s="25"/>
      <c r="I138" s="25"/>
      <c r="J138" s="25"/>
      <c r="K138" s="25"/>
      <c r="L138" s="25"/>
      <c r="M138" s="25"/>
      <c r="N138" s="25"/>
      <c r="O138" s="25"/>
      <c r="P138" s="53">
        <v>19815</v>
      </c>
      <c r="Q138" s="25"/>
      <c r="R138" s="5"/>
    </row>
    <row r="139" spans="1:19" ht="15.6" x14ac:dyDescent="0.3">
      <c r="A139" s="24"/>
      <c r="B139" s="25" t="s">
        <v>161</v>
      </c>
      <c r="C139" s="25"/>
      <c r="D139" s="25"/>
      <c r="E139" s="25"/>
      <c r="F139" s="25"/>
      <c r="G139" s="25"/>
      <c r="H139" s="25"/>
      <c r="I139" s="25"/>
      <c r="J139" s="25"/>
      <c r="K139" s="25"/>
      <c r="L139" s="25"/>
      <c r="M139" s="25"/>
      <c r="N139" s="25"/>
      <c r="O139" s="25"/>
      <c r="P139" s="53">
        <v>0</v>
      </c>
      <c r="Q139" s="25"/>
      <c r="R139" s="5"/>
    </row>
    <row r="140" spans="1:19" ht="15.6" x14ac:dyDescent="0.3">
      <c r="A140" s="24"/>
      <c r="B140" s="25" t="s">
        <v>144</v>
      </c>
      <c r="C140" s="25"/>
      <c r="D140" s="25"/>
      <c r="E140" s="25"/>
      <c r="F140" s="25"/>
      <c r="G140" s="25"/>
      <c r="H140" s="25"/>
      <c r="I140" s="25"/>
      <c r="J140" s="25"/>
      <c r="K140" s="25"/>
      <c r="L140" s="25"/>
      <c r="M140" s="25"/>
      <c r="N140" s="25"/>
      <c r="O140" s="25"/>
      <c r="P140" s="53">
        <v>0</v>
      </c>
      <c r="Q140" s="25"/>
      <c r="R140" s="5"/>
    </row>
    <row r="141" spans="1:19" ht="15.6" x14ac:dyDescent="0.3">
      <c r="A141" s="24"/>
      <c r="B141" s="25" t="s">
        <v>145</v>
      </c>
      <c r="C141" s="25"/>
      <c r="D141" s="25"/>
      <c r="E141" s="25"/>
      <c r="F141" s="25"/>
      <c r="G141" s="25"/>
      <c r="H141" s="25"/>
      <c r="I141" s="25"/>
      <c r="J141" s="25"/>
      <c r="K141" s="25"/>
      <c r="L141" s="25"/>
      <c r="M141" s="25"/>
      <c r="N141" s="25"/>
      <c r="O141" s="25"/>
      <c r="P141" s="53">
        <v>0</v>
      </c>
      <c r="Q141" s="25"/>
      <c r="R141" s="5"/>
    </row>
    <row r="142" spans="1:19" ht="15.6" x14ac:dyDescent="0.3">
      <c r="A142" s="24"/>
      <c r="B142" s="25" t="s">
        <v>53</v>
      </c>
      <c r="C142" s="25"/>
      <c r="D142" s="25"/>
      <c r="E142" s="25"/>
      <c r="F142" s="25"/>
      <c r="G142" s="25"/>
      <c r="H142" s="25"/>
      <c r="I142" s="25"/>
      <c r="J142" s="25"/>
      <c r="K142" s="25"/>
      <c r="L142" s="25"/>
      <c r="M142" s="25"/>
      <c r="N142" s="25"/>
      <c r="O142" s="25"/>
      <c r="P142" s="53">
        <v>0</v>
      </c>
      <c r="Q142" s="25"/>
      <c r="R142" s="5"/>
    </row>
    <row r="143" spans="1:19" ht="15.6" x14ac:dyDescent="0.3">
      <c r="A143" s="24"/>
      <c r="B143" s="25" t="s">
        <v>153</v>
      </c>
      <c r="C143" s="25"/>
      <c r="D143" s="25"/>
      <c r="E143" s="25"/>
      <c r="F143" s="25"/>
      <c r="G143" s="25"/>
      <c r="H143" s="25"/>
      <c r="I143" s="25"/>
      <c r="J143" s="25"/>
      <c r="K143" s="25"/>
      <c r="L143" s="25"/>
      <c r="M143" s="25"/>
      <c r="N143" s="25"/>
      <c r="O143" s="25"/>
      <c r="P143" s="53">
        <v>0</v>
      </c>
      <c r="Q143" s="25"/>
      <c r="R143" s="5"/>
    </row>
    <row r="144" spans="1:19" ht="15.6" x14ac:dyDescent="0.3">
      <c r="A144" s="24"/>
      <c r="B144" s="25" t="s">
        <v>202</v>
      </c>
      <c r="C144" s="25"/>
      <c r="D144" s="25"/>
      <c r="E144" s="25"/>
      <c r="F144" s="25"/>
      <c r="G144" s="25"/>
      <c r="H144" s="25"/>
      <c r="I144" s="25"/>
      <c r="J144" s="25"/>
      <c r="K144" s="25"/>
      <c r="L144" s="25"/>
      <c r="M144" s="25"/>
      <c r="N144" s="25"/>
      <c r="O144" s="25"/>
      <c r="P144" s="53">
        <v>0</v>
      </c>
      <c r="Q144" s="25"/>
      <c r="R144" s="5"/>
      <c r="S144" s="109"/>
    </row>
    <row r="145" spans="1:18" ht="15.6" x14ac:dyDescent="0.3">
      <c r="A145" s="24"/>
      <c r="B145" s="25" t="s">
        <v>54</v>
      </c>
      <c r="C145" s="25"/>
      <c r="D145" s="25"/>
      <c r="E145" s="25"/>
      <c r="F145" s="25"/>
      <c r="G145" s="25"/>
      <c r="H145" s="25"/>
      <c r="I145" s="25"/>
      <c r="J145" s="25"/>
      <c r="K145" s="25"/>
      <c r="L145" s="25"/>
      <c r="M145" s="25"/>
      <c r="N145" s="25"/>
      <c r="O145" s="25"/>
      <c r="P145" s="53">
        <f>SUM(P138:P144)</f>
        <v>19815</v>
      </c>
      <c r="Q145" s="25"/>
      <c r="R145" s="5"/>
    </row>
    <row r="146" spans="1:18" ht="15.6" x14ac:dyDescent="0.3">
      <c r="A146" s="24"/>
      <c r="B146" s="25"/>
      <c r="C146" s="25"/>
      <c r="D146" s="25"/>
      <c r="E146" s="25"/>
      <c r="F146" s="25"/>
      <c r="G146" s="25"/>
      <c r="H146" s="25"/>
      <c r="I146" s="25"/>
      <c r="J146" s="25"/>
      <c r="K146" s="25"/>
      <c r="L146" s="25"/>
      <c r="M146" s="25"/>
      <c r="N146" s="25"/>
      <c r="O146" s="25"/>
      <c r="P146" s="61"/>
      <c r="Q146" s="25"/>
      <c r="R146" s="5"/>
    </row>
    <row r="147" spans="1:18" ht="15.6" x14ac:dyDescent="0.3">
      <c r="A147" s="6"/>
      <c r="B147" s="119" t="s">
        <v>28</v>
      </c>
      <c r="C147" s="8"/>
      <c r="D147" s="8"/>
      <c r="E147" s="8"/>
      <c r="F147" s="8"/>
      <c r="G147" s="8"/>
      <c r="H147" s="8"/>
      <c r="I147" s="8"/>
      <c r="J147" s="8"/>
      <c r="K147" s="8"/>
      <c r="L147" s="8"/>
      <c r="M147" s="8"/>
      <c r="N147" s="8"/>
      <c r="O147" s="8"/>
      <c r="P147" s="52"/>
      <c r="Q147" s="8"/>
      <c r="R147" s="5"/>
    </row>
    <row r="148" spans="1:18" ht="15.6" x14ac:dyDescent="0.3">
      <c r="A148" s="24"/>
      <c r="B148" s="25" t="s">
        <v>55</v>
      </c>
      <c r="C148" s="25"/>
      <c r="D148" s="25"/>
      <c r="E148" s="25"/>
      <c r="F148" s="25"/>
      <c r="G148" s="25"/>
      <c r="H148" s="25"/>
      <c r="I148" s="25"/>
      <c r="J148" s="25"/>
      <c r="K148" s="25"/>
      <c r="L148" s="25"/>
      <c r="M148" s="25"/>
      <c r="N148" s="25"/>
      <c r="O148" s="25"/>
      <c r="P148" s="59" t="s">
        <v>137</v>
      </c>
      <c r="Q148" s="25"/>
      <c r="R148" s="5"/>
    </row>
    <row r="149" spans="1:18" ht="15.6" x14ac:dyDescent="0.3">
      <c r="A149" s="24"/>
      <c r="B149" s="25" t="s">
        <v>56</v>
      </c>
      <c r="C149" s="141"/>
      <c r="D149" s="141"/>
      <c r="E149" s="141"/>
      <c r="F149" s="141"/>
      <c r="G149" s="141"/>
      <c r="H149" s="141"/>
      <c r="I149" s="141"/>
      <c r="J149" s="141"/>
      <c r="K149" s="141"/>
      <c r="L149" s="141"/>
      <c r="M149" s="141"/>
      <c r="N149" s="141"/>
      <c r="O149" s="141"/>
      <c r="P149" s="59" t="s">
        <v>137</v>
      </c>
      <c r="Q149" s="25"/>
      <c r="R149" s="5"/>
    </row>
    <row r="150" spans="1:18" ht="15.6" x14ac:dyDescent="0.3">
      <c r="A150" s="24"/>
      <c r="B150" s="25" t="s">
        <v>57</v>
      </c>
      <c r="C150" s="25"/>
      <c r="D150" s="25"/>
      <c r="E150" s="25"/>
      <c r="F150" s="25"/>
      <c r="G150" s="25"/>
      <c r="H150" s="25"/>
      <c r="I150" s="25"/>
      <c r="J150" s="25"/>
      <c r="K150" s="25"/>
      <c r="L150" s="25"/>
      <c r="M150" s="25"/>
      <c r="N150" s="25"/>
      <c r="O150" s="25"/>
      <c r="P150" s="59" t="s">
        <v>137</v>
      </c>
      <c r="Q150" s="25"/>
      <c r="R150" s="5"/>
    </row>
    <row r="151" spans="1:18" ht="15.6" x14ac:dyDescent="0.3">
      <c r="A151" s="24"/>
      <c r="B151" s="25" t="s">
        <v>58</v>
      </c>
      <c r="C151" s="25"/>
      <c r="D151" s="25"/>
      <c r="E151" s="25"/>
      <c r="F151" s="25"/>
      <c r="G151" s="25"/>
      <c r="H151" s="25"/>
      <c r="I151" s="25"/>
      <c r="J151" s="25"/>
      <c r="K151" s="25"/>
      <c r="L151" s="25"/>
      <c r="M151" s="25"/>
      <c r="N151" s="25"/>
      <c r="O151" s="25"/>
      <c r="P151" s="59" t="s">
        <v>137</v>
      </c>
      <c r="Q151" s="25"/>
      <c r="R151" s="5"/>
    </row>
    <row r="152" spans="1:18" ht="15.6" x14ac:dyDescent="0.3">
      <c r="A152" s="24"/>
      <c r="B152" s="25"/>
      <c r="C152" s="25"/>
      <c r="D152" s="25"/>
      <c r="E152" s="25"/>
      <c r="F152" s="25"/>
      <c r="G152" s="25"/>
      <c r="H152" s="25"/>
      <c r="I152" s="25"/>
      <c r="J152" s="25"/>
      <c r="K152" s="25"/>
      <c r="L152" s="25"/>
      <c r="M152" s="25"/>
      <c r="N152" s="25"/>
      <c r="O152" s="25"/>
      <c r="P152" s="61"/>
      <c r="Q152" s="25"/>
      <c r="R152" s="5"/>
    </row>
    <row r="153" spans="1:18" ht="15.6" x14ac:dyDescent="0.3">
      <c r="A153" s="6"/>
      <c r="B153" s="119" t="s">
        <v>59</v>
      </c>
      <c r="C153" s="8"/>
      <c r="D153" s="8"/>
      <c r="E153" s="8"/>
      <c r="F153" s="8"/>
      <c r="G153" s="8"/>
      <c r="H153" s="8"/>
      <c r="I153" s="8"/>
      <c r="J153" s="8"/>
      <c r="K153" s="8"/>
      <c r="L153" s="8"/>
      <c r="M153" s="8"/>
      <c r="N153" s="8"/>
      <c r="O153" s="8"/>
      <c r="P153" s="63"/>
      <c r="Q153" s="8"/>
      <c r="R153" s="5"/>
    </row>
    <row r="154" spans="1:18" ht="15.6" x14ac:dyDescent="0.3">
      <c r="A154" s="24"/>
      <c r="B154" s="25" t="s">
        <v>60</v>
      </c>
      <c r="C154" s="25"/>
      <c r="D154" s="25"/>
      <c r="E154" s="25"/>
      <c r="F154" s="25"/>
      <c r="G154" s="25"/>
      <c r="H154" s="25"/>
      <c r="I154" s="25"/>
      <c r="J154" s="25"/>
      <c r="K154" s="25"/>
      <c r="L154" s="25"/>
      <c r="M154" s="25"/>
      <c r="N154" s="25"/>
      <c r="O154" s="25"/>
      <c r="P154" s="53">
        <v>0</v>
      </c>
      <c r="Q154" s="25"/>
      <c r="R154" s="5"/>
    </row>
    <row r="155" spans="1:18" ht="15.6" x14ac:dyDescent="0.3">
      <c r="A155" s="24"/>
      <c r="B155" s="25" t="s">
        <v>61</v>
      </c>
      <c r="C155" s="25"/>
      <c r="D155" s="25"/>
      <c r="E155" s="25"/>
      <c r="F155" s="25"/>
      <c r="G155" s="25"/>
      <c r="H155" s="25"/>
      <c r="I155" s="25"/>
      <c r="J155" s="25"/>
      <c r="K155" s="25"/>
      <c r="L155" s="25"/>
      <c r="M155" s="25"/>
      <c r="N155" s="25"/>
      <c r="O155" s="25"/>
      <c r="P155" s="53">
        <f>-P115</f>
        <v>327</v>
      </c>
      <c r="Q155" s="25"/>
      <c r="R155" s="5"/>
    </row>
    <row r="156" spans="1:18" ht="15.6" x14ac:dyDescent="0.3">
      <c r="A156" s="24"/>
      <c r="B156" s="25" t="s">
        <v>62</v>
      </c>
      <c r="C156" s="25"/>
      <c r="D156" s="25"/>
      <c r="E156" s="25"/>
      <c r="F156" s="25"/>
      <c r="G156" s="25"/>
      <c r="H156" s="25"/>
      <c r="I156" s="25"/>
      <c r="J156" s="25"/>
      <c r="K156" s="25"/>
      <c r="L156" s="25"/>
      <c r="M156" s="25"/>
      <c r="N156" s="25"/>
      <c r="O156" s="25"/>
      <c r="P156" s="53">
        <f>P155+P154</f>
        <v>327</v>
      </c>
      <c r="Q156" s="25"/>
      <c r="R156" s="5"/>
    </row>
    <row r="157" spans="1:18" ht="15.6" x14ac:dyDescent="0.3">
      <c r="A157" s="24"/>
      <c r="B157" s="403" t="s">
        <v>297</v>
      </c>
      <c r="C157" s="25"/>
      <c r="D157" s="25"/>
      <c r="E157" s="25"/>
      <c r="F157" s="25"/>
      <c r="G157" s="25"/>
      <c r="H157" s="25"/>
      <c r="I157" s="25"/>
      <c r="J157" s="25"/>
      <c r="K157" s="25"/>
      <c r="L157" s="25"/>
      <c r="M157" s="25"/>
      <c r="N157" s="25"/>
      <c r="O157" s="25"/>
      <c r="P157" s="53">
        <f>P115</f>
        <v>-327</v>
      </c>
      <c r="Q157" s="25"/>
      <c r="R157" s="5"/>
    </row>
    <row r="158" spans="1:18" ht="15.6" x14ac:dyDescent="0.3">
      <c r="A158" s="24"/>
      <c r="B158" s="25" t="s">
        <v>63</v>
      </c>
      <c r="C158" s="25"/>
      <c r="D158" s="25"/>
      <c r="E158" s="25"/>
      <c r="F158" s="25"/>
      <c r="G158" s="25"/>
      <c r="H158" s="25"/>
      <c r="I158" s="25"/>
      <c r="J158" s="25"/>
      <c r="K158" s="25"/>
      <c r="L158" s="25"/>
      <c r="M158" s="25"/>
      <c r="N158" s="25"/>
      <c r="O158" s="25"/>
      <c r="P158" s="53">
        <f>P156+P157</f>
        <v>0</v>
      </c>
      <c r="Q158" s="25"/>
      <c r="R158" s="5"/>
    </row>
    <row r="159" spans="1:18" ht="15.6" x14ac:dyDescent="0.3">
      <c r="A159" s="24"/>
      <c r="B159" s="25" t="s">
        <v>268</v>
      </c>
      <c r="C159" s="25"/>
      <c r="D159" s="25"/>
      <c r="E159" s="25"/>
      <c r="F159" s="25"/>
      <c r="G159" s="25"/>
      <c r="H159" s="25"/>
      <c r="I159" s="25"/>
      <c r="J159" s="25"/>
      <c r="K159" s="25"/>
      <c r="L159" s="25"/>
      <c r="M159" s="25"/>
      <c r="N159" s="25"/>
      <c r="O159" s="25"/>
      <c r="P159" s="53">
        <f>-P102</f>
        <v>256</v>
      </c>
      <c r="Q159" s="25"/>
      <c r="R159" s="5"/>
    </row>
    <row r="160" spans="1:18" ht="16.2" thickBot="1" x14ac:dyDescent="0.35">
      <c r="A160" s="24"/>
      <c r="B160" s="25"/>
      <c r="C160" s="25"/>
      <c r="D160" s="25"/>
      <c r="E160" s="25"/>
      <c r="F160" s="25"/>
      <c r="G160" s="25"/>
      <c r="H160" s="25"/>
      <c r="I160" s="25"/>
      <c r="J160" s="25"/>
      <c r="K160" s="25"/>
      <c r="L160" s="25"/>
      <c r="M160" s="25"/>
      <c r="N160" s="25"/>
      <c r="O160" s="25"/>
      <c r="P160" s="61"/>
      <c r="Q160" s="25"/>
      <c r="R160" s="5"/>
    </row>
    <row r="161" spans="1:19" ht="15.6" x14ac:dyDescent="0.3">
      <c r="A161" s="2"/>
      <c r="B161" s="4"/>
      <c r="C161" s="4"/>
      <c r="D161" s="4"/>
      <c r="E161" s="4"/>
      <c r="F161" s="4"/>
      <c r="G161" s="4"/>
      <c r="H161" s="4"/>
      <c r="I161" s="4"/>
      <c r="J161" s="4"/>
      <c r="K161" s="4"/>
      <c r="L161" s="4"/>
      <c r="M161" s="4"/>
      <c r="N161" s="4"/>
      <c r="O161" s="4"/>
      <c r="P161" s="50"/>
      <c r="Q161" s="4"/>
      <c r="R161" s="5"/>
    </row>
    <row r="162" spans="1:19" ht="15.6" x14ac:dyDescent="0.3">
      <c r="A162" s="6"/>
      <c r="B162" s="119" t="s">
        <v>64</v>
      </c>
      <c r="C162" s="8"/>
      <c r="D162" s="8"/>
      <c r="E162" s="8"/>
      <c r="F162" s="8"/>
      <c r="G162" s="8"/>
      <c r="H162" s="8"/>
      <c r="I162" s="8"/>
      <c r="J162" s="8"/>
      <c r="K162" s="8"/>
      <c r="L162" s="8"/>
      <c r="M162" s="8"/>
      <c r="N162" s="8"/>
      <c r="O162" s="8"/>
      <c r="P162" s="52"/>
      <c r="Q162" s="8"/>
      <c r="R162" s="5"/>
    </row>
    <row r="163" spans="1:19" ht="15.6" x14ac:dyDescent="0.3">
      <c r="A163" s="6"/>
      <c r="B163" s="21"/>
      <c r="C163" s="8"/>
      <c r="D163" s="8"/>
      <c r="E163" s="8"/>
      <c r="F163" s="8"/>
      <c r="G163" s="8"/>
      <c r="H163" s="8"/>
      <c r="I163" s="8"/>
      <c r="J163" s="8"/>
      <c r="K163" s="8"/>
      <c r="L163" s="8"/>
      <c r="M163" s="8"/>
      <c r="N163" s="8"/>
      <c r="O163" s="8"/>
      <c r="P163" s="52"/>
      <c r="Q163" s="8"/>
      <c r="R163" s="5"/>
    </row>
    <row r="164" spans="1:19" ht="15.6" x14ac:dyDescent="0.3">
      <c r="A164" s="24"/>
      <c r="B164" s="25" t="s">
        <v>221</v>
      </c>
      <c r="C164" s="25"/>
      <c r="D164" s="25"/>
      <c r="E164" s="25"/>
      <c r="F164" s="25"/>
      <c r="G164" s="25"/>
      <c r="H164" s="25"/>
      <c r="I164" s="25"/>
      <c r="J164" s="25"/>
      <c r="K164" s="25"/>
      <c r="L164" s="25"/>
      <c r="M164" s="25"/>
      <c r="N164" s="25"/>
      <c r="O164" s="25"/>
      <c r="P164" s="53">
        <f>P73</f>
        <v>418494</v>
      </c>
      <c r="Q164" s="25"/>
      <c r="R164" s="5"/>
    </row>
    <row r="165" spans="1:19" ht="15.6" x14ac:dyDescent="0.3">
      <c r="A165" s="24"/>
      <c r="B165" s="25" t="s">
        <v>273</v>
      </c>
      <c r="C165" s="25"/>
      <c r="D165" s="25"/>
      <c r="E165" s="25"/>
      <c r="F165" s="25"/>
      <c r="G165" s="25"/>
      <c r="H165" s="25"/>
      <c r="I165" s="25"/>
      <c r="J165" s="25"/>
      <c r="K165" s="25"/>
      <c r="L165" s="25"/>
      <c r="M165" s="25"/>
      <c r="N165" s="25"/>
      <c r="O165" s="25"/>
      <c r="P165" s="53">
        <f>+P86</f>
        <v>0</v>
      </c>
      <c r="Q165" s="25"/>
      <c r="R165" s="5"/>
    </row>
    <row r="166" spans="1:19" ht="15.6" x14ac:dyDescent="0.3">
      <c r="A166" s="24"/>
      <c r="B166" s="25" t="s">
        <v>65</v>
      </c>
      <c r="C166" s="25"/>
      <c r="D166" s="25"/>
      <c r="E166" s="25"/>
      <c r="F166" s="25"/>
      <c r="G166" s="25"/>
      <c r="H166" s="25"/>
      <c r="I166" s="25"/>
      <c r="J166" s="25"/>
      <c r="K166" s="25"/>
      <c r="L166" s="25"/>
      <c r="M166" s="25"/>
      <c r="N166" s="25"/>
      <c r="O166" s="25"/>
      <c r="P166" s="53">
        <f>P38</f>
        <v>418494.15394187806</v>
      </c>
      <c r="Q166" s="25"/>
      <c r="R166" s="5"/>
      <c r="S166" s="109"/>
    </row>
    <row r="167" spans="1:19" ht="16.2" thickBot="1" x14ac:dyDescent="0.35">
      <c r="A167" s="24"/>
      <c r="B167" s="25"/>
      <c r="C167" s="25"/>
      <c r="D167" s="25"/>
      <c r="E167" s="25"/>
      <c r="F167" s="25"/>
      <c r="G167" s="25"/>
      <c r="H167" s="25"/>
      <c r="I167" s="25"/>
      <c r="J167" s="25"/>
      <c r="K167" s="25"/>
      <c r="L167" s="25"/>
      <c r="M167" s="25"/>
      <c r="N167" s="25"/>
      <c r="O167" s="25"/>
      <c r="P167" s="61"/>
      <c r="Q167" s="25"/>
      <c r="R167" s="5"/>
    </row>
    <row r="168" spans="1:19" ht="15.6" x14ac:dyDescent="0.3">
      <c r="A168" s="2"/>
      <c r="B168" s="4"/>
      <c r="C168" s="4"/>
      <c r="D168" s="4"/>
      <c r="E168" s="4"/>
      <c r="F168" s="4"/>
      <c r="G168" s="4"/>
      <c r="H168" s="4"/>
      <c r="I168" s="4"/>
      <c r="J168" s="4"/>
      <c r="K168" s="4"/>
      <c r="L168" s="4"/>
      <c r="M168" s="4"/>
      <c r="N168" s="4"/>
      <c r="O168" s="4"/>
      <c r="P168" s="50"/>
      <c r="Q168" s="4"/>
      <c r="R168" s="5"/>
    </row>
    <row r="169" spans="1:19" ht="15.6" x14ac:dyDescent="0.3">
      <c r="A169" s="6"/>
      <c r="B169" s="119" t="s">
        <v>66</v>
      </c>
      <c r="C169" s="117"/>
      <c r="D169" s="117"/>
      <c r="E169" s="117"/>
      <c r="F169" s="120"/>
      <c r="G169" s="120"/>
      <c r="H169" s="120"/>
      <c r="I169" s="120"/>
      <c r="J169" s="120"/>
      <c r="K169" s="120"/>
      <c r="L169" s="120"/>
      <c r="M169" s="120" t="s">
        <v>112</v>
      </c>
      <c r="N169" s="120" t="s">
        <v>120</v>
      </c>
      <c r="O169" s="111"/>
      <c r="P169" s="121" t="s">
        <v>129</v>
      </c>
      <c r="Q169" s="10"/>
      <c r="R169" s="5"/>
    </row>
    <row r="170" spans="1:19" ht="15.6" x14ac:dyDescent="0.3">
      <c r="A170" s="24"/>
      <c r="B170" s="25" t="s">
        <v>67</v>
      </c>
      <c r="C170" s="25"/>
      <c r="D170" s="25"/>
      <c r="E170" s="25"/>
      <c r="F170" s="25"/>
      <c r="G170" s="25"/>
      <c r="H170" s="25"/>
      <c r="I170" s="25"/>
      <c r="J170" s="25"/>
      <c r="K170" s="25"/>
      <c r="L170" s="25"/>
      <c r="M170" s="53">
        <v>144000</v>
      </c>
      <c r="N170" s="40">
        <v>0</v>
      </c>
      <c r="O170" s="25"/>
      <c r="P170" s="53"/>
      <c r="Q170" s="25"/>
      <c r="R170" s="5"/>
    </row>
    <row r="171" spans="1:19" ht="15.6" x14ac:dyDescent="0.3">
      <c r="A171" s="24"/>
      <c r="B171" s="25" t="s">
        <v>68</v>
      </c>
      <c r="C171" s="25"/>
      <c r="D171" s="25"/>
      <c r="E171" s="25"/>
      <c r="F171" s="25"/>
      <c r="G171" s="25"/>
      <c r="H171" s="25"/>
      <c r="I171" s="25"/>
      <c r="J171" s="25"/>
      <c r="K171" s="25"/>
      <c r="L171" s="25"/>
      <c r="M171" s="53">
        <f>+'July 09'!M172</f>
        <v>85106</v>
      </c>
      <c r="N171" s="53">
        <f>+'July 09'!N172</f>
        <v>10104</v>
      </c>
      <c r="O171" s="25"/>
      <c r="P171" s="53">
        <f>M171+N171</f>
        <v>95210</v>
      </c>
      <c r="Q171" s="25"/>
      <c r="R171" s="5"/>
    </row>
    <row r="172" spans="1:19" ht="15.6" x14ac:dyDescent="0.3">
      <c r="A172" s="24"/>
      <c r="B172" s="25" t="s">
        <v>69</v>
      </c>
      <c r="C172" s="25"/>
      <c r="D172" s="25"/>
      <c r="E172" s="25"/>
      <c r="F172" s="25"/>
      <c r="G172" s="25"/>
      <c r="H172" s="25"/>
      <c r="I172" s="25"/>
      <c r="J172" s="25"/>
      <c r="K172" s="25"/>
      <c r="L172" s="25"/>
      <c r="M172" s="34">
        <f>375+31</f>
        <v>406</v>
      </c>
      <c r="N172" s="34">
        <f>-N100-N122</f>
        <v>88</v>
      </c>
      <c r="O172" s="25"/>
      <c r="P172" s="53">
        <f>M172+N172</f>
        <v>494</v>
      </c>
      <c r="Q172" s="25"/>
      <c r="R172" s="5"/>
    </row>
    <row r="173" spans="1:19" ht="15.6" x14ac:dyDescent="0.3">
      <c r="A173" s="24"/>
      <c r="B173" s="25" t="s">
        <v>70</v>
      </c>
      <c r="C173" s="25"/>
      <c r="D173" s="25"/>
      <c r="E173" s="25"/>
      <c r="F173" s="25"/>
      <c r="G173" s="25"/>
      <c r="H173" s="25"/>
      <c r="I173" s="25"/>
      <c r="J173" s="25"/>
      <c r="K173" s="25"/>
      <c r="L173" s="25"/>
      <c r="M173" s="53">
        <f>M171+M172</f>
        <v>85512</v>
      </c>
      <c r="N173" s="53">
        <f>N172+N171</f>
        <v>10192</v>
      </c>
      <c r="O173" s="25"/>
      <c r="P173" s="53">
        <f>M173+N173</f>
        <v>95704</v>
      </c>
      <c r="Q173" s="25"/>
      <c r="R173" s="5"/>
    </row>
    <row r="174" spans="1:19" ht="15.6" x14ac:dyDescent="0.3">
      <c r="A174" s="24"/>
      <c r="B174" s="25" t="s">
        <v>71</v>
      </c>
      <c r="C174" s="25"/>
      <c r="D174" s="25"/>
      <c r="E174" s="25"/>
      <c r="F174" s="25"/>
      <c r="G174" s="25"/>
      <c r="H174" s="25"/>
      <c r="I174" s="25"/>
      <c r="J174" s="25"/>
      <c r="K174" s="25"/>
      <c r="L174" s="25"/>
      <c r="M174" s="53">
        <f>M170-M173-N173</f>
        <v>48296</v>
      </c>
      <c r="N174" s="40"/>
      <c r="O174" s="25"/>
      <c r="P174" s="53"/>
      <c r="Q174" s="25"/>
      <c r="R174" s="5"/>
    </row>
    <row r="175" spans="1:19" ht="16.2" thickBot="1" x14ac:dyDescent="0.35">
      <c r="A175" s="24"/>
      <c r="B175" s="25"/>
      <c r="C175" s="25"/>
      <c r="D175" s="25"/>
      <c r="E175" s="25"/>
      <c r="F175" s="25"/>
      <c r="G175" s="25"/>
      <c r="H175" s="25"/>
      <c r="I175" s="25"/>
      <c r="J175" s="25"/>
      <c r="K175" s="25"/>
      <c r="L175" s="25"/>
      <c r="M175" s="25"/>
      <c r="N175" s="25"/>
      <c r="O175" s="25"/>
      <c r="P175" s="61"/>
      <c r="Q175" s="25"/>
      <c r="R175" s="5"/>
    </row>
    <row r="176" spans="1:19" ht="15.6" x14ac:dyDescent="0.3">
      <c r="A176" s="2"/>
      <c r="B176" s="4"/>
      <c r="C176" s="4"/>
      <c r="D176" s="4"/>
      <c r="E176" s="4"/>
      <c r="F176" s="4"/>
      <c r="G176" s="4"/>
      <c r="H176" s="4"/>
      <c r="I176" s="4"/>
      <c r="J176" s="4"/>
      <c r="K176" s="4"/>
      <c r="L176" s="4"/>
      <c r="M176" s="4"/>
      <c r="N176" s="4"/>
      <c r="O176" s="4"/>
      <c r="P176" s="50"/>
      <c r="Q176" s="4"/>
      <c r="R176" s="5"/>
    </row>
    <row r="177" spans="1:18" ht="15.6" x14ac:dyDescent="0.3">
      <c r="A177" s="6"/>
      <c r="B177" s="119" t="s">
        <v>72</v>
      </c>
      <c r="C177" s="8"/>
      <c r="D177" s="8"/>
      <c r="E177" s="8"/>
      <c r="F177" s="8"/>
      <c r="G177" s="8"/>
      <c r="H177" s="8"/>
      <c r="I177" s="8"/>
      <c r="J177" s="8"/>
      <c r="K177" s="8"/>
      <c r="L177" s="8"/>
      <c r="M177" s="8"/>
      <c r="N177" s="8"/>
      <c r="O177" s="8"/>
      <c r="P177" s="65"/>
      <c r="Q177" s="8"/>
      <c r="R177" s="5"/>
    </row>
    <row r="178" spans="1:18" ht="15.6" x14ac:dyDescent="0.3">
      <c r="A178" s="24"/>
      <c r="B178" s="25" t="s">
        <v>73</v>
      </c>
      <c r="C178" s="25"/>
      <c r="D178" s="25"/>
      <c r="E178" s="25"/>
      <c r="F178" s="25"/>
      <c r="G178" s="25"/>
      <c r="H178" s="25"/>
      <c r="I178" s="25"/>
      <c r="J178" s="25"/>
      <c r="K178" s="25"/>
      <c r="L178" s="25"/>
      <c r="M178" s="25"/>
      <c r="N178" s="25"/>
      <c r="O178" s="25"/>
      <c r="P178" s="66">
        <f>(P103+P105+P106+P107+P108)/-(P109+P110+P111)</f>
        <v>2.5979142526071843</v>
      </c>
      <c r="Q178" s="25" t="s">
        <v>130</v>
      </c>
      <c r="R178" s="5"/>
    </row>
    <row r="179" spans="1:18" ht="15.6" x14ac:dyDescent="0.3">
      <c r="A179" s="24"/>
      <c r="B179" s="25" t="s">
        <v>74</v>
      </c>
      <c r="C179" s="25"/>
      <c r="D179" s="25"/>
      <c r="E179" s="25"/>
      <c r="F179" s="25"/>
      <c r="G179" s="25"/>
      <c r="H179" s="25"/>
      <c r="I179" s="25"/>
      <c r="J179" s="25"/>
      <c r="K179" s="25"/>
      <c r="L179" s="25"/>
      <c r="M179" s="25"/>
      <c r="N179" s="25"/>
      <c r="O179" s="25"/>
      <c r="P179" s="66">
        <v>1.42</v>
      </c>
      <c r="Q179" s="25" t="s">
        <v>130</v>
      </c>
      <c r="R179" s="5"/>
    </row>
    <row r="180" spans="1:18" ht="15.6" x14ac:dyDescent="0.3">
      <c r="A180" s="24"/>
      <c r="B180" s="25" t="s">
        <v>75</v>
      </c>
      <c r="C180" s="25"/>
      <c r="D180" s="25"/>
      <c r="E180" s="25"/>
      <c r="F180" s="25"/>
      <c r="G180" s="25"/>
      <c r="H180" s="25"/>
      <c r="I180" s="25"/>
      <c r="J180" s="25"/>
      <c r="K180" s="25"/>
      <c r="L180" s="25"/>
      <c r="M180" s="25"/>
      <c r="N180" s="25"/>
      <c r="O180" s="25"/>
      <c r="P180" s="59">
        <f>(P103+P105+P106+P107+P108+P109+P110+P111)/-(P112+P113)</f>
        <v>3.8199445983379503</v>
      </c>
      <c r="Q180" s="25" t="s">
        <v>130</v>
      </c>
      <c r="R180" s="5"/>
    </row>
    <row r="181" spans="1:18" ht="15.6" x14ac:dyDescent="0.3">
      <c r="A181" s="24"/>
      <c r="B181" s="25" t="s">
        <v>76</v>
      </c>
      <c r="C181" s="25"/>
      <c r="D181" s="25"/>
      <c r="E181" s="25"/>
      <c r="F181" s="25"/>
      <c r="G181" s="25"/>
      <c r="H181" s="25"/>
      <c r="I181" s="25"/>
      <c r="J181" s="25"/>
      <c r="K181" s="25"/>
      <c r="L181" s="25"/>
      <c r="M181" s="25"/>
      <c r="N181" s="25"/>
      <c r="O181" s="25"/>
      <c r="P181" s="66">
        <v>2.34</v>
      </c>
      <c r="Q181" s="25" t="s">
        <v>130</v>
      </c>
      <c r="R181" s="5"/>
    </row>
    <row r="182" spans="1:18" ht="15.6" x14ac:dyDescent="0.3">
      <c r="A182" s="24"/>
      <c r="B182" s="25"/>
      <c r="C182" s="25"/>
      <c r="D182" s="25"/>
      <c r="E182" s="25"/>
      <c r="F182" s="25"/>
      <c r="G182" s="25"/>
      <c r="H182" s="25"/>
      <c r="I182" s="25"/>
      <c r="J182" s="25"/>
      <c r="K182" s="25"/>
      <c r="L182" s="25"/>
      <c r="M182" s="25"/>
      <c r="N182" s="25"/>
      <c r="O182" s="25"/>
      <c r="P182" s="25"/>
      <c r="Q182" s="25"/>
      <c r="R182" s="5"/>
    </row>
    <row r="183" spans="1:18" ht="15.6" x14ac:dyDescent="0.3">
      <c r="A183" s="24"/>
      <c r="B183" s="25"/>
      <c r="C183" s="25"/>
      <c r="D183" s="25"/>
      <c r="E183" s="25"/>
      <c r="F183" s="25"/>
      <c r="G183" s="25"/>
      <c r="H183" s="25"/>
      <c r="I183" s="25"/>
      <c r="J183" s="25"/>
      <c r="K183" s="25"/>
      <c r="L183" s="25"/>
      <c r="M183" s="25"/>
      <c r="N183" s="25"/>
      <c r="O183" s="25"/>
      <c r="P183" s="25"/>
      <c r="Q183" s="25"/>
      <c r="R183" s="5"/>
    </row>
    <row r="184" spans="1:18" ht="15.6" x14ac:dyDescent="0.3">
      <c r="A184" s="6"/>
      <c r="B184" s="8"/>
      <c r="C184" s="8"/>
      <c r="D184" s="8"/>
      <c r="E184" s="8"/>
      <c r="F184" s="8"/>
      <c r="G184" s="8"/>
      <c r="H184" s="8"/>
      <c r="I184" s="8"/>
      <c r="J184" s="8"/>
      <c r="K184" s="8"/>
      <c r="L184" s="8"/>
      <c r="M184" s="8"/>
      <c r="N184" s="8"/>
      <c r="O184" s="8"/>
      <c r="P184" s="8"/>
      <c r="Q184" s="8"/>
      <c r="R184" s="5"/>
    </row>
    <row r="185" spans="1:18" ht="18" thickBot="1" x14ac:dyDescent="0.35">
      <c r="A185" s="101"/>
      <c r="B185" s="102" t="str">
        <f>B133</f>
        <v>PM7 INVESTOR REPORT QUARTER ENDING OCTOBER 2009</v>
      </c>
      <c r="C185" s="143"/>
      <c r="D185" s="143"/>
      <c r="E185" s="143"/>
      <c r="F185" s="143"/>
      <c r="G185" s="143"/>
      <c r="H185" s="143"/>
      <c r="I185" s="143"/>
      <c r="J185" s="143"/>
      <c r="K185" s="143"/>
      <c r="L185" s="143"/>
      <c r="M185" s="143"/>
      <c r="N185" s="143"/>
      <c r="O185" s="143"/>
      <c r="P185" s="143"/>
      <c r="Q185" s="144"/>
      <c r="R185" s="5"/>
    </row>
    <row r="186" spans="1:18" ht="15.6" x14ac:dyDescent="0.3">
      <c r="A186" s="67"/>
      <c r="B186" s="60" t="s">
        <v>77</v>
      </c>
      <c r="C186" s="68"/>
      <c r="D186" s="68"/>
      <c r="E186" s="69"/>
      <c r="F186" s="69"/>
      <c r="G186" s="69"/>
      <c r="H186" s="69"/>
      <c r="I186" s="69"/>
      <c r="J186" s="69"/>
      <c r="K186" s="69"/>
      <c r="L186" s="69"/>
      <c r="M186" s="69"/>
      <c r="N186" s="70">
        <f>H90</f>
        <v>40116</v>
      </c>
      <c r="O186" s="4"/>
      <c r="P186" s="4"/>
      <c r="Q186" s="4"/>
      <c r="R186" s="5"/>
    </row>
    <row r="187" spans="1:18" ht="15.6" x14ac:dyDescent="0.3">
      <c r="A187" s="71"/>
      <c r="B187" s="72"/>
      <c r="C187" s="73"/>
      <c r="D187" s="73"/>
      <c r="E187" s="74"/>
      <c r="F187" s="74"/>
      <c r="G187" s="74"/>
      <c r="H187" s="74"/>
      <c r="I187" s="74"/>
      <c r="J187" s="74"/>
      <c r="K187" s="74"/>
      <c r="L187" s="74"/>
      <c r="M187" s="74"/>
      <c r="N187" s="74"/>
      <c r="O187" s="8"/>
      <c r="P187" s="8"/>
      <c r="Q187" s="8"/>
      <c r="R187" s="5"/>
    </row>
    <row r="188" spans="1:18" ht="15.6" x14ac:dyDescent="0.3">
      <c r="A188" s="75"/>
      <c r="B188" s="76" t="s">
        <v>78</v>
      </c>
      <c r="C188" s="77"/>
      <c r="D188" s="77"/>
      <c r="E188" s="64"/>
      <c r="F188" s="64"/>
      <c r="G188" s="64"/>
      <c r="H188" s="64"/>
      <c r="I188" s="64"/>
      <c r="J188" s="64"/>
      <c r="K188" s="64"/>
      <c r="L188" s="64"/>
      <c r="M188" s="64"/>
      <c r="N188" s="78">
        <v>5.8069999999999997E-2</v>
      </c>
      <c r="O188" s="25"/>
      <c r="P188" s="25"/>
      <c r="Q188" s="25"/>
      <c r="R188" s="5"/>
    </row>
    <row r="189" spans="1:18" ht="15.6" x14ac:dyDescent="0.3">
      <c r="A189" s="75"/>
      <c r="B189" s="76" t="s">
        <v>219</v>
      </c>
      <c r="C189" s="77"/>
      <c r="D189" s="77"/>
      <c r="E189" s="64"/>
      <c r="F189" s="64"/>
      <c r="G189" s="64"/>
      <c r="H189" s="64"/>
      <c r="I189" s="64"/>
      <c r="J189" s="64"/>
      <c r="K189" s="64"/>
      <c r="L189" s="64"/>
      <c r="M189" s="64"/>
      <c r="N189" s="39">
        <v>5.1499999999999997E-2</v>
      </c>
      <c r="O189" s="25"/>
      <c r="P189" s="25"/>
      <c r="Q189" s="25"/>
      <c r="R189" s="5"/>
    </row>
    <row r="190" spans="1:18" ht="15.6" x14ac:dyDescent="0.3">
      <c r="A190" s="75"/>
      <c r="B190" s="76" t="s">
        <v>79</v>
      </c>
      <c r="C190" s="77"/>
      <c r="D190" s="77"/>
      <c r="E190" s="64"/>
      <c r="F190" s="64"/>
      <c r="G190" s="64"/>
      <c r="H190" s="64"/>
      <c r="I190" s="64"/>
      <c r="J190" s="64"/>
      <c r="K190" s="64"/>
      <c r="L190" s="64"/>
      <c r="M190" s="64"/>
      <c r="N190" s="78">
        <f>N188-N189</f>
        <v>6.5699999999999995E-3</v>
      </c>
      <c r="O190" s="25"/>
      <c r="P190" s="25"/>
      <c r="Q190" s="25"/>
      <c r="R190" s="5"/>
    </row>
    <row r="191" spans="1:18" ht="15.6" x14ac:dyDescent="0.3">
      <c r="A191" s="75"/>
      <c r="B191" s="76" t="s">
        <v>80</v>
      </c>
      <c r="C191" s="77"/>
      <c r="D191" s="77"/>
      <c r="E191" s="64"/>
      <c r="F191" s="64"/>
      <c r="G191" s="64"/>
      <c r="H191" s="64"/>
      <c r="I191" s="64"/>
      <c r="J191" s="64"/>
      <c r="K191" s="64"/>
      <c r="L191" s="64"/>
      <c r="M191" s="64"/>
      <c r="N191" s="78">
        <v>2.9940000000000001E-2</v>
      </c>
      <c r="O191" s="25"/>
      <c r="P191" s="25"/>
      <c r="Q191" s="25"/>
      <c r="R191" s="5"/>
    </row>
    <row r="192" spans="1:18" ht="15.6" x14ac:dyDescent="0.3">
      <c r="A192" s="75"/>
      <c r="B192" s="76" t="s">
        <v>241</v>
      </c>
      <c r="C192" s="77"/>
      <c r="D192" s="77"/>
      <c r="E192" s="64"/>
      <c r="F192" s="64"/>
      <c r="G192" s="64"/>
      <c r="H192" s="64"/>
      <c r="I192" s="64"/>
      <c r="J192" s="64"/>
      <c r="K192" s="64"/>
      <c r="L192" s="64"/>
      <c r="M192" s="64"/>
      <c r="N192" s="78">
        <f>+P45</f>
        <v>1.1632243299501376E-2</v>
      </c>
      <c r="O192" s="25"/>
      <c r="P192" s="25"/>
      <c r="Q192" s="25"/>
      <c r="R192" s="5"/>
    </row>
    <row r="193" spans="1:18" ht="15.6" x14ac:dyDescent="0.3">
      <c r="A193" s="75"/>
      <c r="B193" s="76" t="s">
        <v>81</v>
      </c>
      <c r="C193" s="77"/>
      <c r="D193" s="77"/>
      <c r="E193" s="64"/>
      <c r="F193" s="64"/>
      <c r="G193" s="64"/>
      <c r="H193" s="64"/>
      <c r="I193" s="64"/>
      <c r="J193" s="64"/>
      <c r="K193" s="64"/>
      <c r="L193" s="64"/>
      <c r="M193" s="64"/>
      <c r="N193" s="78">
        <f>N191-N192</f>
        <v>1.8307756700498626E-2</v>
      </c>
      <c r="O193" s="25"/>
      <c r="P193" s="25"/>
      <c r="Q193" s="25"/>
      <c r="R193" s="5"/>
    </row>
    <row r="194" spans="1:18" ht="15.6" x14ac:dyDescent="0.3">
      <c r="A194" s="75"/>
      <c r="B194" s="76" t="s">
        <v>257</v>
      </c>
      <c r="C194" s="77"/>
      <c r="D194" s="77"/>
      <c r="E194" s="64"/>
      <c r="F194" s="64"/>
      <c r="G194" s="64"/>
      <c r="H194" s="64"/>
      <c r="I194" s="64"/>
      <c r="J194" s="64"/>
      <c r="K194" s="64"/>
      <c r="L194" s="64"/>
      <c r="M194" s="64"/>
      <c r="N194" s="78">
        <f>+P103/H73</f>
        <v>8.2021199471197809E-3</v>
      </c>
      <c r="O194" s="25"/>
      <c r="P194" s="25"/>
      <c r="Q194" s="25"/>
      <c r="R194" s="5"/>
    </row>
    <row r="195" spans="1:18" ht="15.6" x14ac:dyDescent="0.3">
      <c r="A195" s="75"/>
      <c r="B195" s="76" t="s">
        <v>170</v>
      </c>
      <c r="C195" s="77"/>
      <c r="D195" s="77"/>
      <c r="E195" s="64"/>
      <c r="F195" s="64"/>
      <c r="G195" s="64"/>
      <c r="H195" s="64"/>
      <c r="I195" s="64"/>
      <c r="J195" s="64"/>
      <c r="K195" s="64"/>
      <c r="L195" s="64"/>
      <c r="M195" s="64"/>
      <c r="N195" s="133">
        <v>49065</v>
      </c>
      <c r="O195" s="25"/>
      <c r="P195" s="25"/>
      <c r="Q195" s="25"/>
      <c r="R195" s="5"/>
    </row>
    <row r="196" spans="1:18" ht="15.6" x14ac:dyDescent="0.3">
      <c r="A196" s="75"/>
      <c r="B196" s="76" t="s">
        <v>171</v>
      </c>
      <c r="C196" s="77"/>
      <c r="D196" s="77"/>
      <c r="E196" s="64"/>
      <c r="F196" s="64"/>
      <c r="G196" s="64"/>
      <c r="H196" s="64"/>
      <c r="I196" s="64"/>
      <c r="J196" s="64"/>
      <c r="K196" s="64"/>
      <c r="L196" s="64"/>
      <c r="M196" s="64"/>
      <c r="N196" s="133">
        <v>49065</v>
      </c>
      <c r="O196" s="25"/>
      <c r="P196" s="25"/>
      <c r="Q196" s="25"/>
      <c r="R196" s="5"/>
    </row>
    <row r="197" spans="1:18" ht="15.6" x14ac:dyDescent="0.3">
      <c r="A197" s="75"/>
      <c r="B197" s="76" t="s">
        <v>172</v>
      </c>
      <c r="C197" s="77"/>
      <c r="D197" s="77"/>
      <c r="E197" s="64"/>
      <c r="F197" s="64"/>
      <c r="G197" s="64"/>
      <c r="H197" s="64"/>
      <c r="I197" s="64"/>
      <c r="J197" s="64"/>
      <c r="K197" s="64"/>
      <c r="L197" s="64"/>
      <c r="M197" s="64"/>
      <c r="N197" s="133">
        <v>49065</v>
      </c>
      <c r="O197" s="25"/>
      <c r="P197" s="25"/>
      <c r="Q197" s="25"/>
      <c r="R197" s="5"/>
    </row>
    <row r="198" spans="1:18" ht="15.6" x14ac:dyDescent="0.3">
      <c r="A198" s="75"/>
      <c r="B198" s="76" t="s">
        <v>138</v>
      </c>
      <c r="C198" s="77"/>
      <c r="D198" s="77"/>
      <c r="E198" s="64"/>
      <c r="F198" s="64"/>
      <c r="G198" s="64"/>
      <c r="H198" s="64"/>
      <c r="I198" s="64"/>
      <c r="J198" s="64"/>
      <c r="K198" s="64"/>
      <c r="L198" s="64"/>
      <c r="M198" s="64"/>
      <c r="N198" s="133">
        <v>52352</v>
      </c>
      <c r="O198" s="25"/>
      <c r="P198" s="25"/>
      <c r="Q198" s="25"/>
      <c r="R198" s="5"/>
    </row>
    <row r="199" spans="1:18" ht="15.6" x14ac:dyDescent="0.3">
      <c r="A199" s="75"/>
      <c r="B199" s="76" t="s">
        <v>139</v>
      </c>
      <c r="C199" s="77"/>
      <c r="D199" s="77"/>
      <c r="E199" s="64"/>
      <c r="F199" s="64"/>
      <c r="G199" s="64"/>
      <c r="H199" s="64"/>
      <c r="I199" s="64"/>
      <c r="J199" s="64"/>
      <c r="K199" s="64"/>
      <c r="L199" s="64"/>
      <c r="M199" s="64"/>
      <c r="N199" s="133">
        <v>52352</v>
      </c>
      <c r="O199" s="25"/>
      <c r="P199" s="25"/>
      <c r="Q199" s="25"/>
      <c r="R199" s="5"/>
    </row>
    <row r="200" spans="1:18" ht="15.6" x14ac:dyDescent="0.3">
      <c r="A200" s="75"/>
      <c r="B200" s="76" t="s">
        <v>82</v>
      </c>
      <c r="C200" s="77"/>
      <c r="D200" s="77"/>
      <c r="E200" s="64"/>
      <c r="F200" s="64"/>
      <c r="G200" s="64"/>
      <c r="H200" s="64"/>
      <c r="I200" s="64"/>
      <c r="J200" s="64"/>
      <c r="K200" s="64"/>
      <c r="L200" s="64"/>
      <c r="M200" s="64"/>
      <c r="N200" s="137">
        <v>20.45</v>
      </c>
      <c r="O200" s="25" t="s">
        <v>125</v>
      </c>
      <c r="P200" s="25"/>
      <c r="Q200" s="25"/>
      <c r="R200" s="5"/>
    </row>
    <row r="201" spans="1:18" ht="15.6" x14ac:dyDescent="0.3">
      <c r="A201" s="75"/>
      <c r="B201" s="76" t="s">
        <v>83</v>
      </c>
      <c r="C201" s="77"/>
      <c r="D201" s="77"/>
      <c r="E201" s="64"/>
      <c r="F201" s="64"/>
      <c r="G201" s="64"/>
      <c r="H201" s="64"/>
      <c r="I201" s="64"/>
      <c r="J201" s="64"/>
      <c r="K201" s="64"/>
      <c r="L201" s="64"/>
      <c r="M201" s="64"/>
      <c r="N201" s="137">
        <v>16.559999999999999</v>
      </c>
      <c r="O201" s="25" t="s">
        <v>125</v>
      </c>
      <c r="P201" s="25"/>
      <c r="Q201" s="25"/>
      <c r="R201" s="5"/>
    </row>
    <row r="202" spans="1:18" ht="15.6" x14ac:dyDescent="0.3">
      <c r="A202" s="75"/>
      <c r="B202" s="76" t="s">
        <v>84</v>
      </c>
      <c r="C202" s="77"/>
      <c r="D202" s="77"/>
      <c r="E202" s="64"/>
      <c r="F202" s="64"/>
      <c r="G202" s="64"/>
      <c r="H202" s="64"/>
      <c r="I202" s="64"/>
      <c r="J202" s="64"/>
      <c r="K202" s="64"/>
      <c r="L202" s="64"/>
      <c r="M202" s="64"/>
      <c r="N202" s="78">
        <f>J70/H70</f>
        <v>9.6804916533597424E-3</v>
      </c>
      <c r="O202" s="25"/>
      <c r="P202" s="25"/>
      <c r="Q202" s="25"/>
      <c r="R202" s="5"/>
    </row>
    <row r="203" spans="1:18" ht="15.6" x14ac:dyDescent="0.3">
      <c r="A203" s="75"/>
      <c r="B203" s="76" t="s">
        <v>85</v>
      </c>
      <c r="C203" s="77"/>
      <c r="D203" s="77"/>
      <c r="E203" s="64"/>
      <c r="F203" s="64"/>
      <c r="G203" s="64"/>
      <c r="H203" s="64"/>
      <c r="I203" s="64"/>
      <c r="J203" s="64"/>
      <c r="K203" s="64"/>
      <c r="L203" s="64"/>
      <c r="M203" s="64"/>
      <c r="N203" s="78">
        <v>0.15640000000000001</v>
      </c>
      <c r="O203" s="25"/>
      <c r="P203" s="25"/>
      <c r="Q203" s="25"/>
      <c r="R203" s="5"/>
    </row>
    <row r="204" spans="1:18" ht="15.6" x14ac:dyDescent="0.3">
      <c r="A204" s="75"/>
      <c r="B204" s="76"/>
      <c r="C204" s="76"/>
      <c r="D204" s="76"/>
      <c r="E204" s="25"/>
      <c r="F204" s="25"/>
      <c r="G204" s="25"/>
      <c r="H204" s="25"/>
      <c r="I204" s="25"/>
      <c r="J204" s="25"/>
      <c r="K204" s="25"/>
      <c r="L204" s="25"/>
      <c r="M204" s="25"/>
      <c r="N204" s="61"/>
      <c r="O204" s="25"/>
      <c r="P204" s="79"/>
      <c r="Q204" s="25"/>
      <c r="R204" s="5"/>
    </row>
    <row r="205" spans="1:18" ht="15.6" x14ac:dyDescent="0.3">
      <c r="A205" s="80"/>
      <c r="B205" s="14" t="s">
        <v>86</v>
      </c>
      <c r="C205" s="81"/>
      <c r="D205" s="82"/>
      <c r="E205" s="81"/>
      <c r="F205" s="17"/>
      <c r="G205" s="17"/>
      <c r="H205" s="17"/>
      <c r="I205" s="17"/>
      <c r="J205" s="17"/>
      <c r="K205" s="17"/>
      <c r="L205" s="17"/>
      <c r="M205" s="17" t="s">
        <v>113</v>
      </c>
      <c r="N205" s="83" t="s">
        <v>121</v>
      </c>
      <c r="O205" s="8"/>
      <c r="P205" s="8"/>
      <c r="Q205" s="8"/>
      <c r="R205" s="5"/>
    </row>
    <row r="206" spans="1:18" ht="15.6" x14ac:dyDescent="0.3">
      <c r="A206" s="84"/>
      <c r="B206" s="76" t="s">
        <v>87</v>
      </c>
      <c r="C206" s="54"/>
      <c r="D206" s="25"/>
      <c r="E206" s="25"/>
      <c r="F206" s="30"/>
      <c r="G206" s="30"/>
      <c r="H206" s="30"/>
      <c r="I206" s="30"/>
      <c r="J206" s="30"/>
      <c r="K206" s="30"/>
      <c r="L206" s="30"/>
      <c r="M206" s="30">
        <v>1</v>
      </c>
      <c r="N206" s="177">
        <v>85</v>
      </c>
      <c r="O206" s="25"/>
      <c r="P206" s="79"/>
      <c r="Q206" s="86"/>
      <c r="R206" s="5"/>
    </row>
    <row r="207" spans="1:18" ht="15.6" x14ac:dyDescent="0.3">
      <c r="A207" s="84"/>
      <c r="B207" s="76" t="s">
        <v>203</v>
      </c>
      <c r="C207" s="54"/>
      <c r="D207" s="25"/>
      <c r="E207" s="25"/>
      <c r="F207" s="30"/>
      <c r="G207" s="30"/>
      <c r="H207" s="30"/>
      <c r="I207" s="30"/>
      <c r="J207" s="30"/>
      <c r="K207" s="30"/>
      <c r="L207" s="30"/>
      <c r="M207" s="151">
        <f>+L244</f>
        <v>104</v>
      </c>
      <c r="N207" s="85">
        <f>+N244</f>
        <v>15739</v>
      </c>
      <c r="O207" s="25"/>
      <c r="P207" s="79"/>
      <c r="Q207" s="86"/>
      <c r="R207" s="5"/>
    </row>
    <row r="208" spans="1:18" ht="15.6" x14ac:dyDescent="0.3">
      <c r="A208" s="84"/>
      <c r="B208" s="76" t="s">
        <v>88</v>
      </c>
      <c r="C208" s="54"/>
      <c r="D208" s="25"/>
      <c r="E208" s="25"/>
      <c r="F208" s="30"/>
      <c r="G208" s="30"/>
      <c r="H208" s="30"/>
      <c r="I208" s="30"/>
      <c r="J208" s="30"/>
      <c r="K208" s="30"/>
      <c r="L208" s="30"/>
      <c r="M208" s="151">
        <f>+L255</f>
        <v>0</v>
      </c>
      <c r="N208" s="85">
        <f>+N255</f>
        <v>0</v>
      </c>
      <c r="O208" s="25"/>
      <c r="P208" s="79"/>
      <c r="Q208" s="86"/>
      <c r="R208" s="5"/>
    </row>
    <row r="209" spans="1:18" ht="15.6" x14ac:dyDescent="0.3">
      <c r="A209" s="84"/>
      <c r="B209" s="122" t="s">
        <v>89</v>
      </c>
      <c r="C209" s="54"/>
      <c r="D209" s="25"/>
      <c r="E209" s="25"/>
      <c r="F209" s="25"/>
      <c r="G209" s="25"/>
      <c r="H209" s="25"/>
      <c r="I209" s="25"/>
      <c r="J209" s="25"/>
      <c r="K209" s="25"/>
      <c r="L209" s="25"/>
      <c r="M209" s="25"/>
      <c r="N209" s="85">
        <v>0</v>
      </c>
      <c r="O209" s="25"/>
      <c r="P209" s="79"/>
      <c r="Q209" s="86"/>
      <c r="R209" s="5"/>
    </row>
    <row r="210" spans="1:18" ht="15.6" x14ac:dyDescent="0.3">
      <c r="A210" s="84"/>
      <c r="B210" s="122" t="s">
        <v>90</v>
      </c>
      <c r="C210" s="54"/>
      <c r="D210" s="25"/>
      <c r="E210" s="25"/>
      <c r="F210" s="25"/>
      <c r="G210" s="25"/>
      <c r="H210" s="25"/>
      <c r="I210" s="25"/>
      <c r="J210" s="25"/>
      <c r="K210" s="25"/>
      <c r="L210" s="25"/>
      <c r="M210" s="25"/>
      <c r="N210" s="62" t="s">
        <v>122</v>
      </c>
      <c r="O210" s="25"/>
      <c r="P210" s="79"/>
      <c r="Q210" s="86"/>
      <c r="R210" s="5"/>
    </row>
    <row r="211" spans="1:18" ht="15.6" x14ac:dyDescent="0.3">
      <c r="A211" s="87"/>
      <c r="B211" s="122" t="s">
        <v>91</v>
      </c>
      <c r="C211" s="76"/>
      <c r="D211" s="76"/>
      <c r="E211" s="25"/>
      <c r="F211" s="25"/>
      <c r="G211" s="25"/>
      <c r="H211" s="25"/>
      <c r="I211" s="25"/>
      <c r="J211" s="167"/>
      <c r="K211" s="25"/>
      <c r="L211" s="25"/>
      <c r="M211" s="25"/>
      <c r="N211" s="85"/>
      <c r="O211" s="25"/>
      <c r="P211" s="79"/>
      <c r="Q211" s="88"/>
      <c r="R211" s="5"/>
    </row>
    <row r="212" spans="1:18" ht="15.6" x14ac:dyDescent="0.3">
      <c r="A212" s="87"/>
      <c r="B212" s="135" t="s">
        <v>92</v>
      </c>
      <c r="C212" s="76"/>
      <c r="D212" s="76"/>
      <c r="E212" s="25"/>
      <c r="F212" s="25"/>
      <c r="G212" s="25"/>
      <c r="H212" s="25"/>
      <c r="I212" s="25"/>
      <c r="J212" s="25"/>
      <c r="K212" s="25"/>
      <c r="L212" s="25"/>
      <c r="M212" s="25"/>
      <c r="N212" s="85">
        <f>P155</f>
        <v>327</v>
      </c>
      <c r="O212" s="25"/>
      <c r="P212" s="79"/>
      <c r="Q212" s="88"/>
      <c r="R212" s="5"/>
    </row>
    <row r="213" spans="1:18" ht="15.6" x14ac:dyDescent="0.3">
      <c r="A213" s="84"/>
      <c r="B213" s="76" t="s">
        <v>93</v>
      </c>
      <c r="C213" s="54"/>
      <c r="D213" s="54"/>
      <c r="E213" s="25"/>
      <c r="F213" s="25"/>
      <c r="G213" s="25"/>
      <c r="H213" s="25"/>
      <c r="I213" s="25"/>
      <c r="J213" s="25"/>
      <c r="K213" s="25"/>
      <c r="L213" s="25"/>
      <c r="M213" s="25"/>
      <c r="N213" s="85">
        <f>'July 09'!N212+'Oct 09'!N212</f>
        <v>2178</v>
      </c>
      <c r="O213" s="25"/>
      <c r="P213" s="79"/>
      <c r="Q213" s="88"/>
      <c r="R213" s="5"/>
    </row>
    <row r="214" spans="1:18" ht="15.6" x14ac:dyDescent="0.3">
      <c r="A214" s="87"/>
      <c r="B214" s="122" t="s">
        <v>278</v>
      </c>
      <c r="C214" s="76"/>
      <c r="D214" s="76"/>
      <c r="E214" s="25"/>
      <c r="F214" s="25"/>
      <c r="G214" s="25"/>
      <c r="H214" s="25"/>
      <c r="I214" s="25"/>
      <c r="J214" s="25"/>
      <c r="K214" s="25"/>
      <c r="L214" s="25"/>
      <c r="M214" s="25"/>
      <c r="N214" s="85"/>
      <c r="O214" s="25"/>
      <c r="P214" s="79"/>
      <c r="Q214" s="88"/>
      <c r="R214" s="5"/>
    </row>
    <row r="215" spans="1:18" ht="15.6" x14ac:dyDescent="0.3">
      <c r="A215" s="87"/>
      <c r="B215" s="76" t="s">
        <v>276</v>
      </c>
      <c r="C215" s="76"/>
      <c r="D215" s="76"/>
      <c r="E215" s="25"/>
      <c r="F215" s="25"/>
      <c r="G215" s="25"/>
      <c r="H215" s="25"/>
      <c r="I215" s="25"/>
      <c r="J215" s="25"/>
      <c r="K215" s="25"/>
      <c r="L215" s="25"/>
      <c r="M215" s="30">
        <v>0</v>
      </c>
      <c r="N215" s="177">
        <v>0</v>
      </c>
      <c r="O215" s="25"/>
      <c r="P215" s="79"/>
      <c r="Q215" s="88"/>
      <c r="R215" s="5"/>
    </row>
    <row r="216" spans="1:18" ht="15.6" x14ac:dyDescent="0.3">
      <c r="A216" s="84"/>
      <c r="B216" s="76" t="s">
        <v>95</v>
      </c>
      <c r="C216" s="89"/>
      <c r="D216" s="90"/>
      <c r="E216" s="25"/>
      <c r="F216" s="25"/>
      <c r="G216" s="25"/>
      <c r="H216" s="25"/>
      <c r="I216" s="25"/>
      <c r="J216" s="25"/>
      <c r="K216" s="25"/>
      <c r="L216" s="25"/>
      <c r="M216" s="25"/>
      <c r="N216" s="178">
        <v>0</v>
      </c>
      <c r="O216" s="25"/>
      <c r="P216" s="79"/>
      <c r="Q216" s="88"/>
      <c r="R216" s="5"/>
    </row>
    <row r="217" spans="1:18" ht="15.6" x14ac:dyDescent="0.3">
      <c r="A217" s="84"/>
      <c r="B217" s="76" t="s">
        <v>96</v>
      </c>
      <c r="C217" s="89"/>
      <c r="D217" s="90"/>
      <c r="E217" s="25"/>
      <c r="F217" s="25"/>
      <c r="G217" s="25"/>
      <c r="H217" s="25"/>
      <c r="I217" s="25"/>
      <c r="J217" s="25"/>
      <c r="K217" s="25"/>
      <c r="L217" s="25"/>
      <c r="M217" s="25"/>
      <c r="N217" s="178">
        <v>0</v>
      </c>
      <c r="O217" s="25"/>
      <c r="P217" s="79"/>
      <c r="Q217" s="88"/>
      <c r="R217" s="5"/>
    </row>
    <row r="218" spans="1:18" ht="15.6" x14ac:dyDescent="0.3">
      <c r="A218" s="84"/>
      <c r="B218" s="122" t="s">
        <v>251</v>
      </c>
      <c r="C218" s="89"/>
      <c r="D218" s="90"/>
      <c r="E218" s="25"/>
      <c r="F218" s="25"/>
      <c r="G218" s="25"/>
      <c r="H218" s="25"/>
      <c r="I218" s="25"/>
      <c r="J218" s="25"/>
      <c r="K218" s="25"/>
      <c r="L218" s="25"/>
      <c r="M218" s="25"/>
      <c r="N218" s="179"/>
      <c r="O218" s="25"/>
      <c r="P218" s="79"/>
      <c r="Q218" s="88"/>
      <c r="R218" s="5"/>
    </row>
    <row r="219" spans="1:18" ht="15.6" x14ac:dyDescent="0.3">
      <c r="A219" s="84"/>
      <c r="B219" s="76" t="s">
        <v>276</v>
      </c>
      <c r="C219" s="89"/>
      <c r="D219" s="90"/>
      <c r="E219" s="25"/>
      <c r="F219" s="25"/>
      <c r="G219" s="25"/>
      <c r="H219" s="25"/>
      <c r="I219" s="25"/>
      <c r="J219" s="25"/>
      <c r="K219" s="25"/>
      <c r="L219" s="25"/>
      <c r="M219" s="30">
        <v>6</v>
      </c>
      <c r="N219" s="177">
        <v>751</v>
      </c>
      <c r="O219" s="25"/>
      <c r="P219" s="79"/>
      <c r="Q219" s="88"/>
      <c r="R219" s="5"/>
    </row>
    <row r="220" spans="1:18" ht="15.6" x14ac:dyDescent="0.3">
      <c r="A220" s="84"/>
      <c r="B220" s="76" t="s">
        <v>252</v>
      </c>
      <c r="C220" s="89"/>
      <c r="D220" s="90"/>
      <c r="E220" s="25"/>
      <c r="F220" s="25"/>
      <c r="G220" s="25"/>
      <c r="H220" s="25"/>
      <c r="I220" s="25"/>
      <c r="J220" s="25"/>
      <c r="K220" s="25"/>
      <c r="L220" s="25"/>
      <c r="M220" s="25"/>
      <c r="N220" s="178">
        <v>29.77</v>
      </c>
      <c r="O220" s="25"/>
      <c r="P220" s="79"/>
      <c r="Q220" s="88"/>
      <c r="R220" s="5"/>
    </row>
    <row r="221" spans="1:18" ht="15.6" x14ac:dyDescent="0.3">
      <c r="A221" s="84"/>
      <c r="B221" s="76"/>
      <c r="C221" s="89"/>
      <c r="D221" s="90"/>
      <c r="E221" s="25"/>
      <c r="F221" s="25"/>
      <c r="G221" s="25"/>
      <c r="H221" s="25"/>
      <c r="I221" s="25"/>
      <c r="J221" s="25"/>
      <c r="K221" s="25"/>
      <c r="L221" s="25"/>
      <c r="M221" s="25"/>
      <c r="N221" s="91"/>
      <c r="O221" s="25"/>
      <c r="P221" s="79"/>
      <c r="Q221" s="88"/>
      <c r="R221" s="5"/>
    </row>
    <row r="222" spans="1:18" ht="17.399999999999999" x14ac:dyDescent="0.3">
      <c r="A222" s="84"/>
      <c r="B222" s="160" t="s">
        <v>244</v>
      </c>
      <c r="C222" s="161"/>
      <c r="D222" s="162"/>
      <c r="E222" s="163"/>
      <c r="F222" s="163"/>
      <c r="G222" s="163"/>
      <c r="H222" s="163"/>
      <c r="I222" s="166"/>
      <c r="J222" s="169" t="s">
        <v>243</v>
      </c>
      <c r="K222" s="163"/>
      <c r="L222" s="163"/>
      <c r="M222" s="25"/>
      <c r="N222" s="91"/>
      <c r="O222" s="25"/>
      <c r="P222" s="79"/>
      <c r="Q222" s="88"/>
      <c r="R222" s="5"/>
    </row>
    <row r="223" spans="1:18" ht="15.6" x14ac:dyDescent="0.3">
      <c r="A223" s="84"/>
      <c r="B223" s="156"/>
      <c r="C223" s="157"/>
      <c r="D223" s="158"/>
      <c r="E223" s="146"/>
      <c r="F223" s="146"/>
      <c r="G223" s="146"/>
      <c r="H223" s="146"/>
      <c r="I223" s="146"/>
      <c r="J223" s="146"/>
      <c r="K223" s="146"/>
      <c r="L223" s="146"/>
      <c r="M223" s="25"/>
      <c r="N223" s="91"/>
      <c r="O223" s="25"/>
      <c r="P223" s="79"/>
      <c r="Q223" s="88"/>
      <c r="R223" s="5"/>
    </row>
    <row r="224" spans="1:18" ht="15.6" x14ac:dyDescent="0.3">
      <c r="A224" s="6"/>
      <c r="B224" s="14" t="s">
        <v>236</v>
      </c>
      <c r="C224" s="81"/>
      <c r="D224" s="82"/>
      <c r="E224" s="81"/>
      <c r="F224" s="17"/>
      <c r="G224" s="17"/>
      <c r="H224" s="17"/>
      <c r="I224" s="17"/>
      <c r="J224" s="17"/>
      <c r="K224" s="17"/>
      <c r="L224" s="83" t="s">
        <v>113</v>
      </c>
      <c r="M224" s="17" t="s">
        <v>114</v>
      </c>
      <c r="N224" s="83" t="s">
        <v>123</v>
      </c>
      <c r="O224" s="17" t="s">
        <v>114</v>
      </c>
      <c r="P224" s="8"/>
      <c r="Q224" s="92"/>
      <c r="R224" s="5"/>
    </row>
    <row r="225" spans="1:18" ht="15.6" x14ac:dyDescent="0.3">
      <c r="A225" s="24"/>
      <c r="B225" s="54" t="s">
        <v>98</v>
      </c>
      <c r="C225" s="93"/>
      <c r="D225" s="25"/>
      <c r="E225" s="93"/>
      <c r="F225" s="93"/>
      <c r="G225" s="93"/>
      <c r="H225" s="93"/>
      <c r="I225" s="93"/>
      <c r="J225" s="93"/>
      <c r="K225" s="93"/>
      <c r="L225" s="54">
        <v>3603</v>
      </c>
      <c r="M225" s="94">
        <f t="shared" ref="M225:M232" si="1">L225/$L$233</f>
        <v>0.98415733406173178</v>
      </c>
      <c r="N225" s="53">
        <v>395861</v>
      </c>
      <c r="O225" s="136">
        <f t="shared" ref="O225:O232" si="2">N225/$N$233</f>
        <v>0.98288289406711271</v>
      </c>
      <c r="P225" s="79"/>
      <c r="Q225" s="88"/>
      <c r="R225" s="5"/>
    </row>
    <row r="226" spans="1:18" ht="15.6" x14ac:dyDescent="0.3">
      <c r="A226" s="24"/>
      <c r="B226" s="54" t="s">
        <v>99</v>
      </c>
      <c r="C226" s="93"/>
      <c r="D226" s="25"/>
      <c r="E226" s="94"/>
      <c r="F226" s="93"/>
      <c r="G226" s="93"/>
      <c r="H226" s="93"/>
      <c r="I226" s="93"/>
      <c r="J226" s="93"/>
      <c r="K226" s="93"/>
      <c r="L226" s="54">
        <v>39</v>
      </c>
      <c r="M226" s="94">
        <f t="shared" si="1"/>
        <v>1.0652827096421742E-2</v>
      </c>
      <c r="N226" s="53">
        <v>5330</v>
      </c>
      <c r="O226" s="136">
        <f t="shared" si="2"/>
        <v>1.3233851845414707E-2</v>
      </c>
      <c r="P226" s="79"/>
      <c r="Q226" s="88"/>
      <c r="R226" s="5"/>
    </row>
    <row r="227" spans="1:18" ht="15.6" x14ac:dyDescent="0.3">
      <c r="A227" s="24"/>
      <c r="B227" s="54" t="s">
        <v>100</v>
      </c>
      <c r="C227" s="93"/>
      <c r="D227" s="25"/>
      <c r="E227" s="94"/>
      <c r="F227" s="93"/>
      <c r="G227" s="93"/>
      <c r="H227" s="93"/>
      <c r="I227" s="93"/>
      <c r="J227" s="93"/>
      <c r="K227" s="93"/>
      <c r="L227" s="54">
        <v>6</v>
      </c>
      <c r="M227" s="94">
        <f t="shared" si="1"/>
        <v>1.6388964763725759E-3</v>
      </c>
      <c r="N227" s="53">
        <v>722</v>
      </c>
      <c r="O227" s="136">
        <f t="shared" si="2"/>
        <v>1.7926531017616169E-3</v>
      </c>
      <c r="P227" s="79"/>
      <c r="Q227" s="88"/>
      <c r="R227" s="5"/>
    </row>
    <row r="228" spans="1:18" ht="15.6" x14ac:dyDescent="0.3">
      <c r="A228" s="24"/>
      <c r="B228" s="54" t="s">
        <v>227</v>
      </c>
      <c r="C228" s="93"/>
      <c r="D228" s="25"/>
      <c r="E228" s="94"/>
      <c r="F228" s="93"/>
      <c r="G228" s="93"/>
      <c r="H228" s="93"/>
      <c r="I228" s="93"/>
      <c r="J228" s="93"/>
      <c r="K228" s="93"/>
      <c r="L228" s="54">
        <v>3</v>
      </c>
      <c r="M228" s="94">
        <f t="shared" si="1"/>
        <v>8.1944823818628793E-4</v>
      </c>
      <c r="N228" s="53">
        <v>249</v>
      </c>
      <c r="O228" s="136">
        <f t="shared" si="2"/>
        <v>6.1824185919479588E-4</v>
      </c>
      <c r="P228" s="79"/>
      <c r="Q228" s="88"/>
      <c r="R228" s="5"/>
    </row>
    <row r="229" spans="1:18" ht="15.6" x14ac:dyDescent="0.3">
      <c r="A229" s="24"/>
      <c r="B229" s="54" t="s">
        <v>228</v>
      </c>
      <c r="C229" s="93"/>
      <c r="D229" s="25"/>
      <c r="E229" s="94"/>
      <c r="F229" s="93"/>
      <c r="G229" s="93"/>
      <c r="H229" s="93"/>
      <c r="I229" s="93"/>
      <c r="J229" s="93"/>
      <c r="K229" s="93"/>
      <c r="L229" s="54">
        <v>3</v>
      </c>
      <c r="M229" s="94">
        <f t="shared" si="1"/>
        <v>8.1944823818628793E-4</v>
      </c>
      <c r="N229" s="53">
        <v>174</v>
      </c>
      <c r="O229" s="136">
        <f t="shared" si="2"/>
        <v>4.3202443172648386E-4</v>
      </c>
      <c r="P229" s="79"/>
      <c r="Q229" s="88"/>
      <c r="R229" s="5"/>
    </row>
    <row r="230" spans="1:18" ht="15.6" x14ac:dyDescent="0.3">
      <c r="A230" s="24"/>
      <c r="B230" s="54" t="s">
        <v>229</v>
      </c>
      <c r="C230" s="93"/>
      <c r="D230" s="25"/>
      <c r="E230" s="94"/>
      <c r="F230" s="93"/>
      <c r="G230" s="93"/>
      <c r="H230" s="93"/>
      <c r="I230" s="93"/>
      <c r="J230" s="93"/>
      <c r="K230" s="93"/>
      <c r="L230" s="54">
        <v>1</v>
      </c>
      <c r="M230" s="94">
        <f t="shared" si="1"/>
        <v>2.7314941272876261E-4</v>
      </c>
      <c r="N230" s="53">
        <v>41</v>
      </c>
      <c r="O230" s="136">
        <f t="shared" si="2"/>
        <v>1.0179886034934389E-4</v>
      </c>
      <c r="P230" s="79"/>
      <c r="Q230" s="88"/>
      <c r="R230" s="5"/>
    </row>
    <row r="231" spans="1:18" ht="15.6" x14ac:dyDescent="0.3">
      <c r="A231" s="24"/>
      <c r="B231" s="54" t="s">
        <v>230</v>
      </c>
      <c r="C231" s="93"/>
      <c r="D231" s="25"/>
      <c r="E231" s="94"/>
      <c r="F231" s="93"/>
      <c r="G231" s="93"/>
      <c r="H231" s="93"/>
      <c r="I231" s="93"/>
      <c r="J231" s="93"/>
      <c r="K231" s="93"/>
      <c r="L231" s="54">
        <v>6</v>
      </c>
      <c r="M231" s="94">
        <f t="shared" si="1"/>
        <v>1.6388964763725759E-3</v>
      </c>
      <c r="N231" s="53">
        <v>378</v>
      </c>
      <c r="O231" s="136">
        <f t="shared" si="2"/>
        <v>9.3853583444029247E-4</v>
      </c>
      <c r="P231" s="79"/>
      <c r="Q231" s="88"/>
      <c r="R231" s="5"/>
    </row>
    <row r="232" spans="1:18" ht="15.6" x14ac:dyDescent="0.3">
      <c r="A232" s="24"/>
      <c r="B232" s="54" t="s">
        <v>231</v>
      </c>
      <c r="C232" s="93"/>
      <c r="D232" s="25"/>
      <c r="E232" s="94"/>
      <c r="F232" s="93"/>
      <c r="G232" s="93"/>
      <c r="H232" s="93"/>
      <c r="I232" s="93"/>
      <c r="J232" s="93"/>
      <c r="K232" s="93"/>
      <c r="L232" s="54">
        <v>0</v>
      </c>
      <c r="M232" s="94">
        <f t="shared" si="1"/>
        <v>0</v>
      </c>
      <c r="N232" s="53">
        <v>0</v>
      </c>
      <c r="O232" s="136">
        <f t="shared" si="2"/>
        <v>0</v>
      </c>
      <c r="P232" s="79"/>
      <c r="Q232" s="88"/>
      <c r="R232" s="5"/>
    </row>
    <row r="233" spans="1:18" ht="15.6" x14ac:dyDescent="0.3">
      <c r="A233" s="24"/>
      <c r="B233" s="25" t="s">
        <v>129</v>
      </c>
      <c r="C233" s="25"/>
      <c r="D233" s="25"/>
      <c r="E233" s="25"/>
      <c r="F233" s="95"/>
      <c r="G233" s="95"/>
      <c r="H233" s="95"/>
      <c r="I233" s="95"/>
      <c r="J233" s="95"/>
      <c r="K233" s="95"/>
      <c r="L233" s="34">
        <f>SUM(L225:L232)</f>
        <v>3661</v>
      </c>
      <c r="M233" s="136">
        <f>SUM(M225:M232)</f>
        <v>1</v>
      </c>
      <c r="N233" s="53">
        <f>SUM(N225:N232)</f>
        <v>402755</v>
      </c>
      <c r="O233" s="136">
        <f>SUM(O225:O232)</f>
        <v>0.99999999999999989</v>
      </c>
      <c r="P233" s="25"/>
      <c r="Q233" s="25"/>
      <c r="R233" s="5"/>
    </row>
    <row r="234" spans="1:18" ht="15.6" x14ac:dyDescent="0.3">
      <c r="A234" s="24"/>
      <c r="B234" s="25"/>
      <c r="C234" s="25"/>
      <c r="D234" s="25"/>
      <c r="E234" s="25"/>
      <c r="F234" s="95"/>
      <c r="G234" s="95"/>
      <c r="H234" s="95"/>
      <c r="I234" s="95"/>
      <c r="J234" s="95"/>
      <c r="K234" s="95"/>
      <c r="L234" s="34"/>
      <c r="M234" s="136"/>
      <c r="N234" s="53"/>
      <c r="O234" s="136"/>
      <c r="P234" s="25"/>
      <c r="Q234" s="25"/>
      <c r="R234" s="5"/>
    </row>
    <row r="235" spans="1:18" ht="15.6" x14ac:dyDescent="0.3">
      <c r="A235" s="148"/>
      <c r="B235" s="14" t="s">
        <v>238</v>
      </c>
      <c r="C235" s="81"/>
      <c r="D235" s="82"/>
      <c r="E235" s="81"/>
      <c r="F235" s="17"/>
      <c r="G235" s="17"/>
      <c r="H235" s="17"/>
      <c r="I235" s="17"/>
      <c r="J235" s="17"/>
      <c r="K235" s="17"/>
      <c r="L235" s="83" t="s">
        <v>113</v>
      </c>
      <c r="M235" s="17" t="s">
        <v>114</v>
      </c>
      <c r="N235" s="83" t="s">
        <v>123</v>
      </c>
      <c r="O235" s="17" t="s">
        <v>114</v>
      </c>
      <c r="P235" s="8"/>
      <c r="Q235" s="149"/>
      <c r="R235" s="5"/>
    </row>
    <row r="236" spans="1:18" ht="15.6" x14ac:dyDescent="0.3">
      <c r="A236" s="24"/>
      <c r="B236" s="54" t="s">
        <v>98</v>
      </c>
      <c r="C236" s="93"/>
      <c r="D236" s="25"/>
      <c r="E236" s="93"/>
      <c r="F236" s="93"/>
      <c r="G236" s="93"/>
      <c r="H236" s="93"/>
      <c r="I236" s="93"/>
      <c r="J236" s="93"/>
      <c r="K236" s="93"/>
      <c r="L236" s="54">
        <v>20</v>
      </c>
      <c r="M236" s="94">
        <f t="shared" ref="M236:M243" si="3">L236/$L$244</f>
        <v>0.19230769230769232</v>
      </c>
      <c r="N236" s="53">
        <v>2373</v>
      </c>
      <c r="O236" s="136">
        <f t="shared" ref="O236:O243" si="4">N236/$N$244</f>
        <v>0.15077196772348941</v>
      </c>
      <c r="P236" s="79"/>
      <c r="Q236" s="25"/>
      <c r="R236" s="5"/>
    </row>
    <row r="237" spans="1:18" ht="15.6" x14ac:dyDescent="0.3">
      <c r="A237" s="24"/>
      <c r="B237" s="54" t="s">
        <v>99</v>
      </c>
      <c r="C237" s="93"/>
      <c r="D237" s="25"/>
      <c r="E237" s="94"/>
      <c r="F237" s="93"/>
      <c r="G237" s="93"/>
      <c r="H237" s="93"/>
      <c r="I237" s="93"/>
      <c r="J237" s="93"/>
      <c r="K237" s="93"/>
      <c r="L237" s="54">
        <v>29</v>
      </c>
      <c r="M237" s="94">
        <f t="shared" si="3"/>
        <v>0.27884615384615385</v>
      </c>
      <c r="N237" s="53">
        <v>4820</v>
      </c>
      <c r="O237" s="136">
        <f t="shared" si="4"/>
        <v>0.30624563186987735</v>
      </c>
      <c r="P237" s="79"/>
      <c r="Q237" s="25"/>
      <c r="R237" s="5"/>
    </row>
    <row r="238" spans="1:18" ht="15.6" x14ac:dyDescent="0.3">
      <c r="A238" s="24"/>
      <c r="B238" s="54" t="s">
        <v>100</v>
      </c>
      <c r="C238" s="93"/>
      <c r="D238" s="25"/>
      <c r="E238" s="94"/>
      <c r="F238" s="93"/>
      <c r="G238" s="93"/>
      <c r="H238" s="93"/>
      <c r="I238" s="93"/>
      <c r="J238" s="93"/>
      <c r="K238" s="93"/>
      <c r="L238" s="54">
        <v>13</v>
      </c>
      <c r="M238" s="94">
        <f t="shared" si="3"/>
        <v>0.125</v>
      </c>
      <c r="N238" s="53">
        <v>1765</v>
      </c>
      <c r="O238" s="136">
        <f t="shared" si="4"/>
        <v>0.11214181332994472</v>
      </c>
      <c r="P238" s="79"/>
      <c r="Q238" s="25"/>
      <c r="R238" s="5"/>
    </row>
    <row r="239" spans="1:18" ht="15.6" x14ac:dyDescent="0.3">
      <c r="A239" s="24"/>
      <c r="B239" s="54" t="s">
        <v>227</v>
      </c>
      <c r="C239" s="93"/>
      <c r="D239" s="25"/>
      <c r="E239" s="94"/>
      <c r="F239" s="93"/>
      <c r="G239" s="93"/>
      <c r="H239" s="93"/>
      <c r="I239" s="93"/>
      <c r="J239" s="93"/>
      <c r="K239" s="93"/>
      <c r="L239" s="54">
        <v>2</v>
      </c>
      <c r="M239" s="94">
        <f t="shared" si="3"/>
        <v>1.9230769230769232E-2</v>
      </c>
      <c r="N239" s="53">
        <v>317</v>
      </c>
      <c r="O239" s="136">
        <f t="shared" si="4"/>
        <v>2.0141050892686956E-2</v>
      </c>
      <c r="P239" s="79"/>
      <c r="Q239" s="25"/>
      <c r="R239" s="5"/>
    </row>
    <row r="240" spans="1:18" ht="15.6" x14ac:dyDescent="0.3">
      <c r="A240" s="24"/>
      <c r="B240" s="54" t="s">
        <v>228</v>
      </c>
      <c r="C240" s="93"/>
      <c r="D240" s="25"/>
      <c r="E240" s="94"/>
      <c r="F240" s="93"/>
      <c r="G240" s="93"/>
      <c r="H240" s="93"/>
      <c r="I240" s="93"/>
      <c r="J240" s="93"/>
      <c r="K240" s="93"/>
      <c r="L240" s="54">
        <v>2</v>
      </c>
      <c r="M240" s="94">
        <f t="shared" si="3"/>
        <v>1.9230769230769232E-2</v>
      </c>
      <c r="N240" s="53">
        <v>204</v>
      </c>
      <c r="O240" s="136">
        <f t="shared" si="4"/>
        <v>1.2961433382044602E-2</v>
      </c>
      <c r="P240" s="79"/>
      <c r="Q240" s="25"/>
      <c r="R240" s="5"/>
    </row>
    <row r="241" spans="1:18" ht="15.6" x14ac:dyDescent="0.3">
      <c r="A241" s="24"/>
      <c r="B241" s="54" t="s">
        <v>229</v>
      </c>
      <c r="C241" s="93"/>
      <c r="D241" s="25"/>
      <c r="E241" s="94"/>
      <c r="F241" s="93"/>
      <c r="G241" s="93"/>
      <c r="H241" s="93"/>
      <c r="I241" s="93"/>
      <c r="J241" s="93"/>
      <c r="K241" s="93"/>
      <c r="L241" s="54">
        <v>4</v>
      </c>
      <c r="M241" s="94">
        <f t="shared" si="3"/>
        <v>3.8461538461538464E-2</v>
      </c>
      <c r="N241" s="53">
        <v>495</v>
      </c>
      <c r="O241" s="136">
        <f t="shared" si="4"/>
        <v>3.1450536882902343E-2</v>
      </c>
      <c r="P241" s="79"/>
      <c r="Q241" s="25"/>
      <c r="R241" s="5"/>
    </row>
    <row r="242" spans="1:18" ht="15.6" x14ac:dyDescent="0.3">
      <c r="A242" s="24"/>
      <c r="B242" s="54" t="s">
        <v>230</v>
      </c>
      <c r="C242" s="93"/>
      <c r="D242" s="25"/>
      <c r="E242" s="94"/>
      <c r="F242" s="93"/>
      <c r="G242" s="93"/>
      <c r="H242" s="93"/>
      <c r="I242" s="93"/>
      <c r="J242" s="93"/>
      <c r="K242" s="93"/>
      <c r="L242" s="54">
        <v>19</v>
      </c>
      <c r="M242" s="94">
        <f t="shared" si="3"/>
        <v>0.18269230769230768</v>
      </c>
      <c r="N242" s="53">
        <v>3196</v>
      </c>
      <c r="O242" s="136">
        <f t="shared" si="4"/>
        <v>0.20306245631869876</v>
      </c>
      <c r="P242" s="79"/>
      <c r="Q242" s="25"/>
      <c r="R242" s="5"/>
    </row>
    <row r="243" spans="1:18" ht="15.6" x14ac:dyDescent="0.3">
      <c r="A243" s="24"/>
      <c r="B243" s="54" t="s">
        <v>231</v>
      </c>
      <c r="C243" s="93"/>
      <c r="D243" s="25"/>
      <c r="E243" s="94"/>
      <c r="F243" s="93"/>
      <c r="G243" s="93"/>
      <c r="H243" s="93"/>
      <c r="I243" s="93"/>
      <c r="J243" s="93"/>
      <c r="K243" s="93"/>
      <c r="L243" s="54">
        <v>15</v>
      </c>
      <c r="M243" s="94">
        <f t="shared" si="3"/>
        <v>0.14423076923076922</v>
      </c>
      <c r="N243" s="53">
        <v>2569</v>
      </c>
      <c r="O243" s="136">
        <f t="shared" si="4"/>
        <v>0.1632251096003558</v>
      </c>
      <c r="P243" s="79"/>
      <c r="Q243" s="25"/>
      <c r="R243" s="5"/>
    </row>
    <row r="244" spans="1:18" ht="15.6" x14ac:dyDescent="0.3">
      <c r="A244" s="24"/>
      <c r="B244" s="25" t="s">
        <v>129</v>
      </c>
      <c r="C244" s="25"/>
      <c r="D244" s="25"/>
      <c r="E244" s="25"/>
      <c r="F244" s="95"/>
      <c r="G244" s="95"/>
      <c r="H244" s="95"/>
      <c r="I244" s="95"/>
      <c r="J244" s="95"/>
      <c r="K244" s="95"/>
      <c r="L244" s="34">
        <f>SUM(L236:L243)</f>
        <v>104</v>
      </c>
      <c r="M244" s="136">
        <f>SUM(M236:M243)</f>
        <v>1</v>
      </c>
      <c r="N244" s="53">
        <f>SUM(N236:N243)</f>
        <v>15739</v>
      </c>
      <c r="O244" s="136">
        <f>SUM(O236:O243)</f>
        <v>1</v>
      </c>
      <c r="P244" s="25"/>
      <c r="Q244" s="25"/>
      <c r="R244" s="5"/>
    </row>
    <row r="245" spans="1:18" ht="15.6" x14ac:dyDescent="0.3">
      <c r="A245" s="24"/>
      <c r="B245" s="25"/>
      <c r="C245" s="25"/>
      <c r="D245" s="25"/>
      <c r="E245" s="25"/>
      <c r="F245" s="95"/>
      <c r="G245" s="95"/>
      <c r="H245" s="95"/>
      <c r="I245" s="95"/>
      <c r="J245" s="95"/>
      <c r="K245" s="95"/>
      <c r="L245" s="34"/>
      <c r="M245" s="136"/>
      <c r="N245" s="53"/>
      <c r="O245" s="136"/>
      <c r="P245" s="25"/>
      <c r="Q245" s="25"/>
      <c r="R245" s="5"/>
    </row>
    <row r="246" spans="1:18" ht="15.6" x14ac:dyDescent="0.3">
      <c r="A246" s="148"/>
      <c r="B246" s="14" t="s">
        <v>239</v>
      </c>
      <c r="C246" s="81"/>
      <c r="D246" s="82"/>
      <c r="E246" s="81"/>
      <c r="F246" s="17"/>
      <c r="G246" s="17"/>
      <c r="H246" s="17"/>
      <c r="I246" s="17"/>
      <c r="J246" s="17"/>
      <c r="K246" s="17"/>
      <c r="L246" s="83" t="s">
        <v>113</v>
      </c>
      <c r="M246" s="17" t="s">
        <v>114</v>
      </c>
      <c r="N246" s="83" t="s">
        <v>123</v>
      </c>
      <c r="O246" s="17" t="s">
        <v>114</v>
      </c>
      <c r="P246" s="150"/>
      <c r="Q246" s="149"/>
      <c r="R246" s="5"/>
    </row>
    <row r="247" spans="1:18" ht="15.6" x14ac:dyDescent="0.3">
      <c r="A247" s="24"/>
      <c r="B247" s="54" t="s">
        <v>98</v>
      </c>
      <c r="C247" s="93"/>
      <c r="D247" s="25"/>
      <c r="E247" s="93"/>
      <c r="F247" s="93"/>
      <c r="G247" s="93"/>
      <c r="H247" s="93"/>
      <c r="I247" s="93"/>
      <c r="J247" s="93"/>
      <c r="K247" s="93"/>
      <c r="L247" s="54">
        <v>0</v>
      </c>
      <c r="M247" s="136">
        <v>0</v>
      </c>
      <c r="N247" s="53">
        <v>0</v>
      </c>
      <c r="O247" s="136">
        <v>0</v>
      </c>
      <c r="P247" s="25"/>
      <c r="Q247" s="25"/>
      <c r="R247" s="5"/>
    </row>
    <row r="248" spans="1:18" ht="15.6" x14ac:dyDescent="0.3">
      <c r="A248" s="24"/>
      <c r="B248" s="54" t="s">
        <v>99</v>
      </c>
      <c r="C248" s="93"/>
      <c r="D248" s="25"/>
      <c r="E248" s="94"/>
      <c r="F248" s="93"/>
      <c r="G248" s="93"/>
      <c r="H248" s="93"/>
      <c r="I248" s="93"/>
      <c r="J248" s="93"/>
      <c r="K248" s="93"/>
      <c r="L248" s="54">
        <v>0</v>
      </c>
      <c r="M248" s="136">
        <v>0</v>
      </c>
      <c r="N248" s="53">
        <v>0</v>
      </c>
      <c r="O248" s="136">
        <v>0</v>
      </c>
      <c r="P248" s="25"/>
      <c r="Q248" s="25"/>
      <c r="R248" s="5"/>
    </row>
    <row r="249" spans="1:18" ht="15.6" x14ac:dyDescent="0.3">
      <c r="A249" s="24"/>
      <c r="B249" s="54" t="s">
        <v>100</v>
      </c>
      <c r="C249" s="93"/>
      <c r="D249" s="25"/>
      <c r="E249" s="94"/>
      <c r="F249" s="93"/>
      <c r="G249" s="93"/>
      <c r="H249" s="93"/>
      <c r="I249" s="93"/>
      <c r="J249" s="93"/>
      <c r="K249" s="93"/>
      <c r="L249" s="54">
        <v>0</v>
      </c>
      <c r="M249" s="136">
        <v>0</v>
      </c>
      <c r="N249" s="53">
        <v>0</v>
      </c>
      <c r="O249" s="136">
        <v>0</v>
      </c>
      <c r="P249" s="25"/>
      <c r="Q249" s="25"/>
      <c r="R249" s="5"/>
    </row>
    <row r="250" spans="1:18" ht="15.6" x14ac:dyDescent="0.3">
      <c r="A250" s="24"/>
      <c r="B250" s="54" t="s">
        <v>227</v>
      </c>
      <c r="C250" s="93"/>
      <c r="D250" s="25"/>
      <c r="E250" s="94"/>
      <c r="F250" s="93"/>
      <c r="G250" s="93"/>
      <c r="H250" s="93"/>
      <c r="I250" s="93"/>
      <c r="J250" s="93"/>
      <c r="K250" s="93"/>
      <c r="L250" s="54">
        <v>0</v>
      </c>
      <c r="M250" s="136">
        <v>0</v>
      </c>
      <c r="N250" s="53">
        <v>0</v>
      </c>
      <c r="O250" s="136">
        <v>0</v>
      </c>
      <c r="P250" s="25"/>
      <c r="Q250" s="25"/>
      <c r="R250" s="5"/>
    </row>
    <row r="251" spans="1:18" ht="15.6" x14ac:dyDescent="0.3">
      <c r="A251" s="24"/>
      <c r="B251" s="54" t="s">
        <v>228</v>
      </c>
      <c r="C251" s="93"/>
      <c r="D251" s="25"/>
      <c r="E251" s="94"/>
      <c r="F251" s="93"/>
      <c r="G251" s="93"/>
      <c r="H251" s="93"/>
      <c r="I251" s="93"/>
      <c r="J251" s="93"/>
      <c r="K251" s="93"/>
      <c r="L251" s="54">
        <v>0</v>
      </c>
      <c r="M251" s="136">
        <v>0</v>
      </c>
      <c r="N251" s="53">
        <v>0</v>
      </c>
      <c r="O251" s="136">
        <v>0</v>
      </c>
      <c r="P251" s="25"/>
      <c r="Q251" s="25"/>
      <c r="R251" s="5"/>
    </row>
    <row r="252" spans="1:18" ht="15.6" x14ac:dyDescent="0.3">
      <c r="A252" s="24"/>
      <c r="B252" s="54" t="s">
        <v>229</v>
      </c>
      <c r="C252" s="93"/>
      <c r="D252" s="25"/>
      <c r="E252" s="94"/>
      <c r="F252" s="93"/>
      <c r="G252" s="93"/>
      <c r="H252" s="93"/>
      <c r="I252" s="93"/>
      <c r="J252" s="93"/>
      <c r="K252" s="93"/>
      <c r="L252" s="54">
        <v>0</v>
      </c>
      <c r="M252" s="136">
        <v>0</v>
      </c>
      <c r="N252" s="53">
        <v>0</v>
      </c>
      <c r="O252" s="136">
        <v>0</v>
      </c>
      <c r="P252" s="25"/>
      <c r="Q252" s="25"/>
      <c r="R252" s="5"/>
    </row>
    <row r="253" spans="1:18" ht="15.6" x14ac:dyDescent="0.3">
      <c r="A253" s="24"/>
      <c r="B253" s="54" t="s">
        <v>230</v>
      </c>
      <c r="C253" s="93"/>
      <c r="D253" s="25"/>
      <c r="E253" s="94"/>
      <c r="F253" s="93"/>
      <c r="G253" s="93"/>
      <c r="H253" s="93"/>
      <c r="I253" s="93"/>
      <c r="J253" s="93"/>
      <c r="K253" s="93"/>
      <c r="L253" s="54">
        <v>0</v>
      </c>
      <c r="M253" s="136">
        <v>0</v>
      </c>
      <c r="N253" s="53">
        <v>0</v>
      </c>
      <c r="O253" s="136">
        <v>0</v>
      </c>
      <c r="P253" s="25"/>
      <c r="Q253" s="25"/>
      <c r="R253" s="5"/>
    </row>
    <row r="254" spans="1:18" ht="15.6" x14ac:dyDescent="0.3">
      <c r="A254" s="24"/>
      <c r="B254" s="54" t="s">
        <v>231</v>
      </c>
      <c r="C254" s="93"/>
      <c r="D254" s="25"/>
      <c r="E254" s="94"/>
      <c r="F254" s="93"/>
      <c r="G254" s="93"/>
      <c r="H254" s="93"/>
      <c r="I254" s="93"/>
      <c r="J254" s="93"/>
      <c r="K254" s="93"/>
      <c r="L254" s="54">
        <v>0</v>
      </c>
      <c r="M254" s="136">
        <v>0</v>
      </c>
      <c r="N254" s="53">
        <v>0</v>
      </c>
      <c r="O254" s="136">
        <v>0</v>
      </c>
      <c r="P254" s="25"/>
      <c r="Q254" s="25"/>
      <c r="R254" s="5"/>
    </row>
    <row r="255" spans="1:18" ht="15.6" x14ac:dyDescent="0.3">
      <c r="A255" s="24"/>
      <c r="B255" s="25" t="s">
        <v>129</v>
      </c>
      <c r="C255" s="25"/>
      <c r="D255" s="25"/>
      <c r="E255" s="25"/>
      <c r="F255" s="95"/>
      <c r="G255" s="95"/>
      <c r="H255" s="95"/>
      <c r="I255" s="95"/>
      <c r="J255" s="95"/>
      <c r="K255" s="95"/>
      <c r="L255" s="34">
        <f>SUM(L247:L254)</f>
        <v>0</v>
      </c>
      <c r="M255" s="136">
        <v>0</v>
      </c>
      <c r="N255" s="53">
        <f>SUM(N247:N254)</f>
        <v>0</v>
      </c>
      <c r="O255" s="136">
        <v>0</v>
      </c>
      <c r="P255" s="25"/>
      <c r="Q255" s="25"/>
      <c r="R255" s="5"/>
    </row>
    <row r="256" spans="1:18" ht="15.6" x14ac:dyDescent="0.3">
      <c r="A256" s="24"/>
      <c r="B256" s="25"/>
      <c r="C256" s="25"/>
      <c r="D256" s="25"/>
      <c r="E256" s="25"/>
      <c r="F256" s="95"/>
      <c r="G256" s="95"/>
      <c r="H256" s="95"/>
      <c r="I256" s="95"/>
      <c r="J256" s="95"/>
      <c r="K256" s="95"/>
      <c r="L256" s="34"/>
      <c r="M256" s="136"/>
      <c r="N256" s="53"/>
      <c r="O256" s="136"/>
      <c r="P256" s="25"/>
      <c r="Q256" s="25"/>
      <c r="R256" s="5"/>
    </row>
    <row r="257" spans="1:18" ht="15.6" x14ac:dyDescent="0.3">
      <c r="A257" s="24"/>
      <c r="B257" s="152" t="s">
        <v>240</v>
      </c>
      <c r="C257" s="25"/>
      <c r="D257" s="25"/>
      <c r="E257" s="25"/>
      <c r="F257" s="95"/>
      <c r="G257" s="95"/>
      <c r="H257" s="95"/>
      <c r="I257" s="95"/>
      <c r="J257" s="95"/>
      <c r="K257" s="95"/>
      <c r="L257" s="173">
        <f>+L233+L244+L255</f>
        <v>3765</v>
      </c>
      <c r="M257" s="136"/>
      <c r="N257" s="175">
        <f>+N255+N244+N233</f>
        <v>418494</v>
      </c>
      <c r="O257" s="136"/>
      <c r="P257" s="25"/>
      <c r="Q257" s="25"/>
      <c r="R257" s="5"/>
    </row>
    <row r="258" spans="1:18" ht="15.6" x14ac:dyDescent="0.3">
      <c r="A258" s="24"/>
      <c r="B258" s="25"/>
      <c r="C258" s="25"/>
      <c r="D258" s="25"/>
      <c r="E258" s="25"/>
      <c r="F258" s="95"/>
      <c r="G258" s="95"/>
      <c r="H258" s="95"/>
      <c r="I258" s="95"/>
      <c r="J258" s="95"/>
      <c r="K258" s="95"/>
      <c r="L258" s="95"/>
      <c r="M258" s="95"/>
      <c r="N258" s="53"/>
      <c r="O258" s="95"/>
      <c r="P258" s="25"/>
      <c r="Q258" s="25"/>
      <c r="R258" s="5"/>
    </row>
    <row r="259" spans="1:18" ht="15.6" x14ac:dyDescent="0.3">
      <c r="A259" s="6"/>
      <c r="B259" s="8"/>
      <c r="C259" s="8"/>
      <c r="D259" s="8"/>
      <c r="E259" s="8"/>
      <c r="F259" s="96"/>
      <c r="G259" s="96"/>
      <c r="H259" s="96"/>
      <c r="I259" s="96"/>
      <c r="J259" s="96"/>
      <c r="K259" s="96"/>
      <c r="L259" s="96"/>
      <c r="M259" s="96"/>
      <c r="N259" s="97"/>
      <c r="O259" s="96"/>
      <c r="P259" s="8"/>
      <c r="Q259" s="8"/>
      <c r="R259" s="5"/>
    </row>
    <row r="260" spans="1:18" ht="15.6" x14ac:dyDescent="0.3">
      <c r="A260" s="145"/>
      <c r="B260" s="14" t="s">
        <v>102</v>
      </c>
      <c r="C260" s="15"/>
      <c r="D260" s="15"/>
      <c r="E260" s="15"/>
      <c r="F260" s="17" t="s">
        <v>108</v>
      </c>
      <c r="G260" s="15"/>
      <c r="H260" s="14" t="s">
        <v>110</v>
      </c>
      <c r="I260" s="140"/>
      <c r="J260" s="140"/>
      <c r="K260" s="140"/>
      <c r="L260" s="140"/>
      <c r="M260" s="140"/>
      <c r="N260" s="140"/>
      <c r="O260" s="140"/>
      <c r="P260" s="140"/>
      <c r="Q260" s="140"/>
      <c r="R260" s="5"/>
    </row>
    <row r="261" spans="1:18" ht="15.6" x14ac:dyDescent="0.3">
      <c r="A261" s="145"/>
      <c r="B261" s="140"/>
      <c r="C261" s="8"/>
      <c r="D261" s="8"/>
      <c r="E261" s="8"/>
      <c r="F261" s="8"/>
      <c r="G261" s="8"/>
      <c r="H261" s="8"/>
      <c r="I261" s="140"/>
      <c r="J261" s="140"/>
      <c r="K261" s="140"/>
      <c r="L261" s="140"/>
      <c r="M261" s="140"/>
      <c r="N261" s="140"/>
      <c r="O261" s="140"/>
      <c r="P261" s="140"/>
      <c r="Q261" s="140"/>
      <c r="R261" s="5"/>
    </row>
    <row r="262" spans="1:18" ht="15.6" x14ac:dyDescent="0.3">
      <c r="A262" s="145"/>
      <c r="B262" s="13" t="s">
        <v>103</v>
      </c>
      <c r="C262" s="13"/>
      <c r="D262" s="13"/>
      <c r="E262" s="13"/>
      <c r="F262" s="134" t="s">
        <v>212</v>
      </c>
      <c r="G262" s="13"/>
      <c r="H262" s="13" t="s">
        <v>222</v>
      </c>
      <c r="I262" s="140"/>
      <c r="J262" s="140"/>
      <c r="K262" s="140"/>
      <c r="L262" s="140"/>
      <c r="M262" s="140"/>
      <c r="N262" s="140"/>
      <c r="O262" s="140"/>
      <c r="P262" s="140"/>
      <c r="Q262" s="140"/>
      <c r="R262" s="5"/>
    </row>
    <row r="263" spans="1:18" ht="15.6" x14ac:dyDescent="0.3">
      <c r="A263" s="145"/>
      <c r="B263" s="13" t="s">
        <v>263</v>
      </c>
      <c r="C263" s="13"/>
      <c r="D263" s="13"/>
      <c r="E263" s="13"/>
      <c r="F263" s="134" t="s">
        <v>264</v>
      </c>
      <c r="G263" s="13"/>
      <c r="H263" s="13" t="s">
        <v>265</v>
      </c>
      <c r="I263" s="140"/>
      <c r="J263" s="140"/>
      <c r="K263" s="140"/>
      <c r="L263" s="140"/>
      <c r="M263" s="140"/>
      <c r="N263" s="140"/>
      <c r="O263" s="140"/>
      <c r="P263" s="140"/>
      <c r="Q263" s="140"/>
      <c r="R263" s="5"/>
    </row>
    <row r="264" spans="1:18" ht="15.6" x14ac:dyDescent="0.3">
      <c r="A264" s="145"/>
      <c r="B264" s="13" t="s">
        <v>104</v>
      </c>
      <c r="C264" s="13"/>
      <c r="D264" s="13"/>
      <c r="E264" s="13"/>
      <c r="F264" s="134" t="s">
        <v>211</v>
      </c>
      <c r="G264" s="13"/>
      <c r="H264" s="13" t="s">
        <v>223</v>
      </c>
      <c r="I264" s="140"/>
      <c r="J264" s="140"/>
      <c r="K264" s="140"/>
      <c r="L264" s="140"/>
      <c r="M264" s="140"/>
      <c r="N264" s="140"/>
      <c r="O264" s="140"/>
      <c r="P264" s="140"/>
      <c r="Q264" s="140"/>
      <c r="R264" s="5"/>
    </row>
    <row r="265" spans="1:18" ht="15.6" x14ac:dyDescent="0.3">
      <c r="A265" s="145"/>
      <c r="B265" s="13"/>
      <c r="C265" s="13"/>
      <c r="D265" s="13"/>
      <c r="E265" s="99"/>
      <c r="F265" s="140"/>
      <c r="G265" s="140"/>
      <c r="H265" s="140"/>
      <c r="I265" s="140"/>
      <c r="J265" s="140"/>
      <c r="K265" s="140"/>
      <c r="L265" s="140"/>
      <c r="M265" s="140"/>
      <c r="N265" s="140"/>
      <c r="O265" s="140"/>
      <c r="P265" s="140"/>
      <c r="Q265" s="140"/>
      <c r="R265" s="5"/>
    </row>
    <row r="266" spans="1:18" ht="15.6" x14ac:dyDescent="0.3">
      <c r="A266" s="145"/>
      <c r="B266" s="13"/>
      <c r="C266" s="13"/>
      <c r="D266" s="13"/>
      <c r="E266" s="99"/>
      <c r="F266" s="140"/>
      <c r="G266" s="140"/>
      <c r="H266" s="140"/>
      <c r="I266" s="140"/>
      <c r="J266" s="140"/>
      <c r="K266" s="140"/>
      <c r="L266" s="140"/>
      <c r="M266" s="140"/>
      <c r="N266" s="140"/>
      <c r="O266" s="140"/>
      <c r="P266" s="140"/>
      <c r="Q266" s="140"/>
      <c r="R266" s="5"/>
    </row>
    <row r="267" spans="1:18" ht="18" thickBot="1" x14ac:dyDescent="0.35">
      <c r="A267" s="145"/>
      <c r="B267" s="49" t="str">
        <f>B185</f>
        <v>PM7 INVESTOR REPORT QUARTER ENDING OCTOBER 2009</v>
      </c>
      <c r="C267" s="13"/>
      <c r="D267" s="13"/>
      <c r="E267" s="99"/>
      <c r="F267" s="140"/>
      <c r="G267" s="140"/>
      <c r="H267" s="140"/>
      <c r="I267" s="140"/>
      <c r="J267" s="140"/>
      <c r="K267" s="140"/>
      <c r="L267" s="140"/>
      <c r="M267" s="140"/>
      <c r="N267" s="140"/>
      <c r="O267" s="140"/>
      <c r="P267" s="140"/>
      <c r="Q267" s="140"/>
      <c r="R267" s="5"/>
    </row>
    <row r="268" spans="1:18" x14ac:dyDescent="0.25">
      <c r="A268" s="100"/>
      <c r="B268" s="100"/>
      <c r="C268" s="100"/>
      <c r="D268" s="100"/>
      <c r="E268" s="100"/>
      <c r="F268" s="100"/>
      <c r="G268" s="100"/>
      <c r="H268" s="100"/>
      <c r="I268" s="100"/>
      <c r="J268" s="100"/>
      <c r="K268" s="100"/>
      <c r="L268" s="100"/>
      <c r="M268" s="100"/>
      <c r="N268" s="100"/>
      <c r="O268" s="100"/>
      <c r="P268" s="100"/>
      <c r="Q268" s="100"/>
    </row>
  </sheetData>
  <phoneticPr fontId="0" type="noConversion"/>
  <hyperlinks>
    <hyperlink ref="H9" r:id="rId1"/>
    <hyperlink ref="J222"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3" max="14" man="1"/>
    <brk id="185" max="14"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S26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0.95640000000000003</v>
      </c>
      <c r="N17" s="17" t="s">
        <v>173</v>
      </c>
      <c r="O17" s="138">
        <v>4.36E-2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40226</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9"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9" ht="15.6" x14ac:dyDescent="0.3">
      <c r="A34" s="24"/>
      <c r="B34" s="25" t="s">
        <v>156</v>
      </c>
      <c r="C34" s="32"/>
      <c r="D34" s="130">
        <f>+D33*D40</f>
        <v>185810.80500000002</v>
      </c>
      <c r="E34" s="31"/>
      <c r="F34" s="131">
        <f>+F33*F40</f>
        <v>90814.372000000003</v>
      </c>
      <c r="G34" s="31"/>
      <c r="H34" s="124">
        <f>+H33*H40</f>
        <v>206469.7</v>
      </c>
      <c r="I34" s="31"/>
      <c r="J34" s="130">
        <f>J33*J40</f>
        <v>76664.989499999996</v>
      </c>
      <c r="K34" s="31"/>
      <c r="L34" s="124">
        <f>L33*L40</f>
        <v>60402.712499999994</v>
      </c>
      <c r="M34" s="31"/>
      <c r="N34" s="31"/>
      <c r="O34" s="142"/>
      <c r="P34" s="31"/>
      <c r="Q34" s="34"/>
      <c r="R34" s="5"/>
    </row>
    <row r="35" spans="1:19" ht="15.6" x14ac:dyDescent="0.3">
      <c r="A35" s="28"/>
      <c r="B35" s="29" t="s">
        <v>158</v>
      </c>
      <c r="C35" s="36"/>
      <c r="D35" s="129">
        <f>+D33*D39</f>
        <v>184144.32</v>
      </c>
      <c r="E35" s="35"/>
      <c r="F35" s="132">
        <f>+F33*F39</f>
        <v>89999.888000000006</v>
      </c>
      <c r="G35" s="35"/>
      <c r="H35" s="125">
        <f>+H33*H39</f>
        <v>204617.94999999998</v>
      </c>
      <c r="I35" s="35"/>
      <c r="J35" s="129">
        <f>J33*J39</f>
        <v>75977.401500000007</v>
      </c>
      <c r="K35" s="35"/>
      <c r="L35" s="125">
        <f>L33*L39</f>
        <v>59860.97</v>
      </c>
      <c r="M35" s="35"/>
      <c r="N35" s="35"/>
      <c r="O35" s="37"/>
      <c r="P35" s="35"/>
      <c r="Q35" s="34"/>
      <c r="R35" s="5"/>
    </row>
    <row r="36" spans="1:19"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9" ht="15.6" x14ac:dyDescent="0.3">
      <c r="A37" s="24"/>
      <c r="B37" s="25" t="s">
        <v>280</v>
      </c>
      <c r="C37" s="32"/>
      <c r="D37" s="31">
        <f>+D34/1.779</f>
        <v>104446.77065767287</v>
      </c>
      <c r="E37" s="31"/>
      <c r="F37" s="31">
        <f>+F34</f>
        <v>90814.372000000003</v>
      </c>
      <c r="G37" s="31"/>
      <c r="H37" s="31">
        <f>+H34/1.481481</f>
        <v>139367.09279430515</v>
      </c>
      <c r="I37" s="31"/>
      <c r="J37" s="31">
        <f>J36*J40</f>
        <v>43094.0875524</v>
      </c>
      <c r="K37" s="31"/>
      <c r="L37" s="31">
        <f>L36*L40</f>
        <v>40771.830937499995</v>
      </c>
      <c r="M37" s="31"/>
      <c r="N37" s="31"/>
      <c r="O37" s="142"/>
      <c r="P37" s="31">
        <f>SUM(C37:L37)</f>
        <v>418494.15394187806</v>
      </c>
      <c r="Q37" s="34"/>
      <c r="R37" s="5"/>
      <c r="S37" s="154"/>
    </row>
    <row r="38" spans="1:19" ht="15.6" x14ac:dyDescent="0.3">
      <c r="A38" s="28"/>
      <c r="B38" s="29" t="s">
        <v>281</v>
      </c>
      <c r="C38" s="36"/>
      <c r="D38" s="35">
        <f>D35/1.779</f>
        <v>103510.01686340642</v>
      </c>
      <c r="E38" s="35"/>
      <c r="F38" s="35">
        <f>+F35</f>
        <v>89999.888000000006</v>
      </c>
      <c r="G38" s="35"/>
      <c r="H38" s="35">
        <f>H35/1.481481</f>
        <v>138117.16113807735</v>
      </c>
      <c r="I38" s="35"/>
      <c r="J38" s="35">
        <f>J36*J39</f>
        <v>42707.588086800002</v>
      </c>
      <c r="K38" s="35"/>
      <c r="L38" s="35">
        <f>L36*L39</f>
        <v>40406.154750000002</v>
      </c>
      <c r="M38" s="35"/>
      <c r="N38" s="35"/>
      <c r="O38" s="37"/>
      <c r="P38" s="35">
        <f>SUM(D38:L38)</f>
        <v>414740.80883828382</v>
      </c>
      <c r="Q38" s="34"/>
      <c r="R38" s="5"/>
      <c r="S38" s="176"/>
    </row>
    <row r="39" spans="1:19" ht="15.6" x14ac:dyDescent="0.3">
      <c r="A39" s="28"/>
      <c r="B39" s="122" t="s">
        <v>154</v>
      </c>
      <c r="C39" s="126"/>
      <c r="D39" s="174">
        <v>0.40920960000000001</v>
      </c>
      <c r="E39" s="174"/>
      <c r="F39" s="174">
        <v>0.40909040000000002</v>
      </c>
      <c r="G39" s="174"/>
      <c r="H39" s="174">
        <v>0.40923589999999999</v>
      </c>
      <c r="I39" s="174"/>
      <c r="J39" s="174">
        <v>0.92093820000000004</v>
      </c>
      <c r="K39" s="174"/>
      <c r="L39" s="174">
        <v>0.92093800000000003</v>
      </c>
      <c r="M39" s="31"/>
      <c r="N39" s="31"/>
      <c r="O39" s="142"/>
      <c r="P39" s="31"/>
      <c r="Q39" s="34"/>
      <c r="R39" s="5"/>
    </row>
    <row r="40" spans="1:19" ht="15.6" x14ac:dyDescent="0.3">
      <c r="A40" s="28"/>
      <c r="B40" s="122" t="s">
        <v>155</v>
      </c>
      <c r="C40" s="126"/>
      <c r="D40" s="174">
        <v>0.41291290000000003</v>
      </c>
      <c r="E40" s="174"/>
      <c r="F40" s="174">
        <v>0.41279260000000001</v>
      </c>
      <c r="G40" s="174"/>
      <c r="H40" s="174">
        <v>0.41293940000000001</v>
      </c>
      <c r="I40" s="174"/>
      <c r="J40" s="174">
        <v>0.9292726</v>
      </c>
      <c r="K40" s="174"/>
      <c r="L40" s="174">
        <v>0.92927249999999995</v>
      </c>
      <c r="M40" s="128"/>
      <c r="N40" s="128"/>
      <c r="O40" s="142"/>
      <c r="P40" s="31"/>
      <c r="Q40" s="34"/>
      <c r="R40" s="5"/>
    </row>
    <row r="41" spans="1:19"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9" ht="15.6" x14ac:dyDescent="0.3">
      <c r="A42" s="24"/>
      <c r="B42" s="25" t="s">
        <v>13</v>
      </c>
      <c r="C42" s="25"/>
      <c r="D42" s="38">
        <v>4.8250000000000003E-3</v>
      </c>
      <c r="E42" s="39"/>
      <c r="F42" s="38">
        <v>8.2406000000000007E-3</v>
      </c>
      <c r="G42" s="39"/>
      <c r="H42" s="38">
        <v>9.2399999999999999E-3</v>
      </c>
      <c r="I42" s="39"/>
      <c r="J42" s="38">
        <v>1.0225E-2</v>
      </c>
      <c r="K42" s="39"/>
      <c r="L42" s="38">
        <v>1.464E-2</v>
      </c>
      <c r="M42" s="39"/>
      <c r="N42" s="38"/>
      <c r="O42" s="141"/>
      <c r="P42" s="39"/>
      <c r="Q42" s="25"/>
      <c r="R42" s="5"/>
    </row>
    <row r="43" spans="1:19" ht="15.6" x14ac:dyDescent="0.3">
      <c r="A43" s="24"/>
      <c r="B43" s="25" t="s">
        <v>14</v>
      </c>
      <c r="C43" s="25"/>
      <c r="D43" s="38">
        <v>6.4999999999999997E-3</v>
      </c>
      <c r="E43" s="39"/>
      <c r="F43" s="38">
        <v>9.6749999999999996E-3</v>
      </c>
      <c r="G43" s="39"/>
      <c r="H43" s="38">
        <v>1.0829999999999999E-2</v>
      </c>
      <c r="I43" s="39"/>
      <c r="J43" s="38">
        <v>1.1900000000000001E-2</v>
      </c>
      <c r="K43" s="39"/>
      <c r="L43" s="38">
        <v>1.6230000000000001E-2</v>
      </c>
      <c r="M43" s="39"/>
      <c r="N43" s="38"/>
      <c r="O43" s="141"/>
      <c r="P43" s="141"/>
      <c r="Q43" s="25"/>
      <c r="R43" s="5"/>
    </row>
    <row r="44" spans="1:19"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9" ht="15.6" x14ac:dyDescent="0.3">
      <c r="A45" s="24"/>
      <c r="B45" s="25" t="s">
        <v>285</v>
      </c>
      <c r="C45" s="25"/>
      <c r="D45" s="38">
        <v>9.1856000000000004E-3</v>
      </c>
      <c r="E45" s="39"/>
      <c r="F45" s="38">
        <f>+F42</f>
        <v>8.2406000000000007E-3</v>
      </c>
      <c r="G45" s="39"/>
      <c r="H45" s="38">
        <v>9.0656E-3</v>
      </c>
      <c r="I45" s="39"/>
      <c r="J45" s="38">
        <v>1.53156E-2</v>
      </c>
      <c r="K45" s="39"/>
      <c r="L45" s="38">
        <v>1.53156E-2</v>
      </c>
      <c r="M45" s="39"/>
      <c r="N45" s="38"/>
      <c r="O45" s="141"/>
      <c r="P45" s="39">
        <f>SUMPRODUCT(D45:L45,D37:L37)/P37</f>
        <v>1.0169017435563336E-2</v>
      </c>
      <c r="Q45" s="25"/>
      <c r="R45" s="5"/>
    </row>
    <row r="46" spans="1:19" ht="15.6" x14ac:dyDescent="0.3">
      <c r="A46" s="24"/>
      <c r="B46" s="25" t="s">
        <v>283</v>
      </c>
      <c r="C46" s="25"/>
      <c r="D46" s="38">
        <v>1.0619999999999999E-2</v>
      </c>
      <c r="E46" s="39"/>
      <c r="F46" s="38">
        <f>+F43</f>
        <v>9.6749999999999996E-3</v>
      </c>
      <c r="G46" s="39"/>
      <c r="H46" s="38">
        <v>1.0500000000000001E-2</v>
      </c>
      <c r="I46" s="39"/>
      <c r="J46" s="38">
        <v>1.6750000000000001E-2</v>
      </c>
      <c r="K46" s="39"/>
      <c r="L46" s="38">
        <v>1.6750000000000001E-2</v>
      </c>
      <c r="M46" s="39"/>
      <c r="N46" s="38"/>
      <c r="O46" s="141"/>
      <c r="P46" s="141"/>
      <c r="Q46" s="25"/>
      <c r="R46" s="5"/>
    </row>
    <row r="47" spans="1:19"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9"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0.25062412377531368</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40225</v>
      </c>
      <c r="Q57" s="25"/>
      <c r="R57" s="5"/>
    </row>
    <row r="58" spans="1:18" ht="15.6" x14ac:dyDescent="0.3">
      <c r="A58" s="24"/>
      <c r="B58" s="25" t="s">
        <v>142</v>
      </c>
      <c r="C58" s="25"/>
      <c r="D58" s="25"/>
      <c r="E58" s="25"/>
      <c r="F58" s="58"/>
      <c r="G58" s="58"/>
      <c r="H58" s="58"/>
      <c r="I58" s="58"/>
      <c r="J58" s="58"/>
      <c r="K58" s="58"/>
      <c r="L58" s="25">
        <f>+P58-N58+1</f>
        <v>91</v>
      </c>
      <c r="M58" s="58"/>
      <c r="N58" s="45">
        <v>40042</v>
      </c>
      <c r="O58" s="46"/>
      <c r="P58" s="45">
        <v>40132</v>
      </c>
      <c r="Q58" s="25"/>
      <c r="R58" s="5"/>
    </row>
    <row r="59" spans="1:18" ht="15.6" x14ac:dyDescent="0.3">
      <c r="A59" s="24"/>
      <c r="B59" s="25" t="s">
        <v>143</v>
      </c>
      <c r="C59" s="25"/>
      <c r="D59" s="25"/>
      <c r="E59" s="25"/>
      <c r="F59" s="25"/>
      <c r="G59" s="25"/>
      <c r="H59" s="25"/>
      <c r="I59" s="25"/>
      <c r="J59" s="25"/>
      <c r="K59" s="25"/>
      <c r="L59" s="25">
        <f>+P59-N59+1</f>
        <v>92</v>
      </c>
      <c r="M59" s="25"/>
      <c r="N59" s="45">
        <v>40133</v>
      </c>
      <c r="O59" s="46"/>
      <c r="P59" s="45">
        <v>40224</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40210</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287</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418494</v>
      </c>
      <c r="I70" s="34"/>
      <c r="J70" s="34">
        <f>3753+204+34</f>
        <v>3991</v>
      </c>
      <c r="K70" s="34"/>
      <c r="L70" s="34">
        <f>204+34</f>
        <v>238</v>
      </c>
      <c r="M70" s="34"/>
      <c r="N70" s="34">
        <v>0</v>
      </c>
      <c r="O70" s="34"/>
      <c r="P70" s="53">
        <f>+H70-J70+L70-N70</f>
        <v>414741</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418494</v>
      </c>
      <c r="I73" s="34"/>
      <c r="J73" s="34">
        <f>SUM(J70:J72)</f>
        <v>3991</v>
      </c>
      <c r="K73" s="34"/>
      <c r="L73" s="34">
        <f>SUM(L70:L72)</f>
        <v>238</v>
      </c>
      <c r="M73" s="34"/>
      <c r="N73" s="34">
        <f>SUM(N70:N72)</f>
        <v>0</v>
      </c>
      <c r="O73" s="34"/>
      <c r="P73" s="54">
        <f>SUM(P70:P72)</f>
        <v>414741</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273</v>
      </c>
      <c r="C86" s="34"/>
      <c r="D86" s="34"/>
      <c r="E86" s="34"/>
      <c r="F86" s="34">
        <v>0</v>
      </c>
      <c r="G86" s="34"/>
      <c r="H86" s="53">
        <v>0</v>
      </c>
      <c r="I86" s="34"/>
      <c r="J86" s="34">
        <v>0</v>
      </c>
      <c r="K86" s="34"/>
      <c r="L86" s="34">
        <v>0</v>
      </c>
      <c r="M86" s="34"/>
      <c r="N86" s="34"/>
      <c r="O86" s="34"/>
      <c r="P86" s="54">
        <f>+N130</f>
        <v>0</v>
      </c>
      <c r="Q86" s="25"/>
      <c r="R86" s="5"/>
    </row>
    <row r="87" spans="1:18" ht="15.6" x14ac:dyDescent="0.3">
      <c r="A87" s="24"/>
      <c r="B87" s="25" t="s">
        <v>30</v>
      </c>
      <c r="C87" s="34"/>
      <c r="D87" s="54"/>
      <c r="E87" s="34"/>
      <c r="F87" s="54">
        <f>SUM(F73:F86)</f>
        <v>900700</v>
      </c>
      <c r="G87" s="54"/>
      <c r="H87" s="54">
        <f>SUM(H73:H86)</f>
        <v>418494</v>
      </c>
      <c r="I87" s="34"/>
      <c r="J87" s="54">
        <f>SUM(J73:J86)</f>
        <v>3991</v>
      </c>
      <c r="K87" s="34"/>
      <c r="L87" s="54">
        <f>SUM(L73:L86)</f>
        <v>238</v>
      </c>
      <c r="M87" s="34"/>
      <c r="N87" s="54"/>
      <c r="O87" s="34"/>
      <c r="P87" s="54">
        <f>SUM(P73:P86)</f>
        <v>414741</v>
      </c>
      <c r="Q87" s="25"/>
      <c r="R87" s="5"/>
    </row>
    <row r="88" spans="1:18" ht="15.6" x14ac:dyDescent="0.3">
      <c r="A88" s="24"/>
      <c r="B88" s="25"/>
      <c r="C88" s="34"/>
      <c r="D88" s="34"/>
      <c r="E88" s="34"/>
      <c r="F88" s="34"/>
      <c r="G88" s="34"/>
      <c r="H88" s="34"/>
      <c r="I88" s="34"/>
      <c r="J88" s="34"/>
      <c r="K88" s="34"/>
      <c r="L88" s="34"/>
      <c r="M88" s="34"/>
      <c r="N88" s="34"/>
      <c r="O88" s="34"/>
      <c r="P88" s="54"/>
      <c r="Q88" s="25"/>
      <c r="R88" s="5"/>
    </row>
    <row r="89" spans="1:18" ht="15.6" x14ac:dyDescent="0.3">
      <c r="A89" s="6"/>
      <c r="B89" s="8"/>
      <c r="C89" s="8"/>
      <c r="D89" s="8"/>
      <c r="E89" s="8"/>
      <c r="F89" s="8"/>
      <c r="G89" s="8"/>
      <c r="H89" s="8"/>
      <c r="I89" s="8"/>
      <c r="J89" s="8"/>
      <c r="K89" s="8"/>
      <c r="L89" s="8"/>
      <c r="M89" s="8"/>
      <c r="N89" s="8"/>
      <c r="O89" s="8"/>
      <c r="P89" s="8"/>
      <c r="Q89" s="8"/>
      <c r="R89" s="5"/>
    </row>
    <row r="90" spans="1:18" ht="15.6" x14ac:dyDescent="0.3">
      <c r="A90" s="6"/>
      <c r="B90" s="51" t="s">
        <v>31</v>
      </c>
      <c r="C90" s="14"/>
      <c r="D90" s="14"/>
      <c r="E90" s="14"/>
      <c r="F90" s="170" t="s">
        <v>106</v>
      </c>
      <c r="G90" s="17"/>
      <c r="H90" s="171">
        <v>40207</v>
      </c>
      <c r="I90" s="17"/>
      <c r="J90" s="17"/>
      <c r="K90" s="17"/>
      <c r="L90" s="17"/>
      <c r="M90" s="17"/>
      <c r="N90" s="17" t="s">
        <v>119</v>
      </c>
      <c r="O90" s="17"/>
      <c r="P90" s="17" t="s">
        <v>128</v>
      </c>
      <c r="Q90" s="8"/>
      <c r="R90" s="5"/>
    </row>
    <row r="91" spans="1:18" ht="15.6" x14ac:dyDescent="0.3">
      <c r="A91" s="24"/>
      <c r="B91" s="25" t="s">
        <v>32</v>
      </c>
      <c r="C91" s="25"/>
      <c r="D91" s="25"/>
      <c r="E91" s="25"/>
      <c r="F91" s="25"/>
      <c r="G91" s="25"/>
      <c r="H91" s="25"/>
      <c r="I91" s="25"/>
      <c r="J91" s="25"/>
      <c r="K91" s="25"/>
      <c r="L91" s="25"/>
      <c r="M91" s="25"/>
      <c r="N91" s="34">
        <v>0</v>
      </c>
      <c r="O91" s="25"/>
      <c r="P91" s="53">
        <v>0</v>
      </c>
      <c r="Q91" s="25"/>
      <c r="R91" s="5"/>
    </row>
    <row r="92" spans="1:18" ht="15.6" x14ac:dyDescent="0.3">
      <c r="A92" s="24"/>
      <c r="B92" s="25" t="s">
        <v>33</v>
      </c>
      <c r="C92" s="25"/>
      <c r="D92" s="25"/>
      <c r="E92" s="25"/>
      <c r="F92" s="40" t="s">
        <v>253</v>
      </c>
      <c r="G92" s="57"/>
      <c r="H92" s="127" t="s">
        <v>253</v>
      </c>
      <c r="I92" s="25"/>
      <c r="J92" s="25"/>
      <c r="K92" s="25"/>
      <c r="L92" s="25"/>
      <c r="M92" s="25"/>
      <c r="N92" s="34">
        <f>3991-224</f>
        <v>3767</v>
      </c>
      <c r="O92" s="25"/>
      <c r="P92" s="53"/>
      <c r="Q92" s="25"/>
      <c r="R92" s="5"/>
    </row>
    <row r="93" spans="1:18" ht="15.6" x14ac:dyDescent="0.3">
      <c r="A93" s="24"/>
      <c r="B93" s="25" t="s">
        <v>248</v>
      </c>
      <c r="C93" s="25"/>
      <c r="D93" s="25"/>
      <c r="E93" s="25"/>
      <c r="F93" s="40"/>
      <c r="G93" s="57"/>
      <c r="H93" s="127"/>
      <c r="I93" s="25"/>
      <c r="J93" s="25"/>
      <c r="K93" s="25"/>
      <c r="L93" s="25"/>
      <c r="M93" s="25"/>
      <c r="N93" s="34"/>
      <c r="O93" s="25"/>
      <c r="P93" s="53">
        <f>3590+423-671-282+69+6</f>
        <v>3135</v>
      </c>
      <c r="Q93" s="25"/>
      <c r="R93" s="5"/>
    </row>
    <row r="94" spans="1:18" ht="15.6" x14ac:dyDescent="0.3">
      <c r="A94" s="24"/>
      <c r="B94" s="25" t="s">
        <v>249</v>
      </c>
      <c r="C94" s="25"/>
      <c r="D94" s="25"/>
      <c r="E94" s="25"/>
      <c r="F94" s="40"/>
      <c r="G94" s="57"/>
      <c r="H94" s="127"/>
      <c r="I94" s="25"/>
      <c r="J94" s="25"/>
      <c r="K94" s="25"/>
      <c r="L94" s="25"/>
      <c r="M94" s="25"/>
      <c r="N94" s="34"/>
      <c r="O94" s="25"/>
      <c r="P94" s="53">
        <v>131</v>
      </c>
      <c r="Q94" s="25"/>
      <c r="R94" s="5"/>
    </row>
    <row r="95" spans="1:18" ht="15.6" x14ac:dyDescent="0.3">
      <c r="A95" s="24"/>
      <c r="B95" s="25" t="s">
        <v>250</v>
      </c>
      <c r="C95" s="25"/>
      <c r="D95" s="25"/>
      <c r="E95" s="25"/>
      <c r="F95" s="40"/>
      <c r="G95" s="57"/>
      <c r="H95" s="127"/>
      <c r="I95" s="25"/>
      <c r="J95" s="25"/>
      <c r="K95" s="25"/>
      <c r="L95" s="25"/>
      <c r="M95" s="25"/>
      <c r="N95" s="34"/>
      <c r="O95" s="25"/>
      <c r="P95" s="53">
        <v>41</v>
      </c>
      <c r="Q95" s="25"/>
      <c r="R95" s="5"/>
    </row>
    <row r="96" spans="1:18" ht="15.6" x14ac:dyDescent="0.3">
      <c r="A96" s="24"/>
      <c r="B96" s="25" t="s">
        <v>259</v>
      </c>
      <c r="C96" s="25"/>
      <c r="D96" s="25"/>
      <c r="E96" s="25"/>
      <c r="F96" s="40"/>
      <c r="G96" s="57"/>
      <c r="H96" s="127"/>
      <c r="I96" s="25"/>
      <c r="J96" s="25"/>
      <c r="K96" s="25"/>
      <c r="L96" s="25"/>
      <c r="M96" s="25"/>
      <c r="N96" s="34"/>
      <c r="O96" s="25"/>
      <c r="P96" s="53">
        <v>0</v>
      </c>
      <c r="Q96" s="25"/>
      <c r="R96" s="5"/>
    </row>
    <row r="97" spans="1:19" ht="15.6" x14ac:dyDescent="0.3">
      <c r="A97" s="24"/>
      <c r="B97" s="25" t="s">
        <v>160</v>
      </c>
      <c r="C97" s="25"/>
      <c r="D97" s="25"/>
      <c r="E97" s="25"/>
      <c r="F97" s="25"/>
      <c r="G97" s="25"/>
      <c r="H97" s="25"/>
      <c r="I97" s="25"/>
      <c r="J97" s="25"/>
      <c r="K97" s="25"/>
      <c r="L97" s="25"/>
      <c r="M97" s="25"/>
      <c r="N97" s="34"/>
      <c r="O97" s="25"/>
      <c r="P97" s="53">
        <v>0</v>
      </c>
      <c r="Q97" s="25"/>
      <c r="R97" s="5"/>
    </row>
    <row r="98" spans="1:19" ht="15.6" x14ac:dyDescent="0.3">
      <c r="A98" s="24"/>
      <c r="B98" s="25" t="s">
        <v>192</v>
      </c>
      <c r="C98" s="25"/>
      <c r="D98" s="25"/>
      <c r="E98" s="25"/>
      <c r="F98" s="25"/>
      <c r="G98" s="25"/>
      <c r="H98" s="25"/>
      <c r="I98" s="25"/>
      <c r="J98" s="25"/>
      <c r="K98" s="25"/>
      <c r="L98" s="25"/>
      <c r="M98" s="25"/>
      <c r="N98" s="34"/>
      <c r="O98" s="25"/>
      <c r="P98" s="53">
        <v>17</v>
      </c>
      <c r="Q98" s="25"/>
      <c r="R98" s="5"/>
    </row>
    <row r="99" spans="1:19" ht="15.6" x14ac:dyDescent="0.3">
      <c r="A99" s="24"/>
      <c r="B99" s="25" t="s">
        <v>35</v>
      </c>
      <c r="C99" s="25"/>
      <c r="D99" s="25"/>
      <c r="E99" s="25"/>
      <c r="F99" s="25"/>
      <c r="G99" s="25"/>
      <c r="H99" s="25"/>
      <c r="I99" s="25"/>
      <c r="J99" s="25"/>
      <c r="K99" s="25"/>
      <c r="L99" s="25"/>
      <c r="M99" s="25"/>
      <c r="N99" s="34">
        <f>SUM(N91:N98)</f>
        <v>3767</v>
      </c>
      <c r="O99" s="25"/>
      <c r="P99" s="54">
        <f>SUM(P91:P98)</f>
        <v>3324</v>
      </c>
      <c r="Q99" s="25"/>
      <c r="R99" s="5"/>
    </row>
    <row r="100" spans="1:19" ht="15.6" x14ac:dyDescent="0.3">
      <c r="A100" s="24"/>
      <c r="B100" s="25" t="s">
        <v>237</v>
      </c>
      <c r="C100" s="25"/>
      <c r="D100" s="25"/>
      <c r="E100" s="25"/>
      <c r="F100" s="25"/>
      <c r="G100" s="25"/>
      <c r="H100" s="25"/>
      <c r="I100" s="25"/>
      <c r="J100" s="25"/>
      <c r="K100" s="25"/>
      <c r="L100" s="25"/>
      <c r="M100" s="25"/>
      <c r="N100" s="34">
        <v>-1</v>
      </c>
      <c r="O100" s="25"/>
      <c r="P100" s="54">
        <f>-N100</f>
        <v>1</v>
      </c>
      <c r="Q100" s="25"/>
      <c r="R100" s="5"/>
    </row>
    <row r="101" spans="1:19" ht="15.6" x14ac:dyDescent="0.3">
      <c r="A101" s="24"/>
      <c r="B101" s="25" t="s">
        <v>36</v>
      </c>
      <c r="C101" s="25"/>
      <c r="D101" s="25"/>
      <c r="E101" s="25"/>
      <c r="F101" s="25"/>
      <c r="G101" s="25"/>
      <c r="H101" s="25"/>
      <c r="I101" s="25"/>
      <c r="J101" s="25"/>
      <c r="K101" s="25"/>
      <c r="L101" s="25"/>
      <c r="M101" s="25"/>
      <c r="N101" s="34">
        <f>-P101</f>
        <v>0</v>
      </c>
      <c r="O101" s="25"/>
      <c r="P101" s="53">
        <v>0</v>
      </c>
      <c r="Q101" s="25"/>
      <c r="R101" s="5"/>
    </row>
    <row r="102" spans="1:19" ht="15.6" x14ac:dyDescent="0.3">
      <c r="A102" s="24"/>
      <c r="B102" s="25" t="s">
        <v>268</v>
      </c>
      <c r="C102" s="25"/>
      <c r="D102" s="25"/>
      <c r="E102" s="25"/>
      <c r="F102" s="25"/>
      <c r="G102" s="25"/>
      <c r="H102" s="25"/>
      <c r="I102" s="25"/>
      <c r="J102" s="25"/>
      <c r="K102" s="25"/>
      <c r="L102" s="25"/>
      <c r="M102" s="25"/>
      <c r="N102" s="34"/>
      <c r="O102" s="25"/>
      <c r="P102" s="53">
        <v>-259</v>
      </c>
      <c r="Q102" s="25"/>
      <c r="R102" s="5"/>
    </row>
    <row r="103" spans="1:19" ht="15.6" x14ac:dyDescent="0.3">
      <c r="A103" s="24"/>
      <c r="B103" s="25" t="s">
        <v>37</v>
      </c>
      <c r="C103" s="25"/>
      <c r="D103" s="25"/>
      <c r="E103" s="25"/>
      <c r="F103" s="25"/>
      <c r="G103" s="25"/>
      <c r="H103" s="25"/>
      <c r="I103" s="25"/>
      <c r="J103" s="25"/>
      <c r="K103" s="25"/>
      <c r="L103" s="25"/>
      <c r="M103" s="25"/>
      <c r="N103" s="34">
        <f>N99+N101+N100</f>
        <v>3766</v>
      </c>
      <c r="O103" s="25"/>
      <c r="P103" s="54">
        <f>P99+P101+P100+P102</f>
        <v>3066</v>
      </c>
      <c r="Q103" s="25"/>
      <c r="R103" s="5"/>
      <c r="S103" s="154"/>
    </row>
    <row r="104" spans="1:19" ht="15.6" x14ac:dyDescent="0.3">
      <c r="A104" s="24"/>
      <c r="B104" s="118" t="s">
        <v>38</v>
      </c>
      <c r="C104" s="25"/>
      <c r="D104" s="25"/>
      <c r="E104" s="25"/>
      <c r="F104" s="25"/>
      <c r="G104" s="25"/>
      <c r="H104" s="25"/>
      <c r="I104" s="25"/>
      <c r="J104" s="25"/>
      <c r="K104" s="25"/>
      <c r="L104" s="25"/>
      <c r="M104" s="25"/>
      <c r="N104" s="34"/>
      <c r="O104" s="25"/>
      <c r="P104" s="53"/>
      <c r="Q104" s="25"/>
      <c r="R104" s="5"/>
    </row>
    <row r="105" spans="1:19" ht="15.6" x14ac:dyDescent="0.3">
      <c r="A105" s="24">
        <v>1</v>
      </c>
      <c r="B105" s="25" t="s">
        <v>39</v>
      </c>
      <c r="C105" s="25"/>
      <c r="D105" s="25"/>
      <c r="E105" s="25"/>
      <c r="F105" s="25"/>
      <c r="G105" s="25"/>
      <c r="H105" s="25"/>
      <c r="I105" s="25"/>
      <c r="J105" s="25"/>
      <c r="K105" s="25"/>
      <c r="L105" s="25"/>
      <c r="M105" s="25"/>
      <c r="N105" s="25"/>
      <c r="O105" s="25"/>
      <c r="P105" s="53">
        <v>0</v>
      </c>
      <c r="Q105" s="25"/>
      <c r="R105" s="5"/>
    </row>
    <row r="106" spans="1:19" ht="15.6" x14ac:dyDescent="0.3">
      <c r="A106" s="24">
        <f>+A105+1</f>
        <v>2</v>
      </c>
      <c r="B106" s="25" t="s">
        <v>40</v>
      </c>
      <c r="C106" s="25"/>
      <c r="D106" s="25"/>
      <c r="E106" s="25"/>
      <c r="F106" s="25"/>
      <c r="G106" s="25"/>
      <c r="H106" s="25"/>
      <c r="I106" s="25"/>
      <c r="J106" s="25"/>
      <c r="K106" s="25"/>
      <c r="L106" s="25"/>
      <c r="M106" s="25"/>
      <c r="N106" s="25"/>
      <c r="O106" s="25"/>
      <c r="P106" s="53">
        <v>-2</v>
      </c>
      <c r="Q106" s="25"/>
      <c r="R106" s="5"/>
    </row>
    <row r="107" spans="1:19" ht="15.6" x14ac:dyDescent="0.3">
      <c r="A107" s="24">
        <f>+A106+1</f>
        <v>3</v>
      </c>
      <c r="B107" s="25" t="s">
        <v>226</v>
      </c>
      <c r="C107" s="25"/>
      <c r="D107" s="25"/>
      <c r="E107" s="25"/>
      <c r="F107" s="25"/>
      <c r="G107" s="25"/>
      <c r="H107" s="25"/>
      <c r="I107" s="25"/>
      <c r="J107" s="25"/>
      <c r="K107" s="25"/>
      <c r="L107" s="25"/>
      <c r="M107" s="25"/>
      <c r="N107" s="25"/>
      <c r="O107" s="25"/>
      <c r="P107" s="53">
        <f>-105-70-5</f>
        <v>-180</v>
      </c>
      <c r="Q107" s="25"/>
      <c r="R107" s="5"/>
    </row>
    <row r="108" spans="1:19" ht="15.6" x14ac:dyDescent="0.3">
      <c r="A108" s="24" t="s">
        <v>151</v>
      </c>
      <c r="B108" s="25" t="s">
        <v>131</v>
      </c>
      <c r="C108" s="25"/>
      <c r="D108" s="25"/>
      <c r="E108" s="25"/>
      <c r="F108" s="25"/>
      <c r="G108" s="25"/>
      <c r="H108" s="25"/>
      <c r="I108" s="25"/>
      <c r="J108" s="25"/>
      <c r="K108" s="25"/>
      <c r="L108" s="25"/>
      <c r="M108" s="25"/>
      <c r="N108" s="25"/>
      <c r="O108" s="25"/>
      <c r="P108" s="53">
        <v>-882</v>
      </c>
      <c r="Q108" s="25"/>
      <c r="R108" s="5"/>
    </row>
    <row r="109" spans="1:19" ht="15.6" x14ac:dyDescent="0.3">
      <c r="A109" s="24" t="s">
        <v>152</v>
      </c>
      <c r="B109" s="25" t="s">
        <v>195</v>
      </c>
      <c r="C109" s="25"/>
      <c r="D109" s="25"/>
      <c r="E109" s="25"/>
      <c r="F109" s="25"/>
      <c r="G109" s="25"/>
      <c r="H109" s="25"/>
      <c r="I109" s="25"/>
      <c r="J109" s="25"/>
      <c r="K109" s="25"/>
      <c r="L109" s="25"/>
      <c r="M109" s="25"/>
      <c r="N109" s="25"/>
      <c r="O109" s="25"/>
      <c r="P109" s="53">
        <v>-242</v>
      </c>
      <c r="Q109" s="25"/>
      <c r="R109" s="5"/>
      <c r="S109" s="109"/>
    </row>
    <row r="110" spans="1:19" ht="15.6" x14ac:dyDescent="0.3">
      <c r="A110" s="24" t="s">
        <v>217</v>
      </c>
      <c r="B110" s="25" t="s">
        <v>196</v>
      </c>
      <c r="C110" s="25"/>
      <c r="D110" s="25"/>
      <c r="E110" s="25"/>
      <c r="F110" s="25"/>
      <c r="G110" s="25"/>
      <c r="H110" s="25"/>
      <c r="I110" s="25"/>
      <c r="J110" s="25"/>
      <c r="K110" s="25"/>
      <c r="L110" s="25"/>
      <c r="M110" s="25"/>
      <c r="N110" s="25"/>
      <c r="O110" s="25"/>
      <c r="P110" s="53">
        <v>-189</v>
      </c>
      <c r="Q110" s="25"/>
      <c r="R110" s="5"/>
      <c r="S110" s="109"/>
    </row>
    <row r="111" spans="1:19" ht="15.6" x14ac:dyDescent="0.3">
      <c r="A111" s="24" t="s">
        <v>218</v>
      </c>
      <c r="B111" s="25" t="s">
        <v>197</v>
      </c>
      <c r="C111" s="25"/>
      <c r="D111" s="25"/>
      <c r="E111" s="25"/>
      <c r="F111" s="25"/>
      <c r="G111" s="25"/>
      <c r="H111" s="25"/>
      <c r="I111" s="25"/>
      <c r="J111" s="25"/>
      <c r="K111" s="25"/>
      <c r="L111" s="25"/>
      <c r="M111" s="25"/>
      <c r="N111" s="25"/>
      <c r="O111" s="25"/>
      <c r="P111" s="53">
        <v>-318</v>
      </c>
      <c r="Q111" s="25"/>
      <c r="R111" s="5"/>
      <c r="S111" s="109"/>
    </row>
    <row r="112" spans="1:19" ht="15.6" x14ac:dyDescent="0.3">
      <c r="A112" s="24" t="s">
        <v>147</v>
      </c>
      <c r="B112" s="25" t="s">
        <v>146</v>
      </c>
      <c r="C112" s="25"/>
      <c r="D112" s="25"/>
      <c r="E112" s="25"/>
      <c r="F112" s="25"/>
      <c r="G112" s="25"/>
      <c r="H112" s="25"/>
      <c r="I112" s="25"/>
      <c r="J112" s="25"/>
      <c r="K112" s="25"/>
      <c r="L112" s="25"/>
      <c r="M112" s="25"/>
      <c r="N112" s="25"/>
      <c r="O112" s="25"/>
      <c r="P112" s="53">
        <v>-166</v>
      </c>
      <c r="Q112" s="25"/>
      <c r="R112" s="5"/>
      <c r="S112" s="109"/>
    </row>
    <row r="113" spans="1:19" ht="15.6" x14ac:dyDescent="0.3">
      <c r="A113" s="24" t="s">
        <v>148</v>
      </c>
      <c r="B113" s="25" t="s">
        <v>198</v>
      </c>
      <c r="C113" s="25"/>
      <c r="D113" s="25"/>
      <c r="E113" s="25"/>
      <c r="F113" s="25"/>
      <c r="G113" s="25"/>
      <c r="H113" s="25"/>
      <c r="I113" s="25"/>
      <c r="J113" s="25"/>
      <c r="K113" s="25"/>
      <c r="L113" s="25"/>
      <c r="M113" s="25"/>
      <c r="N113" s="25"/>
      <c r="O113" s="25"/>
      <c r="P113" s="53">
        <v>-158</v>
      </c>
      <c r="Q113" s="25"/>
      <c r="R113" s="5"/>
      <c r="S113" s="109"/>
    </row>
    <row r="114" spans="1:19" ht="15.6" x14ac:dyDescent="0.3">
      <c r="A114" s="24">
        <v>6</v>
      </c>
      <c r="B114" s="25" t="s">
        <v>41</v>
      </c>
      <c r="C114" s="25"/>
      <c r="D114" s="25"/>
      <c r="E114" s="25"/>
      <c r="F114" s="25"/>
      <c r="G114" s="25"/>
      <c r="H114" s="25"/>
      <c r="I114" s="25"/>
      <c r="J114" s="25"/>
      <c r="K114" s="25"/>
      <c r="L114" s="25"/>
      <c r="M114" s="25"/>
      <c r="N114" s="25"/>
      <c r="O114" s="25"/>
      <c r="P114" s="53">
        <v>-10</v>
      </c>
      <c r="Q114" s="25"/>
      <c r="R114" s="5"/>
    </row>
    <row r="115" spans="1:19" ht="15.6" x14ac:dyDescent="0.3">
      <c r="A115" s="24">
        <f t="shared" ref="A115:A120" si="0">+A114+1</f>
        <v>7</v>
      </c>
      <c r="B115" s="25" t="s">
        <v>53</v>
      </c>
      <c r="C115" s="25"/>
      <c r="D115" s="25"/>
      <c r="E115" s="25"/>
      <c r="F115" s="25"/>
      <c r="G115" s="25"/>
      <c r="H115" s="25"/>
      <c r="I115" s="25"/>
      <c r="J115" s="25"/>
      <c r="K115" s="25"/>
      <c r="L115" s="25"/>
      <c r="M115" s="25"/>
      <c r="N115" s="34">
        <f>-P115</f>
        <v>224</v>
      </c>
      <c r="O115" s="25"/>
      <c r="P115" s="53">
        <v>-224</v>
      </c>
      <c r="Q115" s="25"/>
      <c r="R115" s="5"/>
    </row>
    <row r="116" spans="1:19" ht="15.6" x14ac:dyDescent="0.3">
      <c r="A116" s="24">
        <f t="shared" si="0"/>
        <v>8</v>
      </c>
      <c r="B116" s="25" t="s">
        <v>149</v>
      </c>
      <c r="C116" s="25"/>
      <c r="D116" s="25"/>
      <c r="E116" s="25"/>
      <c r="F116" s="25"/>
      <c r="G116" s="25"/>
      <c r="H116" s="25"/>
      <c r="I116" s="25"/>
      <c r="J116" s="25"/>
      <c r="K116" s="25"/>
      <c r="L116" s="25"/>
      <c r="M116" s="25"/>
      <c r="N116" s="25"/>
      <c r="O116" s="25"/>
      <c r="P116" s="53">
        <v>0</v>
      </c>
      <c r="Q116" s="25"/>
      <c r="R116" s="5"/>
    </row>
    <row r="117" spans="1:19" ht="15.6" x14ac:dyDescent="0.3">
      <c r="A117" s="24">
        <f t="shared" si="0"/>
        <v>9</v>
      </c>
      <c r="B117" s="25" t="s">
        <v>42</v>
      </c>
      <c r="C117" s="25"/>
      <c r="D117" s="25"/>
      <c r="E117" s="25"/>
      <c r="F117" s="25"/>
      <c r="G117" s="25"/>
      <c r="H117" s="25"/>
      <c r="I117" s="25"/>
      <c r="J117" s="25"/>
      <c r="K117" s="25"/>
      <c r="L117" s="25"/>
      <c r="M117" s="25"/>
      <c r="N117" s="25"/>
      <c r="O117" s="25"/>
      <c r="P117" s="53">
        <v>0</v>
      </c>
      <c r="Q117" s="25"/>
      <c r="R117" s="5"/>
    </row>
    <row r="118" spans="1:19" ht="15.6" x14ac:dyDescent="0.3">
      <c r="A118" s="24">
        <f t="shared" si="0"/>
        <v>10</v>
      </c>
      <c r="B118" s="25" t="s">
        <v>43</v>
      </c>
      <c r="C118" s="25"/>
      <c r="D118" s="25"/>
      <c r="E118" s="25"/>
      <c r="F118" s="25"/>
      <c r="G118" s="25"/>
      <c r="H118" s="25"/>
      <c r="I118" s="25"/>
      <c r="J118" s="25"/>
      <c r="K118" s="25"/>
      <c r="L118" s="25"/>
      <c r="M118" s="25"/>
      <c r="N118" s="25"/>
      <c r="O118" s="25"/>
      <c r="P118" s="53">
        <v>0</v>
      </c>
      <c r="Q118" s="25"/>
      <c r="R118" s="5"/>
    </row>
    <row r="119" spans="1:19" ht="15.6" x14ac:dyDescent="0.3">
      <c r="A119" s="24">
        <f t="shared" si="0"/>
        <v>11</v>
      </c>
      <c r="B119" s="25" t="s">
        <v>215</v>
      </c>
      <c r="C119" s="25"/>
      <c r="D119" s="25"/>
      <c r="E119" s="25"/>
      <c r="F119" s="25"/>
      <c r="G119" s="25"/>
      <c r="H119" s="25"/>
      <c r="I119" s="25"/>
      <c r="J119" s="25"/>
      <c r="K119" s="25"/>
      <c r="L119" s="25"/>
      <c r="M119" s="25"/>
      <c r="N119" s="25"/>
      <c r="O119" s="25"/>
      <c r="P119" s="53">
        <v>-214</v>
      </c>
      <c r="Q119" s="25"/>
      <c r="R119" s="5"/>
    </row>
    <row r="120" spans="1:19" ht="15.6" x14ac:dyDescent="0.3">
      <c r="A120" s="24">
        <f t="shared" si="0"/>
        <v>12</v>
      </c>
      <c r="B120" s="25" t="s">
        <v>150</v>
      </c>
      <c r="C120" s="25"/>
      <c r="D120" s="25"/>
      <c r="E120" s="25"/>
      <c r="F120" s="25"/>
      <c r="G120" s="25"/>
      <c r="H120" s="25"/>
      <c r="I120" s="25"/>
      <c r="J120" s="25"/>
      <c r="K120" s="25"/>
      <c r="L120" s="25"/>
      <c r="M120" s="25"/>
      <c r="N120" s="25"/>
      <c r="O120" s="25"/>
      <c r="P120" s="53">
        <f>-P103-SUM(P105:P119)</f>
        <v>-481</v>
      </c>
      <c r="Q120" s="25"/>
      <c r="R120" s="5"/>
    </row>
    <row r="121" spans="1:19" ht="15.6" x14ac:dyDescent="0.3">
      <c r="A121" s="24"/>
      <c r="B121" s="118" t="s">
        <v>44</v>
      </c>
      <c r="C121" s="25"/>
      <c r="D121" s="25"/>
      <c r="E121" s="25"/>
      <c r="F121" s="25"/>
      <c r="G121" s="25"/>
      <c r="H121" s="25"/>
      <c r="I121" s="25"/>
      <c r="J121" s="25"/>
      <c r="K121" s="25"/>
      <c r="L121" s="25"/>
      <c r="M121" s="25"/>
      <c r="N121" s="25"/>
      <c r="O121" s="25"/>
      <c r="P121" s="59"/>
      <c r="Q121" s="25"/>
      <c r="R121" s="5"/>
    </row>
    <row r="122" spans="1:19" ht="15.6" x14ac:dyDescent="0.3">
      <c r="A122" s="24"/>
      <c r="B122" s="25" t="s">
        <v>45</v>
      </c>
      <c r="C122" s="25"/>
      <c r="D122" s="25"/>
      <c r="E122" s="25"/>
      <c r="F122" s="25"/>
      <c r="G122" s="25"/>
      <c r="H122" s="25"/>
      <c r="I122" s="25"/>
      <c r="J122" s="25"/>
      <c r="K122" s="25"/>
      <c r="L122" s="25"/>
      <c r="M122" s="25"/>
      <c r="N122" s="34">
        <v>0</v>
      </c>
      <c r="O122" s="34"/>
      <c r="P122" s="53"/>
      <c r="Q122" s="25"/>
      <c r="R122" s="5"/>
    </row>
    <row r="123" spans="1:19" ht="15.6" x14ac:dyDescent="0.3">
      <c r="A123" s="24"/>
      <c r="B123" s="25" t="s">
        <v>46</v>
      </c>
      <c r="C123" s="25"/>
      <c r="D123" s="25"/>
      <c r="E123" s="25"/>
      <c r="F123" s="25"/>
      <c r="G123" s="25"/>
      <c r="H123" s="25"/>
      <c r="I123" s="25"/>
      <c r="J123" s="25"/>
      <c r="K123" s="25"/>
      <c r="L123" s="25"/>
      <c r="M123" s="25"/>
      <c r="N123" s="34">
        <f>-M172</f>
        <v>-237</v>
      </c>
      <c r="O123" s="34"/>
      <c r="P123" s="53"/>
      <c r="Q123" s="25"/>
      <c r="R123" s="5"/>
    </row>
    <row r="124" spans="1:19" ht="15.6" x14ac:dyDescent="0.3">
      <c r="A124" s="24"/>
      <c r="B124" s="25" t="s">
        <v>199</v>
      </c>
      <c r="C124" s="25"/>
      <c r="D124" s="25"/>
      <c r="E124" s="25"/>
      <c r="F124" s="25"/>
      <c r="G124" s="25"/>
      <c r="H124" s="25"/>
      <c r="I124" s="25"/>
      <c r="J124" s="25"/>
      <c r="K124" s="25"/>
      <c r="L124" s="25"/>
      <c r="M124" s="25"/>
      <c r="N124" s="34">
        <v>-937</v>
      </c>
      <c r="O124" s="34"/>
      <c r="P124" s="53"/>
      <c r="Q124" s="25"/>
      <c r="R124" s="5"/>
    </row>
    <row r="125" spans="1:19" ht="15.6" x14ac:dyDescent="0.3">
      <c r="A125" s="24"/>
      <c r="B125" s="25" t="s">
        <v>200</v>
      </c>
      <c r="C125" s="25"/>
      <c r="D125" s="25"/>
      <c r="E125" s="25"/>
      <c r="F125" s="25"/>
      <c r="G125" s="25"/>
      <c r="H125" s="25"/>
      <c r="I125" s="25"/>
      <c r="J125" s="25"/>
      <c r="K125" s="25"/>
      <c r="L125" s="25"/>
      <c r="M125" s="25"/>
      <c r="N125" s="34">
        <v>-814</v>
      </c>
      <c r="O125" s="34"/>
      <c r="P125" s="53"/>
      <c r="Q125" s="25"/>
      <c r="R125" s="5"/>
    </row>
    <row r="126" spans="1:19" ht="15.6" x14ac:dyDescent="0.3">
      <c r="A126" s="24"/>
      <c r="B126" s="25" t="s">
        <v>201</v>
      </c>
      <c r="C126" s="25"/>
      <c r="D126" s="25"/>
      <c r="E126" s="25"/>
      <c r="F126" s="25"/>
      <c r="G126" s="25"/>
      <c r="H126" s="25"/>
      <c r="I126" s="25"/>
      <c r="J126" s="25"/>
      <c r="K126" s="25"/>
      <c r="L126" s="25"/>
      <c r="M126" s="25"/>
      <c r="N126" s="34">
        <v>-1250</v>
      </c>
      <c r="O126" s="34"/>
      <c r="P126" s="53"/>
      <c r="Q126" s="25"/>
      <c r="R126" s="5"/>
    </row>
    <row r="127" spans="1:19" ht="15.6" x14ac:dyDescent="0.3">
      <c r="A127" s="24"/>
      <c r="B127" s="25" t="s">
        <v>159</v>
      </c>
      <c r="C127" s="25"/>
      <c r="D127" s="25"/>
      <c r="E127" s="25"/>
      <c r="F127" s="25"/>
      <c r="G127" s="25"/>
      <c r="H127" s="25"/>
      <c r="I127" s="25"/>
      <c r="J127" s="25"/>
      <c r="K127" s="25"/>
      <c r="L127" s="25"/>
      <c r="M127" s="25"/>
      <c r="N127" s="34">
        <v>-386</v>
      </c>
      <c r="O127" s="34"/>
      <c r="P127" s="53"/>
      <c r="Q127" s="25"/>
      <c r="R127" s="5"/>
    </row>
    <row r="128" spans="1:19" ht="15.6" x14ac:dyDescent="0.3">
      <c r="A128" s="24"/>
      <c r="B128" s="25" t="s">
        <v>214</v>
      </c>
      <c r="C128" s="25"/>
      <c r="D128" s="25"/>
      <c r="E128" s="25"/>
      <c r="F128" s="25"/>
      <c r="G128" s="25"/>
      <c r="H128" s="25"/>
      <c r="I128" s="25"/>
      <c r="J128" s="25"/>
      <c r="K128" s="25"/>
      <c r="L128" s="25"/>
      <c r="M128" s="25"/>
      <c r="N128" s="34">
        <v>-366</v>
      </c>
      <c r="O128" s="34"/>
      <c r="P128" s="53"/>
      <c r="Q128" s="25"/>
      <c r="R128" s="5"/>
    </row>
    <row r="129" spans="1:19" ht="15.6" x14ac:dyDescent="0.3">
      <c r="A129" s="24"/>
      <c r="B129" s="25" t="s">
        <v>47</v>
      </c>
      <c r="C129" s="25"/>
      <c r="D129" s="25"/>
      <c r="E129" s="25"/>
      <c r="F129" s="25"/>
      <c r="G129" s="25"/>
      <c r="H129" s="25"/>
      <c r="I129" s="25"/>
      <c r="J129" s="25"/>
      <c r="K129" s="25"/>
      <c r="L129" s="25"/>
      <c r="M129" s="25"/>
      <c r="N129" s="34">
        <f>SUM(N122:N128)</f>
        <v>-3990</v>
      </c>
      <c r="O129" s="34"/>
      <c r="P129" s="34">
        <f>SUM(P104:P128)</f>
        <v>-3066</v>
      </c>
      <c r="Q129" s="25"/>
      <c r="R129" s="5"/>
    </row>
    <row r="130" spans="1:19" ht="15.6" x14ac:dyDescent="0.3">
      <c r="A130" s="24"/>
      <c r="B130" s="25" t="s">
        <v>48</v>
      </c>
      <c r="C130" s="25"/>
      <c r="D130" s="25"/>
      <c r="E130" s="25"/>
      <c r="F130" s="25"/>
      <c r="G130" s="25"/>
      <c r="H130" s="25"/>
      <c r="I130" s="25"/>
      <c r="J130" s="25"/>
      <c r="K130" s="25"/>
      <c r="L130" s="25"/>
      <c r="M130" s="25"/>
      <c r="N130" s="34">
        <f>N103+N129+N115</f>
        <v>0</v>
      </c>
      <c r="O130" s="34"/>
      <c r="P130" s="34">
        <f>P103+P129</f>
        <v>0</v>
      </c>
      <c r="Q130" s="25"/>
      <c r="R130" s="5"/>
    </row>
    <row r="131" spans="1:19" ht="15.6" x14ac:dyDescent="0.3">
      <c r="A131" s="24"/>
      <c r="B131" s="25"/>
      <c r="C131" s="25"/>
      <c r="D131" s="25"/>
      <c r="E131" s="25"/>
      <c r="F131" s="25"/>
      <c r="G131" s="25"/>
      <c r="H131" s="25"/>
      <c r="I131" s="25"/>
      <c r="J131" s="25"/>
      <c r="K131" s="25"/>
      <c r="L131" s="25"/>
      <c r="M131" s="25"/>
      <c r="N131" s="34"/>
      <c r="O131" s="34"/>
      <c r="P131" s="34"/>
      <c r="Q131" s="25"/>
      <c r="R131" s="5"/>
    </row>
    <row r="132" spans="1:19" ht="15.6" x14ac:dyDescent="0.3">
      <c r="A132" s="6"/>
      <c r="B132" s="146"/>
      <c r="C132" s="146"/>
      <c r="D132" s="146"/>
      <c r="E132" s="146"/>
      <c r="F132" s="146"/>
      <c r="G132" s="146"/>
      <c r="H132" s="146"/>
      <c r="I132" s="146"/>
      <c r="J132" s="146"/>
      <c r="K132" s="146"/>
      <c r="L132" s="146"/>
      <c r="M132" s="146"/>
      <c r="N132" s="147"/>
      <c r="O132" s="147"/>
      <c r="P132" s="147"/>
      <c r="Q132" s="146"/>
      <c r="R132" s="5"/>
    </row>
    <row r="133" spans="1:19" ht="18" thickBot="1" x14ac:dyDescent="0.35">
      <c r="A133" s="101"/>
      <c r="B133" s="102" t="str">
        <f>B65</f>
        <v>PM7 INVESTOR REPORT QUARTER ENDING JANUARY 2010</v>
      </c>
      <c r="C133" s="103"/>
      <c r="D133" s="103"/>
      <c r="E133" s="103"/>
      <c r="F133" s="103"/>
      <c r="G133" s="103"/>
      <c r="H133" s="103"/>
      <c r="I133" s="103"/>
      <c r="J133" s="103"/>
      <c r="K133" s="103"/>
      <c r="L133" s="103"/>
      <c r="M133" s="103"/>
      <c r="N133" s="103"/>
      <c r="O133" s="103"/>
      <c r="P133" s="106"/>
      <c r="Q133" s="105"/>
      <c r="R133" s="5"/>
    </row>
    <row r="134" spans="1:19" ht="15.6" x14ac:dyDescent="0.3">
      <c r="A134" s="2"/>
      <c r="B134" s="60" t="s">
        <v>49</v>
      </c>
      <c r="C134" s="4"/>
      <c r="D134" s="4"/>
      <c r="E134" s="4"/>
      <c r="F134" s="4"/>
      <c r="G134" s="4"/>
      <c r="H134" s="4"/>
      <c r="I134" s="4"/>
      <c r="J134" s="4"/>
      <c r="K134" s="4"/>
      <c r="L134" s="4"/>
      <c r="M134" s="4"/>
      <c r="N134" s="4"/>
      <c r="O134" s="4"/>
      <c r="P134" s="50"/>
      <c r="Q134" s="4"/>
      <c r="R134" s="5"/>
    </row>
    <row r="135" spans="1:19" ht="15.6" x14ac:dyDescent="0.3">
      <c r="A135" s="6"/>
      <c r="B135" s="21"/>
      <c r="C135" s="8"/>
      <c r="D135" s="8"/>
      <c r="E135" s="8"/>
      <c r="F135" s="8"/>
      <c r="G135" s="8"/>
      <c r="H135" s="8"/>
      <c r="I135" s="8"/>
      <c r="J135" s="8"/>
      <c r="K135" s="8"/>
      <c r="L135" s="8"/>
      <c r="M135" s="8"/>
      <c r="N135" s="8"/>
      <c r="O135" s="8"/>
      <c r="P135" s="52"/>
      <c r="Q135" s="8"/>
      <c r="R135" s="5"/>
    </row>
    <row r="136" spans="1:19" ht="15.6" x14ac:dyDescent="0.3">
      <c r="A136" s="6"/>
      <c r="B136" s="119" t="s">
        <v>50</v>
      </c>
      <c r="C136" s="8"/>
      <c r="D136" s="8"/>
      <c r="E136" s="8"/>
      <c r="F136" s="8"/>
      <c r="G136" s="8"/>
      <c r="H136" s="8"/>
      <c r="I136" s="8"/>
      <c r="J136" s="8"/>
      <c r="K136" s="8"/>
      <c r="L136" s="8"/>
      <c r="M136" s="8"/>
      <c r="N136" s="8"/>
      <c r="O136" s="8"/>
      <c r="P136" s="52"/>
      <c r="Q136" s="8"/>
      <c r="R136" s="5"/>
    </row>
    <row r="137" spans="1:19" ht="15.6" x14ac:dyDescent="0.3">
      <c r="A137" s="24"/>
      <c r="B137" s="25" t="s">
        <v>51</v>
      </c>
      <c r="C137" s="25"/>
      <c r="D137" s="25"/>
      <c r="E137" s="25"/>
      <c r="F137" s="25"/>
      <c r="G137" s="25"/>
      <c r="H137" s="25"/>
      <c r="I137" s="25"/>
      <c r="J137" s="25"/>
      <c r="K137" s="25"/>
      <c r="L137" s="25"/>
      <c r="M137" s="25"/>
      <c r="N137" s="25"/>
      <c r="O137" s="25"/>
      <c r="P137" s="53">
        <f>+P36*0.022</f>
        <v>19815.399999999998</v>
      </c>
      <c r="Q137" s="25"/>
      <c r="R137" s="5"/>
    </row>
    <row r="138" spans="1:19" ht="15.6" x14ac:dyDescent="0.3">
      <c r="A138" s="24"/>
      <c r="B138" s="25" t="s">
        <v>52</v>
      </c>
      <c r="C138" s="25"/>
      <c r="D138" s="25"/>
      <c r="E138" s="25"/>
      <c r="F138" s="25"/>
      <c r="G138" s="25"/>
      <c r="H138" s="25"/>
      <c r="I138" s="25"/>
      <c r="J138" s="25"/>
      <c r="K138" s="25"/>
      <c r="L138" s="25"/>
      <c r="M138" s="25"/>
      <c r="N138" s="25"/>
      <c r="O138" s="25"/>
      <c r="P138" s="53">
        <v>19815</v>
      </c>
      <c r="Q138" s="25"/>
      <c r="R138" s="5"/>
    </row>
    <row r="139" spans="1:19" ht="15.6" x14ac:dyDescent="0.3">
      <c r="A139" s="24"/>
      <c r="B139" s="25" t="s">
        <v>161</v>
      </c>
      <c r="C139" s="25"/>
      <c r="D139" s="25"/>
      <c r="E139" s="25"/>
      <c r="F139" s="25"/>
      <c r="G139" s="25"/>
      <c r="H139" s="25"/>
      <c r="I139" s="25"/>
      <c r="J139" s="25"/>
      <c r="K139" s="25"/>
      <c r="L139" s="25"/>
      <c r="M139" s="25"/>
      <c r="N139" s="25"/>
      <c r="O139" s="25"/>
      <c r="P139" s="53">
        <v>0</v>
      </c>
      <c r="Q139" s="25"/>
      <c r="R139" s="5"/>
    </row>
    <row r="140" spans="1:19" ht="15.6" x14ac:dyDescent="0.3">
      <c r="A140" s="24"/>
      <c r="B140" s="25" t="s">
        <v>144</v>
      </c>
      <c r="C140" s="25"/>
      <c r="D140" s="25"/>
      <c r="E140" s="25"/>
      <c r="F140" s="25"/>
      <c r="G140" s="25"/>
      <c r="H140" s="25"/>
      <c r="I140" s="25"/>
      <c r="J140" s="25"/>
      <c r="K140" s="25"/>
      <c r="L140" s="25"/>
      <c r="M140" s="25"/>
      <c r="N140" s="25"/>
      <c r="O140" s="25"/>
      <c r="P140" s="53">
        <v>0</v>
      </c>
      <c r="Q140" s="25"/>
      <c r="R140" s="5"/>
    </row>
    <row r="141" spans="1:19" ht="15.6" x14ac:dyDescent="0.3">
      <c r="A141" s="24"/>
      <c r="B141" s="25" t="s">
        <v>145</v>
      </c>
      <c r="C141" s="25"/>
      <c r="D141" s="25"/>
      <c r="E141" s="25"/>
      <c r="F141" s="25"/>
      <c r="G141" s="25"/>
      <c r="H141" s="25"/>
      <c r="I141" s="25"/>
      <c r="J141" s="25"/>
      <c r="K141" s="25"/>
      <c r="L141" s="25"/>
      <c r="M141" s="25"/>
      <c r="N141" s="25"/>
      <c r="O141" s="25"/>
      <c r="P141" s="53">
        <v>0</v>
      </c>
      <c r="Q141" s="25"/>
      <c r="R141" s="5"/>
    </row>
    <row r="142" spans="1:19" ht="15.6" x14ac:dyDescent="0.3">
      <c r="A142" s="24"/>
      <c r="B142" s="25" t="s">
        <v>53</v>
      </c>
      <c r="C142" s="25"/>
      <c r="D142" s="25"/>
      <c r="E142" s="25"/>
      <c r="F142" s="25"/>
      <c r="G142" s="25"/>
      <c r="H142" s="25"/>
      <c r="I142" s="25"/>
      <c r="J142" s="25"/>
      <c r="K142" s="25"/>
      <c r="L142" s="25"/>
      <c r="M142" s="25"/>
      <c r="N142" s="25"/>
      <c r="O142" s="25"/>
      <c r="P142" s="53">
        <v>0</v>
      </c>
      <c r="Q142" s="25"/>
      <c r="R142" s="5"/>
    </row>
    <row r="143" spans="1:19" ht="15.6" x14ac:dyDescent="0.3">
      <c r="A143" s="24"/>
      <c r="B143" s="25" t="s">
        <v>153</v>
      </c>
      <c r="C143" s="25"/>
      <c r="D143" s="25"/>
      <c r="E143" s="25"/>
      <c r="F143" s="25"/>
      <c r="G143" s="25"/>
      <c r="H143" s="25"/>
      <c r="I143" s="25"/>
      <c r="J143" s="25"/>
      <c r="K143" s="25"/>
      <c r="L143" s="25"/>
      <c r="M143" s="25"/>
      <c r="N143" s="25"/>
      <c r="O143" s="25"/>
      <c r="P143" s="53">
        <v>0</v>
      </c>
      <c r="Q143" s="25"/>
      <c r="R143" s="5"/>
    </row>
    <row r="144" spans="1:19" ht="15.6" x14ac:dyDescent="0.3">
      <c r="A144" s="24"/>
      <c r="B144" s="25" t="s">
        <v>202</v>
      </c>
      <c r="C144" s="25"/>
      <c r="D144" s="25"/>
      <c r="E144" s="25"/>
      <c r="F144" s="25"/>
      <c r="G144" s="25"/>
      <c r="H144" s="25"/>
      <c r="I144" s="25"/>
      <c r="J144" s="25"/>
      <c r="K144" s="25"/>
      <c r="L144" s="25"/>
      <c r="M144" s="25"/>
      <c r="N144" s="25"/>
      <c r="O144" s="25"/>
      <c r="P144" s="53">
        <v>0</v>
      </c>
      <c r="Q144" s="25"/>
      <c r="R144" s="5"/>
      <c r="S144" s="109"/>
    </row>
    <row r="145" spans="1:18" ht="15.6" x14ac:dyDescent="0.3">
      <c r="A145" s="24"/>
      <c r="B145" s="25" t="s">
        <v>54</v>
      </c>
      <c r="C145" s="25"/>
      <c r="D145" s="25"/>
      <c r="E145" s="25"/>
      <c r="F145" s="25"/>
      <c r="G145" s="25"/>
      <c r="H145" s="25"/>
      <c r="I145" s="25"/>
      <c r="J145" s="25"/>
      <c r="K145" s="25"/>
      <c r="L145" s="25"/>
      <c r="M145" s="25"/>
      <c r="N145" s="25"/>
      <c r="O145" s="25"/>
      <c r="P145" s="53">
        <f>SUM(P138:P144)</f>
        <v>19815</v>
      </c>
      <c r="Q145" s="25"/>
      <c r="R145" s="5"/>
    </row>
    <row r="146" spans="1:18" ht="15.6" x14ac:dyDescent="0.3">
      <c r="A146" s="24"/>
      <c r="B146" s="25"/>
      <c r="C146" s="25"/>
      <c r="D146" s="25"/>
      <c r="E146" s="25"/>
      <c r="F146" s="25"/>
      <c r="G146" s="25"/>
      <c r="H146" s="25"/>
      <c r="I146" s="25"/>
      <c r="J146" s="25"/>
      <c r="K146" s="25"/>
      <c r="L146" s="25"/>
      <c r="M146" s="25"/>
      <c r="N146" s="25"/>
      <c r="O146" s="25"/>
      <c r="P146" s="61"/>
      <c r="Q146" s="25"/>
      <c r="R146" s="5"/>
    </row>
    <row r="147" spans="1:18" ht="15.6" x14ac:dyDescent="0.3">
      <c r="A147" s="6"/>
      <c r="B147" s="119" t="s">
        <v>28</v>
      </c>
      <c r="C147" s="8"/>
      <c r="D147" s="8"/>
      <c r="E147" s="8"/>
      <c r="F147" s="8"/>
      <c r="G147" s="8"/>
      <c r="H147" s="8"/>
      <c r="I147" s="8"/>
      <c r="J147" s="8"/>
      <c r="K147" s="8"/>
      <c r="L147" s="8"/>
      <c r="M147" s="8"/>
      <c r="N147" s="8"/>
      <c r="O147" s="8"/>
      <c r="P147" s="52"/>
      <c r="Q147" s="8"/>
      <c r="R147" s="5"/>
    </row>
    <row r="148" spans="1:18" ht="15.6" x14ac:dyDescent="0.3">
      <c r="A148" s="24"/>
      <c r="B148" s="25" t="s">
        <v>55</v>
      </c>
      <c r="C148" s="25"/>
      <c r="D148" s="25"/>
      <c r="E148" s="25"/>
      <c r="F148" s="25"/>
      <c r="G148" s="25"/>
      <c r="H148" s="25"/>
      <c r="I148" s="25"/>
      <c r="J148" s="25"/>
      <c r="K148" s="25"/>
      <c r="L148" s="25"/>
      <c r="M148" s="25"/>
      <c r="N148" s="25"/>
      <c r="O148" s="25"/>
      <c r="P148" s="59" t="s">
        <v>137</v>
      </c>
      <c r="Q148" s="25"/>
      <c r="R148" s="5"/>
    </row>
    <row r="149" spans="1:18" ht="15.6" x14ac:dyDescent="0.3">
      <c r="A149" s="24"/>
      <c r="B149" s="25" t="s">
        <v>56</v>
      </c>
      <c r="C149" s="141"/>
      <c r="D149" s="141"/>
      <c r="E149" s="141"/>
      <c r="F149" s="141"/>
      <c r="G149" s="141"/>
      <c r="H149" s="141"/>
      <c r="I149" s="141"/>
      <c r="J149" s="141"/>
      <c r="K149" s="141"/>
      <c r="L149" s="141"/>
      <c r="M149" s="141"/>
      <c r="N149" s="141"/>
      <c r="O149" s="141"/>
      <c r="P149" s="59" t="s">
        <v>137</v>
      </c>
      <c r="Q149" s="25"/>
      <c r="R149" s="5"/>
    </row>
    <row r="150" spans="1:18" ht="15.6" x14ac:dyDescent="0.3">
      <c r="A150" s="24"/>
      <c r="B150" s="25" t="s">
        <v>57</v>
      </c>
      <c r="C150" s="25"/>
      <c r="D150" s="25"/>
      <c r="E150" s="25"/>
      <c r="F150" s="25"/>
      <c r="G150" s="25"/>
      <c r="H150" s="25"/>
      <c r="I150" s="25"/>
      <c r="J150" s="25"/>
      <c r="K150" s="25"/>
      <c r="L150" s="25"/>
      <c r="M150" s="25"/>
      <c r="N150" s="25"/>
      <c r="O150" s="25"/>
      <c r="P150" s="59" t="s">
        <v>137</v>
      </c>
      <c r="Q150" s="25"/>
      <c r="R150" s="5"/>
    </row>
    <row r="151" spans="1:18" ht="15.6" x14ac:dyDescent="0.3">
      <c r="A151" s="24"/>
      <c r="B151" s="25" t="s">
        <v>58</v>
      </c>
      <c r="C151" s="25"/>
      <c r="D151" s="25"/>
      <c r="E151" s="25"/>
      <c r="F151" s="25"/>
      <c r="G151" s="25"/>
      <c r="H151" s="25"/>
      <c r="I151" s="25"/>
      <c r="J151" s="25"/>
      <c r="K151" s="25"/>
      <c r="L151" s="25"/>
      <c r="M151" s="25"/>
      <c r="N151" s="25"/>
      <c r="O151" s="25"/>
      <c r="P151" s="59" t="s">
        <v>137</v>
      </c>
      <c r="Q151" s="25"/>
      <c r="R151" s="5"/>
    </row>
    <row r="152" spans="1:18" ht="15.6" x14ac:dyDescent="0.3">
      <c r="A152" s="24"/>
      <c r="B152" s="25"/>
      <c r="C152" s="25"/>
      <c r="D152" s="25"/>
      <c r="E152" s="25"/>
      <c r="F152" s="25"/>
      <c r="G152" s="25"/>
      <c r="H152" s="25"/>
      <c r="I152" s="25"/>
      <c r="J152" s="25"/>
      <c r="K152" s="25"/>
      <c r="L152" s="25"/>
      <c r="M152" s="25"/>
      <c r="N152" s="25"/>
      <c r="O152" s="25"/>
      <c r="P152" s="61"/>
      <c r="Q152" s="25"/>
      <c r="R152" s="5"/>
    </row>
    <row r="153" spans="1:18" ht="15.6" x14ac:dyDescent="0.3">
      <c r="A153" s="6"/>
      <c r="B153" s="119" t="s">
        <v>59</v>
      </c>
      <c r="C153" s="8"/>
      <c r="D153" s="8"/>
      <c r="E153" s="8"/>
      <c r="F153" s="8"/>
      <c r="G153" s="8"/>
      <c r="H153" s="8"/>
      <c r="I153" s="8"/>
      <c r="J153" s="8"/>
      <c r="K153" s="8"/>
      <c r="L153" s="8"/>
      <c r="M153" s="8"/>
      <c r="N153" s="8"/>
      <c r="O153" s="8"/>
      <c r="P153" s="63"/>
      <c r="Q153" s="8"/>
      <c r="R153" s="5"/>
    </row>
    <row r="154" spans="1:18" ht="15.6" x14ac:dyDescent="0.3">
      <c r="A154" s="24"/>
      <c r="B154" s="25" t="s">
        <v>60</v>
      </c>
      <c r="C154" s="25"/>
      <c r="D154" s="25"/>
      <c r="E154" s="25"/>
      <c r="F154" s="25"/>
      <c r="G154" s="25"/>
      <c r="H154" s="25"/>
      <c r="I154" s="25"/>
      <c r="J154" s="25"/>
      <c r="K154" s="25"/>
      <c r="L154" s="25"/>
      <c r="M154" s="25"/>
      <c r="N154" s="25"/>
      <c r="O154" s="25"/>
      <c r="P154" s="53">
        <v>0</v>
      </c>
      <c r="Q154" s="25"/>
      <c r="R154" s="5"/>
    </row>
    <row r="155" spans="1:18" ht="15.6" x14ac:dyDescent="0.3">
      <c r="A155" s="24"/>
      <c r="B155" s="25" t="s">
        <v>61</v>
      </c>
      <c r="C155" s="25"/>
      <c r="D155" s="25"/>
      <c r="E155" s="25"/>
      <c r="F155" s="25"/>
      <c r="G155" s="25"/>
      <c r="H155" s="25"/>
      <c r="I155" s="25"/>
      <c r="J155" s="25"/>
      <c r="K155" s="25"/>
      <c r="L155" s="25"/>
      <c r="M155" s="25"/>
      <c r="N155" s="25"/>
      <c r="O155" s="25"/>
      <c r="P155" s="53">
        <f>-P115</f>
        <v>224</v>
      </c>
      <c r="Q155" s="25"/>
      <c r="R155" s="5"/>
    </row>
    <row r="156" spans="1:18" ht="15.6" x14ac:dyDescent="0.3">
      <c r="A156" s="24"/>
      <c r="B156" s="25" t="s">
        <v>62</v>
      </c>
      <c r="C156" s="25"/>
      <c r="D156" s="25"/>
      <c r="E156" s="25"/>
      <c r="F156" s="25"/>
      <c r="G156" s="25"/>
      <c r="H156" s="25"/>
      <c r="I156" s="25"/>
      <c r="J156" s="25"/>
      <c r="K156" s="25"/>
      <c r="L156" s="25"/>
      <c r="M156" s="25"/>
      <c r="N156" s="25"/>
      <c r="O156" s="25"/>
      <c r="P156" s="53">
        <f>P155+P154</f>
        <v>224</v>
      </c>
      <c r="Q156" s="25"/>
      <c r="R156" s="5"/>
    </row>
    <row r="157" spans="1:18" ht="15.6" x14ac:dyDescent="0.3">
      <c r="A157" s="24"/>
      <c r="B157" s="403" t="s">
        <v>297</v>
      </c>
      <c r="C157" s="25"/>
      <c r="D157" s="25"/>
      <c r="E157" s="25"/>
      <c r="F157" s="25"/>
      <c r="G157" s="25"/>
      <c r="H157" s="25"/>
      <c r="I157" s="25"/>
      <c r="J157" s="25"/>
      <c r="K157" s="25"/>
      <c r="L157" s="25"/>
      <c r="M157" s="25"/>
      <c r="N157" s="25"/>
      <c r="O157" s="25"/>
      <c r="P157" s="53">
        <f>P115</f>
        <v>-224</v>
      </c>
      <c r="Q157" s="25"/>
      <c r="R157" s="5"/>
    </row>
    <row r="158" spans="1:18" ht="15.6" x14ac:dyDescent="0.3">
      <c r="A158" s="24"/>
      <c r="B158" s="25" t="s">
        <v>63</v>
      </c>
      <c r="C158" s="25"/>
      <c r="D158" s="25"/>
      <c r="E158" s="25"/>
      <c r="F158" s="25"/>
      <c r="G158" s="25"/>
      <c r="H158" s="25"/>
      <c r="I158" s="25"/>
      <c r="J158" s="25"/>
      <c r="K158" s="25"/>
      <c r="L158" s="25"/>
      <c r="M158" s="25"/>
      <c r="N158" s="25"/>
      <c r="O158" s="25"/>
      <c r="P158" s="53">
        <f>P156+P157</f>
        <v>0</v>
      </c>
      <c r="Q158" s="25"/>
      <c r="R158" s="5"/>
    </row>
    <row r="159" spans="1:18" ht="15.6" x14ac:dyDescent="0.3">
      <c r="A159" s="24"/>
      <c r="B159" s="25" t="s">
        <v>268</v>
      </c>
      <c r="C159" s="25"/>
      <c r="D159" s="25"/>
      <c r="E159" s="25"/>
      <c r="F159" s="25"/>
      <c r="G159" s="25"/>
      <c r="H159" s="25"/>
      <c r="I159" s="25"/>
      <c r="J159" s="25"/>
      <c r="K159" s="25"/>
      <c r="L159" s="25"/>
      <c r="M159" s="25"/>
      <c r="N159" s="25"/>
      <c r="O159" s="25"/>
      <c r="P159" s="53">
        <f>-P102</f>
        <v>259</v>
      </c>
      <c r="Q159" s="25"/>
      <c r="R159" s="5"/>
    </row>
    <row r="160" spans="1:18" ht="16.2" thickBot="1" x14ac:dyDescent="0.35">
      <c r="A160" s="24"/>
      <c r="B160" s="25"/>
      <c r="C160" s="25"/>
      <c r="D160" s="25"/>
      <c r="E160" s="25"/>
      <c r="F160" s="25"/>
      <c r="G160" s="25"/>
      <c r="H160" s="25"/>
      <c r="I160" s="25"/>
      <c r="J160" s="25"/>
      <c r="K160" s="25"/>
      <c r="L160" s="25"/>
      <c r="M160" s="25"/>
      <c r="N160" s="25"/>
      <c r="O160" s="25"/>
      <c r="P160" s="61"/>
      <c r="Q160" s="25"/>
      <c r="R160" s="5"/>
    </row>
    <row r="161" spans="1:19" ht="15.6" x14ac:dyDescent="0.3">
      <c r="A161" s="2"/>
      <c r="B161" s="4"/>
      <c r="C161" s="4"/>
      <c r="D161" s="4"/>
      <c r="E161" s="4"/>
      <c r="F161" s="4"/>
      <c r="G161" s="4"/>
      <c r="H161" s="4"/>
      <c r="I161" s="4"/>
      <c r="J161" s="4"/>
      <c r="K161" s="4"/>
      <c r="L161" s="4"/>
      <c r="M161" s="4"/>
      <c r="N161" s="4"/>
      <c r="O161" s="4"/>
      <c r="P161" s="50"/>
      <c r="Q161" s="4"/>
      <c r="R161" s="5"/>
    </row>
    <row r="162" spans="1:19" ht="15.6" x14ac:dyDescent="0.3">
      <c r="A162" s="6"/>
      <c r="B162" s="119" t="s">
        <v>64</v>
      </c>
      <c r="C162" s="8"/>
      <c r="D162" s="8"/>
      <c r="E162" s="8"/>
      <c r="F162" s="8"/>
      <c r="G162" s="8"/>
      <c r="H162" s="8"/>
      <c r="I162" s="8"/>
      <c r="J162" s="8"/>
      <c r="K162" s="8"/>
      <c r="L162" s="8"/>
      <c r="M162" s="8"/>
      <c r="N162" s="8"/>
      <c r="O162" s="8"/>
      <c r="P162" s="52"/>
      <c r="Q162" s="8"/>
      <c r="R162" s="5"/>
    </row>
    <row r="163" spans="1:19" ht="15.6" x14ac:dyDescent="0.3">
      <c r="A163" s="6"/>
      <c r="B163" s="21"/>
      <c r="C163" s="8"/>
      <c r="D163" s="8"/>
      <c r="E163" s="8"/>
      <c r="F163" s="8"/>
      <c r="G163" s="8"/>
      <c r="H163" s="8"/>
      <c r="I163" s="8"/>
      <c r="J163" s="8"/>
      <c r="K163" s="8"/>
      <c r="L163" s="8"/>
      <c r="M163" s="8"/>
      <c r="N163" s="8"/>
      <c r="O163" s="8"/>
      <c r="P163" s="52"/>
      <c r="Q163" s="8"/>
      <c r="R163" s="5"/>
    </row>
    <row r="164" spans="1:19" ht="15.6" x14ac:dyDescent="0.3">
      <c r="A164" s="24"/>
      <c r="B164" s="25" t="s">
        <v>221</v>
      </c>
      <c r="C164" s="25"/>
      <c r="D164" s="25"/>
      <c r="E164" s="25"/>
      <c r="F164" s="25"/>
      <c r="G164" s="25"/>
      <c r="H164" s="25"/>
      <c r="I164" s="25"/>
      <c r="J164" s="25"/>
      <c r="K164" s="25"/>
      <c r="L164" s="25"/>
      <c r="M164" s="25"/>
      <c r="N164" s="25"/>
      <c r="O164" s="25"/>
      <c r="P164" s="53">
        <f>P73</f>
        <v>414741</v>
      </c>
      <c r="Q164" s="25"/>
      <c r="R164" s="5"/>
    </row>
    <row r="165" spans="1:19" ht="15.6" x14ac:dyDescent="0.3">
      <c r="A165" s="24"/>
      <c r="B165" s="25" t="s">
        <v>273</v>
      </c>
      <c r="C165" s="25"/>
      <c r="D165" s="25"/>
      <c r="E165" s="25"/>
      <c r="F165" s="25"/>
      <c r="G165" s="25"/>
      <c r="H165" s="25"/>
      <c r="I165" s="25"/>
      <c r="J165" s="25"/>
      <c r="K165" s="25"/>
      <c r="L165" s="25"/>
      <c r="M165" s="25"/>
      <c r="N165" s="25"/>
      <c r="O165" s="25"/>
      <c r="P165" s="53">
        <f>+P86</f>
        <v>0</v>
      </c>
      <c r="Q165" s="25"/>
      <c r="R165" s="5"/>
    </row>
    <row r="166" spans="1:19" ht="15.6" x14ac:dyDescent="0.3">
      <c r="A166" s="24"/>
      <c r="B166" s="25" t="s">
        <v>65</v>
      </c>
      <c r="C166" s="25"/>
      <c r="D166" s="25"/>
      <c r="E166" s="25"/>
      <c r="F166" s="25"/>
      <c r="G166" s="25"/>
      <c r="H166" s="25"/>
      <c r="I166" s="25"/>
      <c r="J166" s="25"/>
      <c r="K166" s="25"/>
      <c r="L166" s="25"/>
      <c r="M166" s="25"/>
      <c r="N166" s="25"/>
      <c r="O166" s="25"/>
      <c r="P166" s="53">
        <f>P38</f>
        <v>414740.80883828382</v>
      </c>
      <c r="Q166" s="25"/>
      <c r="R166" s="5"/>
      <c r="S166" s="109"/>
    </row>
    <row r="167" spans="1:19" ht="16.2" thickBot="1" x14ac:dyDescent="0.35">
      <c r="A167" s="24"/>
      <c r="B167" s="25"/>
      <c r="C167" s="25"/>
      <c r="D167" s="25"/>
      <c r="E167" s="25"/>
      <c r="F167" s="25"/>
      <c r="G167" s="25"/>
      <c r="H167" s="25"/>
      <c r="I167" s="25"/>
      <c r="J167" s="25"/>
      <c r="K167" s="25"/>
      <c r="L167" s="25"/>
      <c r="M167" s="25"/>
      <c r="N167" s="25"/>
      <c r="O167" s="25"/>
      <c r="P167" s="61"/>
      <c r="Q167" s="25"/>
      <c r="R167" s="5"/>
    </row>
    <row r="168" spans="1:19" ht="15.6" x14ac:dyDescent="0.3">
      <c r="A168" s="2"/>
      <c r="B168" s="4"/>
      <c r="C168" s="4"/>
      <c r="D168" s="4"/>
      <c r="E168" s="4"/>
      <c r="F168" s="4"/>
      <c r="G168" s="4"/>
      <c r="H168" s="4"/>
      <c r="I168" s="4"/>
      <c r="J168" s="4"/>
      <c r="K168" s="4"/>
      <c r="L168" s="4"/>
      <c r="M168" s="4"/>
      <c r="N168" s="4"/>
      <c r="O168" s="4"/>
      <c r="P168" s="50"/>
      <c r="Q168" s="4"/>
      <c r="R168" s="5"/>
    </row>
    <row r="169" spans="1:19" ht="15.6" x14ac:dyDescent="0.3">
      <c r="A169" s="6"/>
      <c r="B169" s="119" t="s">
        <v>66</v>
      </c>
      <c r="C169" s="117"/>
      <c r="D169" s="117"/>
      <c r="E169" s="117"/>
      <c r="F169" s="120"/>
      <c r="G169" s="120"/>
      <c r="H169" s="120"/>
      <c r="I169" s="120"/>
      <c r="J169" s="120"/>
      <c r="K169" s="120"/>
      <c r="L169" s="120"/>
      <c r="M169" s="120" t="s">
        <v>112</v>
      </c>
      <c r="N169" s="120" t="s">
        <v>120</v>
      </c>
      <c r="O169" s="111"/>
      <c r="P169" s="121" t="s">
        <v>129</v>
      </c>
      <c r="Q169" s="10"/>
      <c r="R169" s="5"/>
    </row>
    <row r="170" spans="1:19" ht="15.6" x14ac:dyDescent="0.3">
      <c r="A170" s="24"/>
      <c r="B170" s="25" t="s">
        <v>67</v>
      </c>
      <c r="C170" s="25"/>
      <c r="D170" s="25"/>
      <c r="E170" s="25"/>
      <c r="F170" s="25"/>
      <c r="G170" s="25"/>
      <c r="H170" s="25"/>
      <c r="I170" s="25"/>
      <c r="J170" s="25"/>
      <c r="K170" s="25"/>
      <c r="L170" s="25"/>
      <c r="M170" s="53">
        <v>144000</v>
      </c>
      <c r="N170" s="40">
        <v>0</v>
      </c>
      <c r="O170" s="25"/>
      <c r="P170" s="53"/>
      <c r="Q170" s="25"/>
      <c r="R170" s="5"/>
    </row>
    <row r="171" spans="1:19" ht="15.6" x14ac:dyDescent="0.3">
      <c r="A171" s="24"/>
      <c r="B171" s="25" t="s">
        <v>68</v>
      </c>
      <c r="C171" s="25"/>
      <c r="D171" s="25"/>
      <c r="E171" s="25"/>
      <c r="F171" s="25"/>
      <c r="G171" s="25"/>
      <c r="H171" s="25"/>
      <c r="I171" s="25"/>
      <c r="J171" s="25"/>
      <c r="K171" s="25"/>
      <c r="L171" s="25"/>
      <c r="M171" s="53">
        <f>+'Oct 09'!M173</f>
        <v>85512</v>
      </c>
      <c r="N171" s="53">
        <f>+'Oct 09'!N173</f>
        <v>10192</v>
      </c>
      <c r="O171" s="25"/>
      <c r="P171" s="53">
        <f>M171+N171</f>
        <v>95704</v>
      </c>
      <c r="Q171" s="25"/>
      <c r="R171" s="5"/>
    </row>
    <row r="172" spans="1:19" ht="15.6" x14ac:dyDescent="0.3">
      <c r="A172" s="24"/>
      <c r="B172" s="25" t="s">
        <v>69</v>
      </c>
      <c r="C172" s="25"/>
      <c r="D172" s="25"/>
      <c r="E172" s="25"/>
      <c r="F172" s="25"/>
      <c r="G172" s="25"/>
      <c r="H172" s="25"/>
      <c r="I172" s="25"/>
      <c r="J172" s="25"/>
      <c r="K172" s="25"/>
      <c r="L172" s="25"/>
      <c r="M172" s="34">
        <f>33+204</f>
        <v>237</v>
      </c>
      <c r="N172" s="34">
        <f>-N100-N122</f>
        <v>1</v>
      </c>
      <c r="O172" s="25"/>
      <c r="P172" s="53">
        <f>M172+N172</f>
        <v>238</v>
      </c>
      <c r="Q172" s="25"/>
      <c r="R172" s="5"/>
    </row>
    <row r="173" spans="1:19" ht="15.6" x14ac:dyDescent="0.3">
      <c r="A173" s="24"/>
      <c r="B173" s="25" t="s">
        <v>70</v>
      </c>
      <c r="C173" s="25"/>
      <c r="D173" s="25"/>
      <c r="E173" s="25"/>
      <c r="F173" s="25"/>
      <c r="G173" s="25"/>
      <c r="H173" s="25"/>
      <c r="I173" s="25"/>
      <c r="J173" s="25"/>
      <c r="K173" s="25"/>
      <c r="L173" s="25"/>
      <c r="M173" s="53">
        <f>M171+M172</f>
        <v>85749</v>
      </c>
      <c r="N173" s="53">
        <f>N172+N171</f>
        <v>10193</v>
      </c>
      <c r="O173" s="25"/>
      <c r="P173" s="53">
        <f>M173+N173</f>
        <v>95942</v>
      </c>
      <c r="Q173" s="25"/>
      <c r="R173" s="5"/>
    </row>
    <row r="174" spans="1:19" ht="15.6" x14ac:dyDescent="0.3">
      <c r="A174" s="24"/>
      <c r="B174" s="25" t="s">
        <v>71</v>
      </c>
      <c r="C174" s="25"/>
      <c r="D174" s="25"/>
      <c r="E174" s="25"/>
      <c r="F174" s="25"/>
      <c r="G174" s="25"/>
      <c r="H174" s="25"/>
      <c r="I174" s="25"/>
      <c r="J174" s="25"/>
      <c r="K174" s="25"/>
      <c r="L174" s="25"/>
      <c r="M174" s="53">
        <f>M170-M173-N173</f>
        <v>48058</v>
      </c>
      <c r="N174" s="40"/>
      <c r="O174" s="25"/>
      <c r="P174" s="53"/>
      <c r="Q174" s="25"/>
      <c r="R174" s="5"/>
    </row>
    <row r="175" spans="1:19" ht="16.2" thickBot="1" x14ac:dyDescent="0.35">
      <c r="A175" s="24"/>
      <c r="B175" s="25"/>
      <c r="C175" s="25"/>
      <c r="D175" s="25"/>
      <c r="E175" s="25"/>
      <c r="F175" s="25"/>
      <c r="G175" s="25"/>
      <c r="H175" s="25"/>
      <c r="I175" s="25"/>
      <c r="J175" s="25"/>
      <c r="K175" s="25"/>
      <c r="L175" s="25"/>
      <c r="M175" s="25"/>
      <c r="N175" s="25"/>
      <c r="O175" s="25"/>
      <c r="P175" s="61"/>
      <c r="Q175" s="25"/>
      <c r="R175" s="5"/>
    </row>
    <row r="176" spans="1:19" ht="15.6" x14ac:dyDescent="0.3">
      <c r="A176" s="2"/>
      <c r="B176" s="4"/>
      <c r="C176" s="4"/>
      <c r="D176" s="4"/>
      <c r="E176" s="4"/>
      <c r="F176" s="4"/>
      <c r="G176" s="4"/>
      <c r="H176" s="4"/>
      <c r="I176" s="4"/>
      <c r="J176" s="4"/>
      <c r="K176" s="4"/>
      <c r="L176" s="4"/>
      <c r="M176" s="4"/>
      <c r="N176" s="4"/>
      <c r="O176" s="4"/>
      <c r="P176" s="50"/>
      <c r="Q176" s="4"/>
      <c r="R176" s="5"/>
    </row>
    <row r="177" spans="1:18" ht="15.6" x14ac:dyDescent="0.3">
      <c r="A177" s="6"/>
      <c r="B177" s="119" t="s">
        <v>72</v>
      </c>
      <c r="C177" s="8"/>
      <c r="D177" s="8"/>
      <c r="E177" s="8"/>
      <c r="F177" s="8"/>
      <c r="G177" s="8"/>
      <c r="H177" s="8"/>
      <c r="I177" s="8"/>
      <c r="J177" s="8"/>
      <c r="K177" s="8"/>
      <c r="L177" s="8"/>
      <c r="M177" s="8"/>
      <c r="N177" s="8"/>
      <c r="O177" s="8"/>
      <c r="P177" s="65"/>
      <c r="Q177" s="8"/>
      <c r="R177" s="5"/>
    </row>
    <row r="178" spans="1:18" ht="15.6" x14ac:dyDescent="0.3">
      <c r="A178" s="24"/>
      <c r="B178" s="25" t="s">
        <v>73</v>
      </c>
      <c r="C178" s="25"/>
      <c r="D178" s="25"/>
      <c r="E178" s="25"/>
      <c r="F178" s="25"/>
      <c r="G178" s="25"/>
      <c r="H178" s="25"/>
      <c r="I178" s="25"/>
      <c r="J178" s="25"/>
      <c r="K178" s="25"/>
      <c r="L178" s="25"/>
      <c r="M178" s="25"/>
      <c r="N178" s="25"/>
      <c r="O178" s="25"/>
      <c r="P178" s="66">
        <f>(P103+P105+P106+P107+P108)/-(P109+P110+P111)</f>
        <v>2.6728971962616823</v>
      </c>
      <c r="Q178" s="25" t="s">
        <v>130</v>
      </c>
      <c r="R178" s="5"/>
    </row>
    <row r="179" spans="1:18" ht="15.6" x14ac:dyDescent="0.3">
      <c r="A179" s="24"/>
      <c r="B179" s="25" t="s">
        <v>74</v>
      </c>
      <c r="C179" s="25"/>
      <c r="D179" s="25"/>
      <c r="E179" s="25"/>
      <c r="F179" s="25"/>
      <c r="G179" s="25"/>
      <c r="H179" s="25"/>
      <c r="I179" s="25"/>
      <c r="J179" s="25"/>
      <c r="K179" s="25"/>
      <c r="L179" s="25"/>
      <c r="M179" s="25"/>
      <c r="N179" s="25"/>
      <c r="O179" s="25"/>
      <c r="P179" s="66">
        <v>1.43</v>
      </c>
      <c r="Q179" s="25" t="s">
        <v>130</v>
      </c>
      <c r="R179" s="5"/>
    </row>
    <row r="180" spans="1:18" ht="15.6" x14ac:dyDescent="0.3">
      <c r="A180" s="24"/>
      <c r="B180" s="25" t="s">
        <v>75</v>
      </c>
      <c r="C180" s="25"/>
      <c r="D180" s="25"/>
      <c r="E180" s="25"/>
      <c r="F180" s="25"/>
      <c r="G180" s="25"/>
      <c r="H180" s="25"/>
      <c r="I180" s="25"/>
      <c r="J180" s="25"/>
      <c r="K180" s="25"/>
      <c r="L180" s="25"/>
      <c r="M180" s="25"/>
      <c r="N180" s="25"/>
      <c r="O180" s="25"/>
      <c r="P180" s="59">
        <f>(P103+P105+P106+P107+P108+P109+P110+P111)/-(P112+P113)</f>
        <v>3.867283950617284</v>
      </c>
      <c r="Q180" s="25" t="s">
        <v>130</v>
      </c>
      <c r="R180" s="5"/>
    </row>
    <row r="181" spans="1:18" ht="15.6" x14ac:dyDescent="0.3">
      <c r="A181" s="24"/>
      <c r="B181" s="25" t="s">
        <v>76</v>
      </c>
      <c r="C181" s="25"/>
      <c r="D181" s="25"/>
      <c r="E181" s="25"/>
      <c r="F181" s="25"/>
      <c r="G181" s="25"/>
      <c r="H181" s="25"/>
      <c r="I181" s="25"/>
      <c r="J181" s="25"/>
      <c r="K181" s="25"/>
      <c r="L181" s="25"/>
      <c r="M181" s="25"/>
      <c r="N181" s="25"/>
      <c r="O181" s="25"/>
      <c r="P181" s="66">
        <v>2.36</v>
      </c>
      <c r="Q181" s="25" t="s">
        <v>130</v>
      </c>
      <c r="R181" s="5"/>
    </row>
    <row r="182" spans="1:18" ht="15.6" x14ac:dyDescent="0.3">
      <c r="A182" s="24"/>
      <c r="B182" s="25"/>
      <c r="C182" s="25"/>
      <c r="D182" s="25"/>
      <c r="E182" s="25"/>
      <c r="F182" s="25"/>
      <c r="G182" s="25"/>
      <c r="H182" s="25"/>
      <c r="I182" s="25"/>
      <c r="J182" s="25"/>
      <c r="K182" s="25"/>
      <c r="L182" s="25"/>
      <c r="M182" s="25"/>
      <c r="N182" s="25"/>
      <c r="O182" s="25"/>
      <c r="P182" s="25"/>
      <c r="Q182" s="25"/>
      <c r="R182" s="5"/>
    </row>
    <row r="183" spans="1:18" ht="15.6" x14ac:dyDescent="0.3">
      <c r="A183" s="24"/>
      <c r="B183" s="25"/>
      <c r="C183" s="25"/>
      <c r="D183" s="25"/>
      <c r="E183" s="25"/>
      <c r="F183" s="25"/>
      <c r="G183" s="25"/>
      <c r="H183" s="25"/>
      <c r="I183" s="25"/>
      <c r="J183" s="25"/>
      <c r="K183" s="25"/>
      <c r="L183" s="25"/>
      <c r="M183" s="25"/>
      <c r="N183" s="25"/>
      <c r="O183" s="25"/>
      <c r="P183" s="25"/>
      <c r="Q183" s="25"/>
      <c r="R183" s="5"/>
    </row>
    <row r="184" spans="1:18" ht="15.6" x14ac:dyDescent="0.3">
      <c r="A184" s="6"/>
      <c r="B184" s="8"/>
      <c r="C184" s="8"/>
      <c r="D184" s="8"/>
      <c r="E184" s="8"/>
      <c r="F184" s="8"/>
      <c r="G184" s="8"/>
      <c r="H184" s="8"/>
      <c r="I184" s="8"/>
      <c r="J184" s="8"/>
      <c r="K184" s="8"/>
      <c r="L184" s="8"/>
      <c r="M184" s="8"/>
      <c r="N184" s="8"/>
      <c r="O184" s="8"/>
      <c r="P184" s="8"/>
      <c r="Q184" s="8"/>
      <c r="R184" s="5"/>
    </row>
    <row r="185" spans="1:18" ht="18" thickBot="1" x14ac:dyDescent="0.35">
      <c r="A185" s="101"/>
      <c r="B185" s="102" t="str">
        <f>B133</f>
        <v>PM7 INVESTOR REPORT QUARTER ENDING JANUARY 2010</v>
      </c>
      <c r="C185" s="143"/>
      <c r="D185" s="143"/>
      <c r="E185" s="143"/>
      <c r="F185" s="143"/>
      <c r="G185" s="143"/>
      <c r="H185" s="143"/>
      <c r="I185" s="143"/>
      <c r="J185" s="143"/>
      <c r="K185" s="143"/>
      <c r="L185" s="143"/>
      <c r="M185" s="143"/>
      <c r="N185" s="143"/>
      <c r="O185" s="143"/>
      <c r="P185" s="143"/>
      <c r="Q185" s="144"/>
      <c r="R185" s="5"/>
    </row>
    <row r="186" spans="1:18" ht="15.6" x14ac:dyDescent="0.3">
      <c r="A186" s="67"/>
      <c r="B186" s="60" t="s">
        <v>77</v>
      </c>
      <c r="C186" s="68"/>
      <c r="D186" s="68"/>
      <c r="E186" s="69"/>
      <c r="F186" s="69"/>
      <c r="G186" s="69"/>
      <c r="H186" s="69"/>
      <c r="I186" s="69"/>
      <c r="J186" s="69"/>
      <c r="K186" s="69"/>
      <c r="L186" s="69"/>
      <c r="M186" s="69"/>
      <c r="N186" s="70">
        <f>H90</f>
        <v>40207</v>
      </c>
      <c r="O186" s="4"/>
      <c r="P186" s="4"/>
      <c r="Q186" s="4"/>
      <c r="R186" s="5"/>
    </row>
    <row r="187" spans="1:18" ht="15.6" x14ac:dyDescent="0.3">
      <c r="A187" s="71"/>
      <c r="B187" s="72"/>
      <c r="C187" s="73"/>
      <c r="D187" s="73"/>
      <c r="E187" s="74"/>
      <c r="F187" s="74"/>
      <c r="G187" s="74"/>
      <c r="H187" s="74"/>
      <c r="I187" s="74"/>
      <c r="J187" s="74"/>
      <c r="K187" s="74"/>
      <c r="L187" s="74"/>
      <c r="M187" s="74"/>
      <c r="N187" s="74"/>
      <c r="O187" s="8"/>
      <c r="P187" s="8"/>
      <c r="Q187" s="8"/>
      <c r="R187" s="5"/>
    </row>
    <row r="188" spans="1:18" ht="15.6" x14ac:dyDescent="0.3">
      <c r="A188" s="75"/>
      <c r="B188" s="76" t="s">
        <v>78</v>
      </c>
      <c r="C188" s="77"/>
      <c r="D188" s="77"/>
      <c r="E188" s="64"/>
      <c r="F188" s="64"/>
      <c r="G188" s="64"/>
      <c r="H188" s="64"/>
      <c r="I188" s="64"/>
      <c r="J188" s="64"/>
      <c r="K188" s="64"/>
      <c r="L188" s="64"/>
      <c r="M188" s="64"/>
      <c r="N188" s="78">
        <v>5.8069999999999997E-2</v>
      </c>
      <c r="O188" s="25"/>
      <c r="P188" s="25"/>
      <c r="Q188" s="25"/>
      <c r="R188" s="5"/>
    </row>
    <row r="189" spans="1:18" ht="15.6" x14ac:dyDescent="0.3">
      <c r="A189" s="75"/>
      <c r="B189" s="76" t="s">
        <v>219</v>
      </c>
      <c r="C189" s="77"/>
      <c r="D189" s="77"/>
      <c r="E189" s="64"/>
      <c r="F189" s="64"/>
      <c r="G189" s="64"/>
      <c r="H189" s="64"/>
      <c r="I189" s="64"/>
      <c r="J189" s="64"/>
      <c r="K189" s="64"/>
      <c r="L189" s="64"/>
      <c r="M189" s="64"/>
      <c r="N189" s="39">
        <v>5.1499999999999997E-2</v>
      </c>
      <c r="O189" s="25"/>
      <c r="P189" s="25"/>
      <c r="Q189" s="25"/>
      <c r="R189" s="5"/>
    </row>
    <row r="190" spans="1:18" ht="15.6" x14ac:dyDescent="0.3">
      <c r="A190" s="75"/>
      <c r="B190" s="76" t="s">
        <v>79</v>
      </c>
      <c r="C190" s="77"/>
      <c r="D190" s="77"/>
      <c r="E190" s="64"/>
      <c r="F190" s="64"/>
      <c r="G190" s="64"/>
      <c r="H190" s="64"/>
      <c r="I190" s="64"/>
      <c r="J190" s="64"/>
      <c r="K190" s="64"/>
      <c r="L190" s="64"/>
      <c r="M190" s="64"/>
      <c r="N190" s="78">
        <f>N188-N189</f>
        <v>6.5699999999999995E-3</v>
      </c>
      <c r="O190" s="25"/>
      <c r="P190" s="25"/>
      <c r="Q190" s="25"/>
      <c r="R190" s="5"/>
    </row>
    <row r="191" spans="1:18" ht="15.6" x14ac:dyDescent="0.3">
      <c r="A191" s="75"/>
      <c r="B191" s="76" t="s">
        <v>80</v>
      </c>
      <c r="C191" s="77"/>
      <c r="D191" s="77"/>
      <c r="E191" s="64"/>
      <c r="F191" s="64"/>
      <c r="G191" s="64"/>
      <c r="H191" s="64"/>
      <c r="I191" s="64"/>
      <c r="J191" s="64"/>
      <c r="K191" s="64"/>
      <c r="L191" s="64"/>
      <c r="M191" s="64"/>
      <c r="N191" s="78">
        <v>3.0110000000000001E-2</v>
      </c>
      <c r="O191" s="25"/>
      <c r="P191" s="25"/>
      <c r="Q191" s="25"/>
      <c r="R191" s="5"/>
    </row>
    <row r="192" spans="1:18" ht="15.6" x14ac:dyDescent="0.3">
      <c r="A192" s="75"/>
      <c r="B192" s="76" t="s">
        <v>241</v>
      </c>
      <c r="C192" s="77"/>
      <c r="D192" s="77"/>
      <c r="E192" s="64"/>
      <c r="F192" s="64"/>
      <c r="G192" s="64"/>
      <c r="H192" s="64"/>
      <c r="I192" s="64"/>
      <c r="J192" s="64"/>
      <c r="K192" s="64"/>
      <c r="L192" s="64"/>
      <c r="M192" s="64"/>
      <c r="N192" s="78">
        <f>+P45</f>
        <v>1.0169017435563336E-2</v>
      </c>
      <c r="O192" s="25"/>
      <c r="P192" s="25"/>
      <c r="Q192" s="25"/>
      <c r="R192" s="5"/>
    </row>
    <row r="193" spans="1:18" ht="15.6" x14ac:dyDescent="0.3">
      <c r="A193" s="75"/>
      <c r="B193" s="76" t="s">
        <v>81</v>
      </c>
      <c r="C193" s="77"/>
      <c r="D193" s="77"/>
      <c r="E193" s="64"/>
      <c r="F193" s="64"/>
      <c r="G193" s="64"/>
      <c r="H193" s="64"/>
      <c r="I193" s="64"/>
      <c r="J193" s="64"/>
      <c r="K193" s="64"/>
      <c r="L193" s="64"/>
      <c r="M193" s="64"/>
      <c r="N193" s="78">
        <f>N191-N192</f>
        <v>1.9940982564436667E-2</v>
      </c>
      <c r="O193" s="25"/>
      <c r="P193" s="25"/>
      <c r="Q193" s="25"/>
      <c r="R193" s="5"/>
    </row>
    <row r="194" spans="1:18" ht="15.6" x14ac:dyDescent="0.3">
      <c r="A194" s="75"/>
      <c r="B194" s="76" t="s">
        <v>257</v>
      </c>
      <c r="C194" s="77"/>
      <c r="D194" s="77"/>
      <c r="E194" s="64"/>
      <c r="F194" s="64"/>
      <c r="G194" s="64"/>
      <c r="H194" s="64"/>
      <c r="I194" s="64"/>
      <c r="J194" s="64"/>
      <c r="K194" s="64"/>
      <c r="L194" s="64"/>
      <c r="M194" s="64"/>
      <c r="N194" s="78">
        <f>+P103/H73</f>
        <v>7.3262699106797233E-3</v>
      </c>
      <c r="O194" s="25"/>
      <c r="P194" s="25"/>
      <c r="Q194" s="25"/>
      <c r="R194" s="5"/>
    </row>
    <row r="195" spans="1:18" ht="15.6" x14ac:dyDescent="0.3">
      <c r="A195" s="75"/>
      <c r="B195" s="76" t="s">
        <v>170</v>
      </c>
      <c r="C195" s="77"/>
      <c r="D195" s="77"/>
      <c r="E195" s="64"/>
      <c r="F195" s="64"/>
      <c r="G195" s="64"/>
      <c r="H195" s="64"/>
      <c r="I195" s="64"/>
      <c r="J195" s="64"/>
      <c r="K195" s="64"/>
      <c r="L195" s="64"/>
      <c r="M195" s="64"/>
      <c r="N195" s="133">
        <v>49065</v>
      </c>
      <c r="O195" s="25"/>
      <c r="P195" s="25"/>
      <c r="Q195" s="25"/>
      <c r="R195" s="5"/>
    </row>
    <row r="196" spans="1:18" ht="15.6" x14ac:dyDescent="0.3">
      <c r="A196" s="75"/>
      <c r="B196" s="76" t="s">
        <v>171</v>
      </c>
      <c r="C196" s="77"/>
      <c r="D196" s="77"/>
      <c r="E196" s="64"/>
      <c r="F196" s="64"/>
      <c r="G196" s="64"/>
      <c r="H196" s="64"/>
      <c r="I196" s="64"/>
      <c r="J196" s="64"/>
      <c r="K196" s="64"/>
      <c r="L196" s="64"/>
      <c r="M196" s="64"/>
      <c r="N196" s="133">
        <v>49065</v>
      </c>
      <c r="O196" s="25"/>
      <c r="P196" s="25"/>
      <c r="Q196" s="25"/>
      <c r="R196" s="5"/>
    </row>
    <row r="197" spans="1:18" ht="15.6" x14ac:dyDescent="0.3">
      <c r="A197" s="75"/>
      <c r="B197" s="76" t="s">
        <v>172</v>
      </c>
      <c r="C197" s="77"/>
      <c r="D197" s="77"/>
      <c r="E197" s="64"/>
      <c r="F197" s="64"/>
      <c r="G197" s="64"/>
      <c r="H197" s="64"/>
      <c r="I197" s="64"/>
      <c r="J197" s="64"/>
      <c r="K197" s="64"/>
      <c r="L197" s="64"/>
      <c r="M197" s="64"/>
      <c r="N197" s="133">
        <v>49065</v>
      </c>
      <c r="O197" s="25"/>
      <c r="P197" s="25"/>
      <c r="Q197" s="25"/>
      <c r="R197" s="5"/>
    </row>
    <row r="198" spans="1:18" ht="15.6" x14ac:dyDescent="0.3">
      <c r="A198" s="75"/>
      <c r="B198" s="76" t="s">
        <v>138</v>
      </c>
      <c r="C198" s="77"/>
      <c r="D198" s="77"/>
      <c r="E198" s="64"/>
      <c r="F198" s="64"/>
      <c r="G198" s="64"/>
      <c r="H198" s="64"/>
      <c r="I198" s="64"/>
      <c r="J198" s="64"/>
      <c r="K198" s="64"/>
      <c r="L198" s="64"/>
      <c r="M198" s="64"/>
      <c r="N198" s="133">
        <v>52352</v>
      </c>
      <c r="O198" s="25"/>
      <c r="P198" s="25"/>
      <c r="Q198" s="25"/>
      <c r="R198" s="5"/>
    </row>
    <row r="199" spans="1:18" ht="15.6" x14ac:dyDescent="0.3">
      <c r="A199" s="75"/>
      <c r="B199" s="76" t="s">
        <v>139</v>
      </c>
      <c r="C199" s="77"/>
      <c r="D199" s="77"/>
      <c r="E199" s="64"/>
      <c r="F199" s="64"/>
      <c r="G199" s="64"/>
      <c r="H199" s="64"/>
      <c r="I199" s="64"/>
      <c r="J199" s="64"/>
      <c r="K199" s="64"/>
      <c r="L199" s="64"/>
      <c r="M199" s="64"/>
      <c r="N199" s="133">
        <v>52352</v>
      </c>
      <c r="O199" s="25"/>
      <c r="P199" s="25"/>
      <c r="Q199" s="25"/>
      <c r="R199" s="5"/>
    </row>
    <row r="200" spans="1:18" ht="15.6" x14ac:dyDescent="0.3">
      <c r="A200" s="75"/>
      <c r="B200" s="76" t="s">
        <v>82</v>
      </c>
      <c r="C200" s="77"/>
      <c r="D200" s="77"/>
      <c r="E200" s="64"/>
      <c r="F200" s="64"/>
      <c r="G200" s="64"/>
      <c r="H200" s="64"/>
      <c r="I200" s="64"/>
      <c r="J200" s="64"/>
      <c r="K200" s="64"/>
      <c r="L200" s="64"/>
      <c r="M200" s="64"/>
      <c r="N200" s="137">
        <v>20.45</v>
      </c>
      <c r="O200" s="25" t="s">
        <v>125</v>
      </c>
      <c r="P200" s="25"/>
      <c r="Q200" s="25"/>
      <c r="R200" s="5"/>
    </row>
    <row r="201" spans="1:18" ht="15.6" x14ac:dyDescent="0.3">
      <c r="A201" s="75"/>
      <c r="B201" s="76" t="s">
        <v>83</v>
      </c>
      <c r="C201" s="77"/>
      <c r="D201" s="77"/>
      <c r="E201" s="64"/>
      <c r="F201" s="64"/>
      <c r="G201" s="64"/>
      <c r="H201" s="64"/>
      <c r="I201" s="64"/>
      <c r="J201" s="64"/>
      <c r="K201" s="64"/>
      <c r="L201" s="64"/>
      <c r="M201" s="64"/>
      <c r="N201" s="137">
        <v>16.329999999999998</v>
      </c>
      <c r="O201" s="25" t="s">
        <v>125</v>
      </c>
      <c r="P201" s="25"/>
      <c r="Q201" s="25"/>
      <c r="R201" s="5"/>
    </row>
    <row r="202" spans="1:18" ht="15.6" x14ac:dyDescent="0.3">
      <c r="A202" s="75"/>
      <c r="B202" s="76" t="s">
        <v>84</v>
      </c>
      <c r="C202" s="77"/>
      <c r="D202" s="77"/>
      <c r="E202" s="64"/>
      <c r="F202" s="64"/>
      <c r="G202" s="64"/>
      <c r="H202" s="64"/>
      <c r="I202" s="64"/>
      <c r="J202" s="64"/>
      <c r="K202" s="64"/>
      <c r="L202" s="64"/>
      <c r="M202" s="64"/>
      <c r="N202" s="78">
        <f>J70/H70</f>
        <v>9.5365763905814662E-3</v>
      </c>
      <c r="O202" s="25"/>
      <c r="P202" s="25"/>
      <c r="Q202" s="25"/>
      <c r="R202" s="5"/>
    </row>
    <row r="203" spans="1:18" ht="15.6" x14ac:dyDescent="0.3">
      <c r="A203" s="75"/>
      <c r="B203" s="76" t="s">
        <v>85</v>
      </c>
      <c r="C203" s="77"/>
      <c r="D203" s="77"/>
      <c r="E203" s="64"/>
      <c r="F203" s="64"/>
      <c r="G203" s="64"/>
      <c r="H203" s="64"/>
      <c r="I203" s="64"/>
      <c r="J203" s="64"/>
      <c r="K203" s="64"/>
      <c r="L203" s="64"/>
      <c r="M203" s="64"/>
      <c r="N203" s="78">
        <v>0.15140000000000001</v>
      </c>
      <c r="O203" s="25"/>
      <c r="P203" s="25"/>
      <c r="Q203" s="25"/>
      <c r="R203" s="5"/>
    </row>
    <row r="204" spans="1:18" ht="15.6" x14ac:dyDescent="0.3">
      <c r="A204" s="75"/>
      <c r="B204" s="76"/>
      <c r="C204" s="76"/>
      <c r="D204" s="76"/>
      <c r="E204" s="25"/>
      <c r="F204" s="25"/>
      <c r="G204" s="25"/>
      <c r="H204" s="25"/>
      <c r="I204" s="25"/>
      <c r="J204" s="25"/>
      <c r="K204" s="25"/>
      <c r="L204" s="25"/>
      <c r="M204" s="25"/>
      <c r="N204" s="61"/>
      <c r="O204" s="25"/>
      <c r="P204" s="79"/>
      <c r="Q204" s="25"/>
      <c r="R204" s="5"/>
    </row>
    <row r="205" spans="1:18" ht="15.6" x14ac:dyDescent="0.3">
      <c r="A205" s="80"/>
      <c r="B205" s="14" t="s">
        <v>86</v>
      </c>
      <c r="C205" s="81"/>
      <c r="D205" s="82"/>
      <c r="E205" s="81"/>
      <c r="F205" s="17"/>
      <c r="G205" s="17"/>
      <c r="H205" s="17"/>
      <c r="I205" s="17"/>
      <c r="J205" s="17"/>
      <c r="K205" s="17"/>
      <c r="L205" s="17"/>
      <c r="M205" s="17" t="s">
        <v>113</v>
      </c>
      <c r="N205" s="83" t="s">
        <v>121</v>
      </c>
      <c r="O205" s="8"/>
      <c r="P205" s="8"/>
      <c r="Q205" s="8"/>
      <c r="R205" s="5"/>
    </row>
    <row r="206" spans="1:18" ht="15.6" x14ac:dyDescent="0.3">
      <c r="A206" s="84"/>
      <c r="B206" s="76" t="s">
        <v>87</v>
      </c>
      <c r="C206" s="54"/>
      <c r="D206" s="25"/>
      <c r="E206" s="25"/>
      <c r="F206" s="30"/>
      <c r="G206" s="30"/>
      <c r="H206" s="30"/>
      <c r="I206" s="30"/>
      <c r="J206" s="30"/>
      <c r="K206" s="30"/>
      <c r="L206" s="30"/>
      <c r="M206" s="30">
        <v>0</v>
      </c>
      <c r="N206" s="177">
        <v>0</v>
      </c>
      <c r="O206" s="25"/>
      <c r="P206" s="79"/>
      <c r="Q206" s="86"/>
      <c r="R206" s="5"/>
    </row>
    <row r="207" spans="1:18" ht="15.6" x14ac:dyDescent="0.3">
      <c r="A207" s="84"/>
      <c r="B207" s="76" t="s">
        <v>203</v>
      </c>
      <c r="C207" s="54"/>
      <c r="D207" s="25"/>
      <c r="E207" s="25"/>
      <c r="F207" s="30"/>
      <c r="G207" s="30"/>
      <c r="H207" s="30"/>
      <c r="I207" s="30"/>
      <c r="J207" s="30"/>
      <c r="K207" s="30"/>
      <c r="L207" s="30"/>
      <c r="M207" s="151">
        <f>+L244</f>
        <v>97</v>
      </c>
      <c r="N207" s="85">
        <f>+N244</f>
        <v>15175</v>
      </c>
      <c r="O207" s="25"/>
      <c r="P207" s="79"/>
      <c r="Q207" s="86"/>
      <c r="R207" s="5"/>
    </row>
    <row r="208" spans="1:18" ht="15.6" x14ac:dyDescent="0.3">
      <c r="A208" s="84"/>
      <c r="B208" s="76" t="s">
        <v>88</v>
      </c>
      <c r="C208" s="54"/>
      <c r="D208" s="25"/>
      <c r="E208" s="25"/>
      <c r="F208" s="30"/>
      <c r="G208" s="30"/>
      <c r="H208" s="30"/>
      <c r="I208" s="30"/>
      <c r="J208" s="30"/>
      <c r="K208" s="30"/>
      <c r="L208" s="30"/>
      <c r="M208" s="151">
        <f>+L255</f>
        <v>0</v>
      </c>
      <c r="N208" s="85">
        <f>+N255</f>
        <v>0</v>
      </c>
      <c r="O208" s="25"/>
      <c r="P208" s="79"/>
      <c r="Q208" s="86"/>
      <c r="R208" s="5"/>
    </row>
    <row r="209" spans="1:18" ht="15.6" x14ac:dyDescent="0.3">
      <c r="A209" s="84"/>
      <c r="B209" s="122" t="s">
        <v>89</v>
      </c>
      <c r="C209" s="54"/>
      <c r="D209" s="25"/>
      <c r="E209" s="25"/>
      <c r="F209" s="25"/>
      <c r="G209" s="25"/>
      <c r="H209" s="25"/>
      <c r="I209" s="25"/>
      <c r="J209" s="25"/>
      <c r="K209" s="25"/>
      <c r="L209" s="25"/>
      <c r="M209" s="25"/>
      <c r="N209" s="85">
        <v>0</v>
      </c>
      <c r="O209" s="25"/>
      <c r="P209" s="79"/>
      <c r="Q209" s="86"/>
      <c r="R209" s="5"/>
    </row>
    <row r="210" spans="1:18" ht="15.6" x14ac:dyDescent="0.3">
      <c r="A210" s="84"/>
      <c r="B210" s="122" t="s">
        <v>90</v>
      </c>
      <c r="C210" s="54"/>
      <c r="D210" s="25"/>
      <c r="E210" s="25"/>
      <c r="F210" s="25"/>
      <c r="G210" s="25"/>
      <c r="H210" s="25"/>
      <c r="I210" s="25"/>
      <c r="J210" s="25"/>
      <c r="K210" s="25"/>
      <c r="L210" s="25"/>
      <c r="M210" s="25"/>
      <c r="N210" s="62" t="s">
        <v>122</v>
      </c>
      <c r="O210" s="25"/>
      <c r="P210" s="79"/>
      <c r="Q210" s="86"/>
      <c r="R210" s="5"/>
    </row>
    <row r="211" spans="1:18" ht="15.6" x14ac:dyDescent="0.3">
      <c r="A211" s="87"/>
      <c r="B211" s="122" t="s">
        <v>91</v>
      </c>
      <c r="C211" s="76"/>
      <c r="D211" s="76"/>
      <c r="E211" s="25"/>
      <c r="F211" s="25"/>
      <c r="G211" s="25"/>
      <c r="H211" s="25"/>
      <c r="I211" s="25"/>
      <c r="J211" s="167"/>
      <c r="K211" s="25"/>
      <c r="L211" s="25"/>
      <c r="M211" s="25"/>
      <c r="N211" s="85"/>
      <c r="O211" s="25"/>
      <c r="P211" s="79"/>
      <c r="Q211" s="88"/>
      <c r="R211" s="5"/>
    </row>
    <row r="212" spans="1:18" ht="15.6" x14ac:dyDescent="0.3">
      <c r="A212" s="87"/>
      <c r="B212" s="135" t="s">
        <v>92</v>
      </c>
      <c r="C212" s="76"/>
      <c r="D212" s="76"/>
      <c r="E212" s="25"/>
      <c r="F212" s="25"/>
      <c r="G212" s="25"/>
      <c r="H212" s="25"/>
      <c r="I212" s="25"/>
      <c r="J212" s="25"/>
      <c r="K212" s="25"/>
      <c r="L212" s="25"/>
      <c r="M212" s="25"/>
      <c r="N212" s="85">
        <f>P155</f>
        <v>224</v>
      </c>
      <c r="O212" s="25"/>
      <c r="P212" s="79"/>
      <c r="Q212" s="88"/>
      <c r="R212" s="5"/>
    </row>
    <row r="213" spans="1:18" ht="15.6" x14ac:dyDescent="0.3">
      <c r="A213" s="84"/>
      <c r="B213" s="76" t="s">
        <v>93</v>
      </c>
      <c r="C213" s="54"/>
      <c r="D213" s="54"/>
      <c r="E213" s="25"/>
      <c r="F213" s="25"/>
      <c r="G213" s="25"/>
      <c r="H213" s="25"/>
      <c r="I213" s="25"/>
      <c r="J213" s="25"/>
      <c r="K213" s="25"/>
      <c r="L213" s="25"/>
      <c r="M213" s="25"/>
      <c r="N213" s="85">
        <f>'Oct 09'!N213+'Jan 10'!N212</f>
        <v>2402</v>
      </c>
      <c r="O213" s="25"/>
      <c r="P213" s="79"/>
      <c r="Q213" s="88"/>
      <c r="R213" s="5"/>
    </row>
    <row r="214" spans="1:18" ht="15.6" x14ac:dyDescent="0.3">
      <c r="A214" s="87"/>
      <c r="B214" s="122" t="s">
        <v>278</v>
      </c>
      <c r="C214" s="76"/>
      <c r="D214" s="76"/>
      <c r="E214" s="25"/>
      <c r="F214" s="25"/>
      <c r="G214" s="25"/>
      <c r="H214" s="25"/>
      <c r="I214" s="25"/>
      <c r="J214" s="25"/>
      <c r="K214" s="25"/>
      <c r="L214" s="25"/>
      <c r="M214" s="25"/>
      <c r="N214" s="85"/>
      <c r="O214" s="25"/>
      <c r="P214" s="79"/>
      <c r="Q214" s="88"/>
      <c r="R214" s="5"/>
    </row>
    <row r="215" spans="1:18" ht="15.6" x14ac:dyDescent="0.3">
      <c r="A215" s="87"/>
      <c r="B215" s="76" t="s">
        <v>276</v>
      </c>
      <c r="C215" s="76"/>
      <c r="D215" s="76"/>
      <c r="E215" s="25"/>
      <c r="F215" s="25"/>
      <c r="G215" s="25"/>
      <c r="H215" s="25"/>
      <c r="I215" s="25"/>
      <c r="J215" s="25"/>
      <c r="K215" s="25"/>
      <c r="L215" s="25"/>
      <c r="M215" s="30">
        <v>0</v>
      </c>
      <c r="N215" s="177">
        <v>0</v>
      </c>
      <c r="O215" s="25"/>
      <c r="P215" s="79"/>
      <c r="Q215" s="88"/>
      <c r="R215" s="5"/>
    </row>
    <row r="216" spans="1:18" ht="15.6" x14ac:dyDescent="0.3">
      <c r="A216" s="84"/>
      <c r="B216" s="76" t="s">
        <v>95</v>
      </c>
      <c r="C216" s="89"/>
      <c r="D216" s="90"/>
      <c r="E216" s="25"/>
      <c r="F216" s="25"/>
      <c r="G216" s="25"/>
      <c r="H216" s="25"/>
      <c r="I216" s="25"/>
      <c r="J216" s="25"/>
      <c r="K216" s="25"/>
      <c r="L216" s="25"/>
      <c r="M216" s="25"/>
      <c r="N216" s="178">
        <v>0</v>
      </c>
      <c r="O216" s="25"/>
      <c r="P216" s="79"/>
      <c r="Q216" s="88"/>
      <c r="R216" s="5"/>
    </row>
    <row r="217" spans="1:18" ht="15.6" x14ac:dyDescent="0.3">
      <c r="A217" s="84"/>
      <c r="B217" s="76" t="s">
        <v>96</v>
      </c>
      <c r="C217" s="89"/>
      <c r="D217" s="90"/>
      <c r="E217" s="25"/>
      <c r="F217" s="25"/>
      <c r="G217" s="25"/>
      <c r="H217" s="25"/>
      <c r="I217" s="25"/>
      <c r="J217" s="25"/>
      <c r="K217" s="25"/>
      <c r="L217" s="25"/>
      <c r="M217" s="25"/>
      <c r="N217" s="178">
        <v>0</v>
      </c>
      <c r="O217" s="25"/>
      <c r="P217" s="79"/>
      <c r="Q217" s="88"/>
      <c r="R217" s="5"/>
    </row>
    <row r="218" spans="1:18" ht="15.6" x14ac:dyDescent="0.3">
      <c r="A218" s="84"/>
      <c r="B218" s="122" t="s">
        <v>251</v>
      </c>
      <c r="C218" s="89"/>
      <c r="D218" s="90"/>
      <c r="E218" s="25"/>
      <c r="F218" s="25"/>
      <c r="G218" s="25"/>
      <c r="H218" s="25"/>
      <c r="I218" s="25"/>
      <c r="J218" s="25"/>
      <c r="K218" s="25"/>
      <c r="L218" s="25"/>
      <c r="M218" s="25"/>
      <c r="N218" s="179"/>
      <c r="O218" s="25"/>
      <c r="P218" s="79"/>
      <c r="Q218" s="88"/>
      <c r="R218" s="5"/>
    </row>
    <row r="219" spans="1:18" ht="15.6" x14ac:dyDescent="0.3">
      <c r="A219" s="84"/>
      <c r="B219" s="76" t="s">
        <v>276</v>
      </c>
      <c r="C219" s="89"/>
      <c r="D219" s="90"/>
      <c r="E219" s="25"/>
      <c r="F219" s="25"/>
      <c r="G219" s="25"/>
      <c r="H219" s="25"/>
      <c r="I219" s="25"/>
      <c r="J219" s="25"/>
      <c r="K219" s="25"/>
      <c r="L219" s="25"/>
      <c r="M219" s="30">
        <v>7</v>
      </c>
      <c r="N219" s="177">
        <v>738</v>
      </c>
      <c r="O219" s="25"/>
      <c r="P219" s="79"/>
      <c r="Q219" s="88"/>
      <c r="R219" s="5"/>
    </row>
    <row r="220" spans="1:18" ht="15.6" x14ac:dyDescent="0.3">
      <c r="A220" s="84"/>
      <c r="B220" s="76" t="s">
        <v>252</v>
      </c>
      <c r="C220" s="89"/>
      <c r="D220" s="90"/>
      <c r="E220" s="25"/>
      <c r="F220" s="25"/>
      <c r="G220" s="25"/>
      <c r="H220" s="25"/>
      <c r="I220" s="25"/>
      <c r="J220" s="25"/>
      <c r="K220" s="25"/>
      <c r="L220" s="25"/>
      <c r="M220" s="25"/>
      <c r="N220" s="178">
        <v>22.72</v>
      </c>
      <c r="O220" s="25"/>
      <c r="P220" s="79"/>
      <c r="Q220" s="88"/>
      <c r="R220" s="5"/>
    </row>
    <row r="221" spans="1:18" ht="15.6" x14ac:dyDescent="0.3">
      <c r="A221" s="84"/>
      <c r="B221" s="76"/>
      <c r="C221" s="89"/>
      <c r="D221" s="90"/>
      <c r="E221" s="25"/>
      <c r="F221" s="25"/>
      <c r="G221" s="25"/>
      <c r="H221" s="25"/>
      <c r="I221" s="25"/>
      <c r="J221" s="25"/>
      <c r="K221" s="25"/>
      <c r="L221" s="25"/>
      <c r="M221" s="25"/>
      <c r="N221" s="91"/>
      <c r="O221" s="25"/>
      <c r="P221" s="79"/>
      <c r="Q221" s="88"/>
      <c r="R221" s="5"/>
    </row>
    <row r="222" spans="1:18" ht="17.399999999999999" x14ac:dyDescent="0.3">
      <c r="A222" s="84"/>
      <c r="B222" s="160" t="s">
        <v>244</v>
      </c>
      <c r="C222" s="161"/>
      <c r="D222" s="162"/>
      <c r="E222" s="163"/>
      <c r="F222" s="163"/>
      <c r="G222" s="163"/>
      <c r="H222" s="163"/>
      <c r="I222" s="166"/>
      <c r="J222" s="169" t="s">
        <v>243</v>
      </c>
      <c r="K222" s="163"/>
      <c r="L222" s="163"/>
      <c r="M222" s="25"/>
      <c r="N222" s="91"/>
      <c r="O222" s="25"/>
      <c r="P222" s="79"/>
      <c r="Q222" s="88"/>
      <c r="R222" s="5"/>
    </row>
    <row r="223" spans="1:18" ht="15.6" x14ac:dyDescent="0.3">
      <c r="A223" s="84"/>
      <c r="B223" s="156"/>
      <c r="C223" s="157"/>
      <c r="D223" s="158"/>
      <c r="E223" s="146"/>
      <c r="F223" s="146"/>
      <c r="G223" s="146"/>
      <c r="H223" s="146"/>
      <c r="I223" s="146"/>
      <c r="J223" s="146"/>
      <c r="K223" s="146"/>
      <c r="L223" s="146"/>
      <c r="M223" s="25"/>
      <c r="N223" s="91"/>
      <c r="O223" s="25"/>
      <c r="P223" s="79"/>
      <c r="Q223" s="88"/>
      <c r="R223" s="5"/>
    </row>
    <row r="224" spans="1:18" ht="15.6" x14ac:dyDescent="0.3">
      <c r="A224" s="6"/>
      <c r="B224" s="14" t="s">
        <v>236</v>
      </c>
      <c r="C224" s="81"/>
      <c r="D224" s="82"/>
      <c r="E224" s="81"/>
      <c r="F224" s="17"/>
      <c r="G224" s="17"/>
      <c r="H224" s="17"/>
      <c r="I224" s="17"/>
      <c r="J224" s="17"/>
      <c r="K224" s="17"/>
      <c r="L224" s="83" t="s">
        <v>113</v>
      </c>
      <c r="M224" s="17" t="s">
        <v>114</v>
      </c>
      <c r="N224" s="83" t="s">
        <v>123</v>
      </c>
      <c r="O224" s="17" t="s">
        <v>114</v>
      </c>
      <c r="P224" s="8"/>
      <c r="Q224" s="92"/>
      <c r="R224" s="5"/>
    </row>
    <row r="225" spans="1:18" ht="15.6" x14ac:dyDescent="0.3">
      <c r="A225" s="24"/>
      <c r="B225" s="54" t="s">
        <v>98</v>
      </c>
      <c r="C225" s="93"/>
      <c r="D225" s="25"/>
      <c r="E225" s="93"/>
      <c r="F225" s="93"/>
      <c r="G225" s="93"/>
      <c r="H225" s="93"/>
      <c r="I225" s="93"/>
      <c r="J225" s="93"/>
      <c r="K225" s="93"/>
      <c r="L225" s="54">
        <v>3548</v>
      </c>
      <c r="M225" s="94">
        <f t="shared" ref="M225:M232" si="1">L225/$L$233</f>
        <v>0.97821891370278469</v>
      </c>
      <c r="N225" s="53">
        <v>391367</v>
      </c>
      <c r="O225" s="136">
        <f t="shared" ref="O225:O232" si="2">N225/$N$233</f>
        <v>0.97948023605612089</v>
      </c>
      <c r="P225" s="79"/>
      <c r="Q225" s="88"/>
      <c r="R225" s="5"/>
    </row>
    <row r="226" spans="1:18" ht="15.6" x14ac:dyDescent="0.3">
      <c r="A226" s="24"/>
      <c r="B226" s="54" t="s">
        <v>99</v>
      </c>
      <c r="C226" s="93"/>
      <c r="D226" s="25"/>
      <c r="E226" s="94"/>
      <c r="F226" s="93"/>
      <c r="G226" s="93"/>
      <c r="H226" s="93"/>
      <c r="I226" s="93"/>
      <c r="J226" s="93"/>
      <c r="K226" s="93"/>
      <c r="L226" s="54">
        <v>57</v>
      </c>
      <c r="M226" s="94">
        <f t="shared" si="1"/>
        <v>1.5715467328370553E-2</v>
      </c>
      <c r="N226" s="53">
        <v>6162</v>
      </c>
      <c r="O226" s="136">
        <f t="shared" si="2"/>
        <v>1.5421732579849136E-2</v>
      </c>
      <c r="P226" s="79"/>
      <c r="Q226" s="88"/>
      <c r="R226" s="5"/>
    </row>
    <row r="227" spans="1:18" ht="15.6" x14ac:dyDescent="0.3">
      <c r="A227" s="24"/>
      <c r="B227" s="54" t="s">
        <v>100</v>
      </c>
      <c r="C227" s="93"/>
      <c r="D227" s="25"/>
      <c r="E227" s="94"/>
      <c r="F227" s="93"/>
      <c r="G227" s="93"/>
      <c r="H227" s="93"/>
      <c r="I227" s="93"/>
      <c r="J227" s="93"/>
      <c r="K227" s="93"/>
      <c r="L227" s="54">
        <v>8</v>
      </c>
      <c r="M227" s="94">
        <f t="shared" si="1"/>
        <v>2.2056796250344637E-3</v>
      </c>
      <c r="N227" s="53">
        <v>1341</v>
      </c>
      <c r="O227" s="136">
        <f t="shared" si="2"/>
        <v>3.3561414134335756E-3</v>
      </c>
      <c r="P227" s="79"/>
      <c r="Q227" s="88"/>
      <c r="R227" s="5"/>
    </row>
    <row r="228" spans="1:18" ht="15.6" x14ac:dyDescent="0.3">
      <c r="A228" s="24"/>
      <c r="B228" s="54" t="s">
        <v>227</v>
      </c>
      <c r="C228" s="93"/>
      <c r="D228" s="25"/>
      <c r="E228" s="94"/>
      <c r="F228" s="93"/>
      <c r="G228" s="93"/>
      <c r="H228" s="93"/>
      <c r="I228" s="93"/>
      <c r="J228" s="93"/>
      <c r="K228" s="93"/>
      <c r="L228" s="54">
        <v>4</v>
      </c>
      <c r="M228" s="94">
        <f t="shared" si="1"/>
        <v>1.1028398125172319E-3</v>
      </c>
      <c r="N228" s="53">
        <v>117</v>
      </c>
      <c r="O228" s="136">
        <f t="shared" si="2"/>
        <v>2.9281770721232539E-4</v>
      </c>
      <c r="P228" s="79"/>
      <c r="Q228" s="88"/>
      <c r="R228" s="5"/>
    </row>
    <row r="229" spans="1:18" ht="15.6" x14ac:dyDescent="0.3">
      <c r="A229" s="24"/>
      <c r="B229" s="54" t="s">
        <v>228</v>
      </c>
      <c r="C229" s="93"/>
      <c r="D229" s="25"/>
      <c r="E229" s="94"/>
      <c r="F229" s="93"/>
      <c r="G229" s="93"/>
      <c r="H229" s="93"/>
      <c r="I229" s="93"/>
      <c r="J229" s="93"/>
      <c r="K229" s="93"/>
      <c r="L229" s="54">
        <v>1</v>
      </c>
      <c r="M229" s="94">
        <f t="shared" si="1"/>
        <v>2.7570995312930797E-4</v>
      </c>
      <c r="N229" s="53">
        <v>35</v>
      </c>
      <c r="O229" s="136">
        <f t="shared" si="2"/>
        <v>8.7595040619071695E-5</v>
      </c>
      <c r="P229" s="79"/>
      <c r="Q229" s="88"/>
      <c r="R229" s="5"/>
    </row>
    <row r="230" spans="1:18" ht="15.6" x14ac:dyDescent="0.3">
      <c r="A230" s="24"/>
      <c r="B230" s="54" t="s">
        <v>229</v>
      </c>
      <c r="C230" s="93"/>
      <c r="D230" s="25"/>
      <c r="E230" s="94"/>
      <c r="F230" s="93"/>
      <c r="G230" s="93"/>
      <c r="H230" s="93"/>
      <c r="I230" s="93"/>
      <c r="J230" s="93"/>
      <c r="K230" s="93"/>
      <c r="L230" s="54">
        <v>2</v>
      </c>
      <c r="M230" s="94">
        <f t="shared" si="1"/>
        <v>5.5141990625861594E-4</v>
      </c>
      <c r="N230" s="53">
        <v>88</v>
      </c>
      <c r="O230" s="136">
        <f t="shared" si="2"/>
        <v>2.2023895927080882E-4</v>
      </c>
      <c r="P230" s="79"/>
      <c r="Q230" s="88"/>
      <c r="R230" s="5"/>
    </row>
    <row r="231" spans="1:18" ht="15.6" x14ac:dyDescent="0.3">
      <c r="A231" s="24"/>
      <c r="B231" s="54" t="s">
        <v>230</v>
      </c>
      <c r="C231" s="93"/>
      <c r="D231" s="25"/>
      <c r="E231" s="94"/>
      <c r="F231" s="93"/>
      <c r="G231" s="93"/>
      <c r="H231" s="93"/>
      <c r="I231" s="93"/>
      <c r="J231" s="93"/>
      <c r="K231" s="93"/>
      <c r="L231" s="54">
        <v>6</v>
      </c>
      <c r="M231" s="94">
        <f t="shared" si="1"/>
        <v>1.6542597187758478E-3</v>
      </c>
      <c r="N231" s="53">
        <v>378</v>
      </c>
      <c r="O231" s="136">
        <f t="shared" si="2"/>
        <v>9.4602643868597425E-4</v>
      </c>
      <c r="P231" s="79"/>
      <c r="Q231" s="88"/>
      <c r="R231" s="5"/>
    </row>
    <row r="232" spans="1:18" ht="15.6" x14ac:dyDescent="0.3">
      <c r="A232" s="24"/>
      <c r="B232" s="54" t="s">
        <v>231</v>
      </c>
      <c r="C232" s="93"/>
      <c r="D232" s="25"/>
      <c r="E232" s="94"/>
      <c r="F232" s="93"/>
      <c r="G232" s="93"/>
      <c r="H232" s="93"/>
      <c r="I232" s="93"/>
      <c r="J232" s="93"/>
      <c r="K232" s="93"/>
      <c r="L232" s="54">
        <v>1</v>
      </c>
      <c r="M232" s="94">
        <f t="shared" si="1"/>
        <v>2.7570995312930797E-4</v>
      </c>
      <c r="N232" s="53">
        <v>78</v>
      </c>
      <c r="O232" s="136">
        <f t="shared" si="2"/>
        <v>1.9521180480821691E-4</v>
      </c>
      <c r="P232" s="79"/>
      <c r="Q232" s="88"/>
      <c r="R232" s="5"/>
    </row>
    <row r="233" spans="1:18" ht="15.6" x14ac:dyDescent="0.3">
      <c r="A233" s="24"/>
      <c r="B233" s="25" t="s">
        <v>129</v>
      </c>
      <c r="C233" s="25"/>
      <c r="D233" s="25"/>
      <c r="E233" s="25"/>
      <c r="F233" s="95"/>
      <c r="G233" s="95"/>
      <c r="H233" s="95"/>
      <c r="I233" s="95"/>
      <c r="J233" s="95"/>
      <c r="K233" s="95"/>
      <c r="L233" s="34">
        <f>SUM(L225:L232)</f>
        <v>3627</v>
      </c>
      <c r="M233" s="136">
        <f>SUM(M225:M232)</f>
        <v>1</v>
      </c>
      <c r="N233" s="53">
        <f>SUM(N225:N232)</f>
        <v>399566</v>
      </c>
      <c r="O233" s="136">
        <f>SUM(O225:O232)</f>
        <v>1</v>
      </c>
      <c r="P233" s="25"/>
      <c r="Q233" s="25"/>
      <c r="R233" s="5"/>
    </row>
    <row r="234" spans="1:18" ht="15.6" x14ac:dyDescent="0.3">
      <c r="A234" s="24"/>
      <c r="B234" s="25"/>
      <c r="C234" s="25"/>
      <c r="D234" s="25"/>
      <c r="E234" s="25"/>
      <c r="F234" s="95"/>
      <c r="G234" s="95"/>
      <c r="H234" s="95"/>
      <c r="I234" s="95"/>
      <c r="J234" s="95"/>
      <c r="K234" s="95"/>
      <c r="L234" s="34"/>
      <c r="M234" s="136"/>
      <c r="N234" s="53"/>
      <c r="O234" s="136"/>
      <c r="P234" s="25"/>
      <c r="Q234" s="25"/>
      <c r="R234" s="5"/>
    </row>
    <row r="235" spans="1:18" ht="15.6" x14ac:dyDescent="0.3">
      <c r="A235" s="148"/>
      <c r="B235" s="14" t="s">
        <v>238</v>
      </c>
      <c r="C235" s="81"/>
      <c r="D235" s="82"/>
      <c r="E235" s="81"/>
      <c r="F235" s="17"/>
      <c r="G235" s="17"/>
      <c r="H235" s="17"/>
      <c r="I235" s="17"/>
      <c r="J235" s="17"/>
      <c r="K235" s="17"/>
      <c r="L235" s="83" t="s">
        <v>113</v>
      </c>
      <c r="M235" s="17" t="s">
        <v>114</v>
      </c>
      <c r="N235" s="83" t="s">
        <v>123</v>
      </c>
      <c r="O235" s="17" t="s">
        <v>114</v>
      </c>
      <c r="P235" s="8"/>
      <c r="Q235" s="149"/>
      <c r="R235" s="5"/>
    </row>
    <row r="236" spans="1:18" ht="15.6" x14ac:dyDescent="0.3">
      <c r="A236" s="24"/>
      <c r="B236" s="54" t="s">
        <v>98</v>
      </c>
      <c r="C236" s="93"/>
      <c r="D236" s="25"/>
      <c r="E236" s="93"/>
      <c r="F236" s="93"/>
      <c r="G236" s="93"/>
      <c r="H236" s="93"/>
      <c r="I236" s="93"/>
      <c r="J236" s="93"/>
      <c r="K236" s="93"/>
      <c r="L236" s="54">
        <v>48</v>
      </c>
      <c r="M236" s="94">
        <f t="shared" ref="M236:M243" si="3">L236/$L$244</f>
        <v>0.49484536082474229</v>
      </c>
      <c r="N236" s="53">
        <v>7024</v>
      </c>
      <c r="O236" s="136">
        <f t="shared" ref="O236:O243" si="4">N236/$N$244</f>
        <v>0.46286655683690281</v>
      </c>
      <c r="P236" s="79"/>
      <c r="Q236" s="25"/>
      <c r="R236" s="5"/>
    </row>
    <row r="237" spans="1:18" ht="15.6" x14ac:dyDescent="0.3">
      <c r="A237" s="24"/>
      <c r="B237" s="54" t="s">
        <v>99</v>
      </c>
      <c r="C237" s="93"/>
      <c r="D237" s="25"/>
      <c r="E237" s="94"/>
      <c r="F237" s="93"/>
      <c r="G237" s="93"/>
      <c r="H237" s="93"/>
      <c r="I237" s="93"/>
      <c r="J237" s="93"/>
      <c r="K237" s="93"/>
      <c r="L237" s="54">
        <v>4</v>
      </c>
      <c r="M237" s="94">
        <f t="shared" si="3"/>
        <v>4.1237113402061855E-2</v>
      </c>
      <c r="N237" s="53">
        <v>370</v>
      </c>
      <c r="O237" s="136">
        <f t="shared" si="4"/>
        <v>2.4382207578253708E-2</v>
      </c>
      <c r="P237" s="79"/>
      <c r="Q237" s="25"/>
      <c r="R237" s="5"/>
    </row>
    <row r="238" spans="1:18" ht="15.6" x14ac:dyDescent="0.3">
      <c r="A238" s="24"/>
      <c r="B238" s="54" t="s">
        <v>100</v>
      </c>
      <c r="C238" s="93"/>
      <c r="D238" s="25"/>
      <c r="E238" s="94"/>
      <c r="F238" s="93"/>
      <c r="G238" s="93"/>
      <c r="H238" s="93"/>
      <c r="I238" s="93"/>
      <c r="J238" s="93"/>
      <c r="K238" s="93"/>
      <c r="L238" s="54">
        <v>8</v>
      </c>
      <c r="M238" s="94">
        <f t="shared" si="3"/>
        <v>8.247422680412371E-2</v>
      </c>
      <c r="N238" s="53">
        <v>1642</v>
      </c>
      <c r="O238" s="136">
        <f t="shared" si="4"/>
        <v>0.10820428336079077</v>
      </c>
      <c r="P238" s="79"/>
      <c r="Q238" s="25"/>
      <c r="R238" s="5"/>
    </row>
    <row r="239" spans="1:18" ht="15.6" x14ac:dyDescent="0.3">
      <c r="A239" s="24"/>
      <c r="B239" s="54" t="s">
        <v>227</v>
      </c>
      <c r="C239" s="93"/>
      <c r="D239" s="25"/>
      <c r="E239" s="94"/>
      <c r="F239" s="93"/>
      <c r="G239" s="93"/>
      <c r="H239" s="93"/>
      <c r="I239" s="93"/>
      <c r="J239" s="93"/>
      <c r="K239" s="93"/>
      <c r="L239" s="54">
        <v>3</v>
      </c>
      <c r="M239" s="94">
        <f t="shared" si="3"/>
        <v>3.0927835051546393E-2</v>
      </c>
      <c r="N239" s="53">
        <v>404</v>
      </c>
      <c r="O239" s="136">
        <f t="shared" si="4"/>
        <v>2.6622734761120263E-2</v>
      </c>
      <c r="P239" s="79"/>
      <c r="Q239" s="25"/>
      <c r="R239" s="5"/>
    </row>
    <row r="240" spans="1:18" ht="15.6" x14ac:dyDescent="0.3">
      <c r="A240" s="24"/>
      <c r="B240" s="54" t="s">
        <v>228</v>
      </c>
      <c r="C240" s="93"/>
      <c r="D240" s="25"/>
      <c r="E240" s="94"/>
      <c r="F240" s="93"/>
      <c r="G240" s="93"/>
      <c r="H240" s="93"/>
      <c r="I240" s="93"/>
      <c r="J240" s="93"/>
      <c r="K240" s="93"/>
      <c r="L240" s="54">
        <v>4</v>
      </c>
      <c r="M240" s="94">
        <f t="shared" si="3"/>
        <v>4.1237113402061855E-2</v>
      </c>
      <c r="N240" s="53">
        <v>340</v>
      </c>
      <c r="O240" s="136">
        <f t="shared" si="4"/>
        <v>2.2405271828665568E-2</v>
      </c>
      <c r="P240" s="79"/>
      <c r="Q240" s="25"/>
      <c r="R240" s="5"/>
    </row>
    <row r="241" spans="1:18" ht="15.6" x14ac:dyDescent="0.3">
      <c r="A241" s="24"/>
      <c r="B241" s="54" t="s">
        <v>229</v>
      </c>
      <c r="C241" s="93"/>
      <c r="D241" s="25"/>
      <c r="E241" s="94"/>
      <c r="F241" s="93"/>
      <c r="G241" s="93"/>
      <c r="H241" s="93"/>
      <c r="I241" s="93"/>
      <c r="J241" s="93"/>
      <c r="K241" s="93"/>
      <c r="L241" s="54">
        <v>7</v>
      </c>
      <c r="M241" s="94">
        <f t="shared" si="3"/>
        <v>7.2164948453608241E-2</v>
      </c>
      <c r="N241" s="53">
        <v>709</v>
      </c>
      <c r="O241" s="136">
        <f t="shared" si="4"/>
        <v>4.6721581548599671E-2</v>
      </c>
      <c r="P241" s="79"/>
      <c r="Q241" s="25"/>
      <c r="R241" s="5"/>
    </row>
    <row r="242" spans="1:18" ht="15.6" x14ac:dyDescent="0.3">
      <c r="A242" s="24"/>
      <c r="B242" s="54" t="s">
        <v>230</v>
      </c>
      <c r="C242" s="93"/>
      <c r="D242" s="25"/>
      <c r="E242" s="94"/>
      <c r="F242" s="93"/>
      <c r="G242" s="93"/>
      <c r="H242" s="93"/>
      <c r="I242" s="93"/>
      <c r="J242" s="93"/>
      <c r="K242" s="93"/>
      <c r="L242" s="54">
        <v>13</v>
      </c>
      <c r="M242" s="94">
        <f t="shared" si="3"/>
        <v>0.13402061855670103</v>
      </c>
      <c r="N242" s="53">
        <v>2780</v>
      </c>
      <c r="O242" s="136">
        <f t="shared" si="4"/>
        <v>0.18319604612850082</v>
      </c>
      <c r="P242" s="79"/>
      <c r="Q242" s="25"/>
      <c r="R242" s="5"/>
    </row>
    <row r="243" spans="1:18" ht="15.6" x14ac:dyDescent="0.3">
      <c r="A243" s="24"/>
      <c r="B243" s="54" t="s">
        <v>231</v>
      </c>
      <c r="C243" s="93"/>
      <c r="D243" s="25"/>
      <c r="E243" s="94"/>
      <c r="F243" s="93"/>
      <c r="G243" s="93"/>
      <c r="H243" s="93"/>
      <c r="I243" s="93"/>
      <c r="J243" s="93"/>
      <c r="K243" s="93"/>
      <c r="L243" s="54">
        <v>10</v>
      </c>
      <c r="M243" s="94">
        <f t="shared" si="3"/>
        <v>0.10309278350515463</v>
      </c>
      <c r="N243" s="53">
        <v>1906</v>
      </c>
      <c r="O243" s="136">
        <f t="shared" si="4"/>
        <v>0.12560131795716639</v>
      </c>
      <c r="P243" s="79"/>
      <c r="Q243" s="25"/>
      <c r="R243" s="5"/>
    </row>
    <row r="244" spans="1:18" ht="15.6" x14ac:dyDescent="0.3">
      <c r="A244" s="24"/>
      <c r="B244" s="25" t="s">
        <v>129</v>
      </c>
      <c r="C244" s="25"/>
      <c r="D244" s="25"/>
      <c r="E244" s="25"/>
      <c r="F244" s="95"/>
      <c r="G244" s="95"/>
      <c r="H244" s="95"/>
      <c r="I244" s="95"/>
      <c r="J244" s="95"/>
      <c r="K244" s="95"/>
      <c r="L244" s="34">
        <f>SUM(L236:L243)</f>
        <v>97</v>
      </c>
      <c r="M244" s="136">
        <f>SUM(M236:M243)</f>
        <v>0.99999999999999989</v>
      </c>
      <c r="N244" s="53">
        <f>SUM(N236:N243)</f>
        <v>15175</v>
      </c>
      <c r="O244" s="136">
        <f>SUM(O236:O243)</f>
        <v>1</v>
      </c>
      <c r="P244" s="25"/>
      <c r="Q244" s="25"/>
      <c r="R244" s="5"/>
    </row>
    <row r="245" spans="1:18" ht="15.6" x14ac:dyDescent="0.3">
      <c r="A245" s="24"/>
      <c r="B245" s="25"/>
      <c r="C245" s="25"/>
      <c r="D245" s="25"/>
      <c r="E245" s="25"/>
      <c r="F245" s="95"/>
      <c r="G245" s="95"/>
      <c r="H245" s="95"/>
      <c r="I245" s="95"/>
      <c r="J245" s="95"/>
      <c r="K245" s="95"/>
      <c r="L245" s="34"/>
      <c r="M245" s="136"/>
      <c r="N245" s="53"/>
      <c r="O245" s="136"/>
      <c r="P245" s="25"/>
      <c r="Q245" s="25"/>
      <c r="R245" s="5"/>
    </row>
    <row r="246" spans="1:18" ht="15.6" x14ac:dyDescent="0.3">
      <c r="A246" s="148"/>
      <c r="B246" s="14" t="s">
        <v>239</v>
      </c>
      <c r="C246" s="81"/>
      <c r="D246" s="82"/>
      <c r="E246" s="81"/>
      <c r="F246" s="17"/>
      <c r="G246" s="17"/>
      <c r="H246" s="17"/>
      <c r="I246" s="17"/>
      <c r="J246" s="17"/>
      <c r="K246" s="17"/>
      <c r="L246" s="83" t="s">
        <v>113</v>
      </c>
      <c r="M246" s="17" t="s">
        <v>114</v>
      </c>
      <c r="N246" s="83" t="s">
        <v>123</v>
      </c>
      <c r="O246" s="17" t="s">
        <v>114</v>
      </c>
      <c r="P246" s="150"/>
      <c r="Q246" s="149"/>
      <c r="R246" s="5"/>
    </row>
    <row r="247" spans="1:18" ht="15.6" x14ac:dyDescent="0.3">
      <c r="A247" s="24"/>
      <c r="B247" s="54" t="s">
        <v>98</v>
      </c>
      <c r="C247" s="93"/>
      <c r="D247" s="25"/>
      <c r="E247" s="93"/>
      <c r="F247" s="93"/>
      <c r="G247" s="93"/>
      <c r="H247" s="93"/>
      <c r="I247" s="93"/>
      <c r="J247" s="93"/>
      <c r="K247" s="93"/>
      <c r="L247" s="54">
        <v>0</v>
      </c>
      <c r="M247" s="136">
        <v>0</v>
      </c>
      <c r="N247" s="53">
        <v>0</v>
      </c>
      <c r="O247" s="136">
        <v>0</v>
      </c>
      <c r="P247" s="25"/>
      <c r="Q247" s="25"/>
      <c r="R247" s="5"/>
    </row>
    <row r="248" spans="1:18" ht="15.6" x14ac:dyDescent="0.3">
      <c r="A248" s="24"/>
      <c r="B248" s="54" t="s">
        <v>99</v>
      </c>
      <c r="C248" s="93"/>
      <c r="D248" s="25"/>
      <c r="E248" s="94"/>
      <c r="F248" s="93"/>
      <c r="G248" s="93"/>
      <c r="H248" s="93"/>
      <c r="I248" s="93"/>
      <c r="J248" s="93"/>
      <c r="K248" s="93"/>
      <c r="L248" s="54">
        <v>0</v>
      </c>
      <c r="M248" s="136">
        <v>0</v>
      </c>
      <c r="N248" s="53">
        <v>0</v>
      </c>
      <c r="O248" s="136">
        <v>0</v>
      </c>
      <c r="P248" s="25"/>
      <c r="Q248" s="25"/>
      <c r="R248" s="5"/>
    </row>
    <row r="249" spans="1:18" ht="15.6" x14ac:dyDescent="0.3">
      <c r="A249" s="24"/>
      <c r="B249" s="54" t="s">
        <v>100</v>
      </c>
      <c r="C249" s="93"/>
      <c r="D249" s="25"/>
      <c r="E249" s="94"/>
      <c r="F249" s="93"/>
      <c r="G249" s="93"/>
      <c r="H249" s="93"/>
      <c r="I249" s="93"/>
      <c r="J249" s="93"/>
      <c r="K249" s="93"/>
      <c r="L249" s="54">
        <v>0</v>
      </c>
      <c r="M249" s="136">
        <v>0</v>
      </c>
      <c r="N249" s="53">
        <v>0</v>
      </c>
      <c r="O249" s="136">
        <v>0</v>
      </c>
      <c r="P249" s="25"/>
      <c r="Q249" s="25"/>
      <c r="R249" s="5"/>
    </row>
    <row r="250" spans="1:18" ht="15.6" x14ac:dyDescent="0.3">
      <c r="A250" s="24"/>
      <c r="B250" s="54" t="s">
        <v>227</v>
      </c>
      <c r="C250" s="93"/>
      <c r="D250" s="25"/>
      <c r="E250" s="94"/>
      <c r="F250" s="93"/>
      <c r="G250" s="93"/>
      <c r="H250" s="93"/>
      <c r="I250" s="93"/>
      <c r="J250" s="93"/>
      <c r="K250" s="93"/>
      <c r="L250" s="54">
        <v>0</v>
      </c>
      <c r="M250" s="136">
        <v>0</v>
      </c>
      <c r="N250" s="53">
        <v>0</v>
      </c>
      <c r="O250" s="136">
        <v>0</v>
      </c>
      <c r="P250" s="25"/>
      <c r="Q250" s="25"/>
      <c r="R250" s="5"/>
    </row>
    <row r="251" spans="1:18" ht="15.6" x14ac:dyDescent="0.3">
      <c r="A251" s="24"/>
      <c r="B251" s="54" t="s">
        <v>228</v>
      </c>
      <c r="C251" s="93"/>
      <c r="D251" s="25"/>
      <c r="E251" s="94"/>
      <c r="F251" s="93"/>
      <c r="G251" s="93"/>
      <c r="H251" s="93"/>
      <c r="I251" s="93"/>
      <c r="J251" s="93"/>
      <c r="K251" s="93"/>
      <c r="L251" s="54">
        <v>0</v>
      </c>
      <c r="M251" s="136">
        <v>0</v>
      </c>
      <c r="N251" s="53">
        <v>0</v>
      </c>
      <c r="O251" s="136">
        <v>0</v>
      </c>
      <c r="P251" s="25"/>
      <c r="Q251" s="25"/>
      <c r="R251" s="5"/>
    </row>
    <row r="252" spans="1:18" ht="15.6" x14ac:dyDescent="0.3">
      <c r="A252" s="24"/>
      <c r="B252" s="54" t="s">
        <v>229</v>
      </c>
      <c r="C252" s="93"/>
      <c r="D252" s="25"/>
      <c r="E252" s="94"/>
      <c r="F252" s="93"/>
      <c r="G252" s="93"/>
      <c r="H252" s="93"/>
      <c r="I252" s="93"/>
      <c r="J252" s="93"/>
      <c r="K252" s="93"/>
      <c r="L252" s="54">
        <v>0</v>
      </c>
      <c r="M252" s="136">
        <v>0</v>
      </c>
      <c r="N252" s="53">
        <v>0</v>
      </c>
      <c r="O252" s="136">
        <v>0</v>
      </c>
      <c r="P252" s="25"/>
      <c r="Q252" s="25"/>
      <c r="R252" s="5"/>
    </row>
    <row r="253" spans="1:18" ht="15.6" x14ac:dyDescent="0.3">
      <c r="A253" s="24"/>
      <c r="B253" s="54" t="s">
        <v>230</v>
      </c>
      <c r="C253" s="93"/>
      <c r="D253" s="25"/>
      <c r="E253" s="94"/>
      <c r="F253" s="93"/>
      <c r="G253" s="93"/>
      <c r="H253" s="93"/>
      <c r="I253" s="93"/>
      <c r="J253" s="93"/>
      <c r="K253" s="93"/>
      <c r="L253" s="54">
        <v>0</v>
      </c>
      <c r="M253" s="136">
        <v>0</v>
      </c>
      <c r="N253" s="53">
        <v>0</v>
      </c>
      <c r="O253" s="136">
        <v>0</v>
      </c>
      <c r="P253" s="25"/>
      <c r="Q253" s="25"/>
      <c r="R253" s="5"/>
    </row>
    <row r="254" spans="1:18" ht="15.6" x14ac:dyDescent="0.3">
      <c r="A254" s="24"/>
      <c r="B254" s="54" t="s">
        <v>231</v>
      </c>
      <c r="C254" s="93"/>
      <c r="D254" s="25"/>
      <c r="E254" s="94"/>
      <c r="F254" s="93"/>
      <c r="G254" s="93"/>
      <c r="H254" s="93"/>
      <c r="I254" s="93"/>
      <c r="J254" s="93"/>
      <c r="K254" s="93"/>
      <c r="L254" s="54">
        <v>0</v>
      </c>
      <c r="M254" s="136">
        <v>0</v>
      </c>
      <c r="N254" s="53">
        <v>0</v>
      </c>
      <c r="O254" s="136">
        <v>0</v>
      </c>
      <c r="P254" s="25"/>
      <c r="Q254" s="25"/>
      <c r="R254" s="5"/>
    </row>
    <row r="255" spans="1:18" ht="15.6" x14ac:dyDescent="0.3">
      <c r="A255" s="24"/>
      <c r="B255" s="25" t="s">
        <v>129</v>
      </c>
      <c r="C255" s="25"/>
      <c r="D255" s="25"/>
      <c r="E255" s="25"/>
      <c r="F255" s="95"/>
      <c r="G255" s="95"/>
      <c r="H255" s="95"/>
      <c r="I255" s="95"/>
      <c r="J255" s="95"/>
      <c r="K255" s="95"/>
      <c r="L255" s="34">
        <f>SUM(L247:L254)</f>
        <v>0</v>
      </c>
      <c r="M255" s="136">
        <v>0</v>
      </c>
      <c r="N255" s="53">
        <f>SUM(N247:N254)</f>
        <v>0</v>
      </c>
      <c r="O255" s="136">
        <v>0</v>
      </c>
      <c r="P255" s="25"/>
      <c r="Q255" s="25"/>
      <c r="R255" s="5"/>
    </row>
    <row r="256" spans="1:18" ht="15.6" x14ac:dyDescent="0.3">
      <c r="A256" s="24"/>
      <c r="B256" s="25"/>
      <c r="C256" s="25"/>
      <c r="D256" s="25"/>
      <c r="E256" s="25"/>
      <c r="F256" s="95"/>
      <c r="G256" s="95"/>
      <c r="H256" s="95"/>
      <c r="I256" s="95"/>
      <c r="J256" s="95"/>
      <c r="K256" s="95"/>
      <c r="L256" s="34"/>
      <c r="M256" s="136"/>
      <c r="N256" s="53"/>
      <c r="O256" s="136"/>
      <c r="P256" s="25"/>
      <c r="Q256" s="25"/>
      <c r="R256" s="5"/>
    </row>
    <row r="257" spans="1:18" ht="15.6" x14ac:dyDescent="0.3">
      <c r="A257" s="24"/>
      <c r="B257" s="152" t="s">
        <v>240</v>
      </c>
      <c r="C257" s="25"/>
      <c r="D257" s="25"/>
      <c r="E257" s="25"/>
      <c r="F257" s="95"/>
      <c r="G257" s="95"/>
      <c r="H257" s="95"/>
      <c r="I257" s="95"/>
      <c r="J257" s="95"/>
      <c r="K257" s="95"/>
      <c r="L257" s="173">
        <f>+L233+L244+L255</f>
        <v>3724</v>
      </c>
      <c r="M257" s="136"/>
      <c r="N257" s="175">
        <f>+N255+N244+N233</f>
        <v>414741</v>
      </c>
      <c r="O257" s="136"/>
      <c r="P257" s="25"/>
      <c r="Q257" s="25"/>
      <c r="R257" s="5"/>
    </row>
    <row r="258" spans="1:18" ht="15.6" x14ac:dyDescent="0.3">
      <c r="A258" s="24"/>
      <c r="B258" s="25"/>
      <c r="C258" s="25"/>
      <c r="D258" s="25"/>
      <c r="E258" s="25"/>
      <c r="F258" s="95"/>
      <c r="G258" s="95"/>
      <c r="H258" s="95"/>
      <c r="I258" s="95"/>
      <c r="J258" s="95"/>
      <c r="K258" s="95"/>
      <c r="L258" s="95"/>
      <c r="M258" s="95"/>
      <c r="N258" s="53"/>
      <c r="O258" s="95"/>
      <c r="P258" s="25"/>
      <c r="Q258" s="25"/>
      <c r="R258" s="5"/>
    </row>
    <row r="259" spans="1:18" ht="15.6" x14ac:dyDescent="0.3">
      <c r="A259" s="6"/>
      <c r="B259" s="8"/>
      <c r="C259" s="8"/>
      <c r="D259" s="8"/>
      <c r="E259" s="8"/>
      <c r="F259" s="96"/>
      <c r="G259" s="96"/>
      <c r="H259" s="96"/>
      <c r="I259" s="96"/>
      <c r="J259" s="96"/>
      <c r="K259" s="96"/>
      <c r="L259" s="96"/>
      <c r="M259" s="96"/>
      <c r="N259" s="97"/>
      <c r="O259" s="96"/>
      <c r="P259" s="8"/>
      <c r="Q259" s="8"/>
      <c r="R259" s="5"/>
    </row>
    <row r="260" spans="1:18" ht="15.6" x14ac:dyDescent="0.3">
      <c r="A260" s="145"/>
      <c r="B260" s="14" t="s">
        <v>102</v>
      </c>
      <c r="C260" s="15"/>
      <c r="D260" s="15"/>
      <c r="E260" s="15"/>
      <c r="F260" s="17" t="s">
        <v>108</v>
      </c>
      <c r="G260" s="15"/>
      <c r="H260" s="14" t="s">
        <v>110</v>
      </c>
      <c r="I260" s="140"/>
      <c r="J260" s="140"/>
      <c r="K260" s="140"/>
      <c r="L260" s="140"/>
      <c r="M260" s="140"/>
      <c r="N260" s="140"/>
      <c r="O260" s="140"/>
      <c r="P260" s="140"/>
      <c r="Q260" s="140"/>
      <c r="R260" s="5"/>
    </row>
    <row r="261" spans="1:18" ht="15.6" x14ac:dyDescent="0.3">
      <c r="A261" s="145"/>
      <c r="B261" s="140"/>
      <c r="C261" s="8"/>
      <c r="D261" s="8"/>
      <c r="E261" s="8"/>
      <c r="F261" s="8"/>
      <c r="G261" s="8"/>
      <c r="H261" s="8"/>
      <c r="I261" s="140"/>
      <c r="J261" s="140"/>
      <c r="K261" s="140"/>
      <c r="L261" s="140"/>
      <c r="M261" s="140"/>
      <c r="N261" s="140"/>
      <c r="O261" s="140"/>
      <c r="P261" s="140"/>
      <c r="Q261" s="140"/>
      <c r="R261" s="5"/>
    </row>
    <row r="262" spans="1:18" ht="15.6" x14ac:dyDescent="0.3">
      <c r="A262" s="145"/>
      <c r="B262" s="13" t="s">
        <v>103</v>
      </c>
      <c r="C262" s="13"/>
      <c r="D262" s="13"/>
      <c r="E262" s="13"/>
      <c r="F262" s="134" t="s">
        <v>212</v>
      </c>
      <c r="G262" s="13"/>
      <c r="H262" s="13" t="s">
        <v>222</v>
      </c>
      <c r="I262" s="140"/>
      <c r="J262" s="140"/>
      <c r="K262" s="140"/>
      <c r="L262" s="140"/>
      <c r="M262" s="140"/>
      <c r="N262" s="140"/>
      <c r="O262" s="140"/>
      <c r="P262" s="140"/>
      <c r="Q262" s="140"/>
      <c r="R262" s="5"/>
    </row>
    <row r="263" spans="1:18" ht="15.6" x14ac:dyDescent="0.3">
      <c r="A263" s="145"/>
      <c r="B263" s="13" t="s">
        <v>263</v>
      </c>
      <c r="C263" s="13"/>
      <c r="D263" s="13"/>
      <c r="E263" s="13"/>
      <c r="F263" s="134" t="s">
        <v>264</v>
      </c>
      <c r="G263" s="13"/>
      <c r="H263" s="13" t="s">
        <v>265</v>
      </c>
      <c r="I263" s="140"/>
      <c r="J263" s="140"/>
      <c r="K263" s="140"/>
      <c r="L263" s="140"/>
      <c r="M263" s="140"/>
      <c r="N263" s="140"/>
      <c r="O263" s="140"/>
      <c r="P263" s="140"/>
      <c r="Q263" s="140"/>
      <c r="R263" s="5"/>
    </row>
    <row r="264" spans="1:18" ht="15.6" x14ac:dyDescent="0.3">
      <c r="A264" s="145"/>
      <c r="B264" s="13" t="s">
        <v>104</v>
      </c>
      <c r="C264" s="13"/>
      <c r="D264" s="13"/>
      <c r="E264" s="13"/>
      <c r="F264" s="134" t="s">
        <v>211</v>
      </c>
      <c r="G264" s="13"/>
      <c r="H264" s="13" t="s">
        <v>223</v>
      </c>
      <c r="I264" s="140"/>
      <c r="J264" s="140"/>
      <c r="K264" s="140"/>
      <c r="L264" s="140"/>
      <c r="M264" s="140"/>
      <c r="N264" s="140"/>
      <c r="O264" s="140"/>
      <c r="P264" s="140"/>
      <c r="Q264" s="140"/>
      <c r="R264" s="5"/>
    </row>
    <row r="265" spans="1:18" ht="15.6" x14ac:dyDescent="0.3">
      <c r="A265" s="145"/>
      <c r="B265" s="13"/>
      <c r="C265" s="13"/>
      <c r="D265" s="13"/>
      <c r="E265" s="99"/>
      <c r="F265" s="140"/>
      <c r="G265" s="140"/>
      <c r="H265" s="140"/>
      <c r="I265" s="140"/>
      <c r="J265" s="140"/>
      <c r="K265" s="140"/>
      <c r="L265" s="140"/>
      <c r="M265" s="140"/>
      <c r="N265" s="140"/>
      <c r="O265" s="140"/>
      <c r="P265" s="140"/>
      <c r="Q265" s="140"/>
      <c r="R265" s="5"/>
    </row>
    <row r="266" spans="1:18" ht="15.6" x14ac:dyDescent="0.3">
      <c r="A266" s="145"/>
      <c r="B266" s="13"/>
      <c r="C266" s="13"/>
      <c r="D266" s="13"/>
      <c r="E266" s="99"/>
      <c r="F266" s="140"/>
      <c r="G266" s="140"/>
      <c r="H266" s="140"/>
      <c r="I266" s="140"/>
      <c r="J266" s="140"/>
      <c r="K266" s="140"/>
      <c r="L266" s="140"/>
      <c r="M266" s="140"/>
      <c r="N266" s="140"/>
      <c r="O266" s="140"/>
      <c r="P266" s="140"/>
      <c r="Q266" s="140"/>
      <c r="R266" s="5"/>
    </row>
    <row r="267" spans="1:18" ht="18" thickBot="1" x14ac:dyDescent="0.35">
      <c r="A267" s="145"/>
      <c r="B267" s="49" t="str">
        <f>B185</f>
        <v>PM7 INVESTOR REPORT QUARTER ENDING JANUARY 2010</v>
      </c>
      <c r="C267" s="13"/>
      <c r="D267" s="13"/>
      <c r="E267" s="99"/>
      <c r="F267" s="140"/>
      <c r="G267" s="140"/>
      <c r="H267" s="140"/>
      <c r="I267" s="140"/>
      <c r="J267" s="140"/>
      <c r="K267" s="140"/>
      <c r="L267" s="140"/>
      <c r="M267" s="140"/>
      <c r="N267" s="140"/>
      <c r="O267" s="140"/>
      <c r="P267" s="140"/>
      <c r="Q267" s="140"/>
      <c r="R267" s="5"/>
    </row>
    <row r="268" spans="1:18" x14ac:dyDescent="0.25">
      <c r="A268" s="100"/>
      <c r="B268" s="100"/>
      <c r="C268" s="100"/>
      <c r="D268" s="100"/>
      <c r="E268" s="100"/>
      <c r="F268" s="100"/>
      <c r="G268" s="100"/>
      <c r="H268" s="100"/>
      <c r="I268" s="100"/>
      <c r="J268" s="100"/>
      <c r="K268" s="100"/>
      <c r="L268" s="100"/>
      <c r="M268" s="100"/>
      <c r="N268" s="100"/>
      <c r="O268" s="100"/>
      <c r="P268" s="100"/>
      <c r="Q268" s="100"/>
    </row>
  </sheetData>
  <phoneticPr fontId="0" type="noConversion"/>
  <hyperlinks>
    <hyperlink ref="H9" r:id="rId1"/>
    <hyperlink ref="J222"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3" max="14" man="1"/>
    <brk id="185" max="14"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S26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0.95650000000000002</v>
      </c>
      <c r="N17" s="17" t="s">
        <v>173</v>
      </c>
      <c r="O17" s="138">
        <v>4.3499999999999997E-2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40317</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262</v>
      </c>
      <c r="K28" s="123"/>
      <c r="L28" s="123" t="s">
        <v>262</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9"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9" ht="15.6" x14ac:dyDescent="0.3">
      <c r="A34" s="24"/>
      <c r="B34" s="25" t="s">
        <v>156</v>
      </c>
      <c r="C34" s="32"/>
      <c r="D34" s="130">
        <f>+D33*D40</f>
        <v>184144.32</v>
      </c>
      <c r="E34" s="31"/>
      <c r="F34" s="131">
        <f>+F33*F40</f>
        <v>89999.888000000006</v>
      </c>
      <c r="G34" s="31"/>
      <c r="H34" s="124">
        <f>+H33*H40</f>
        <v>204617.94999999998</v>
      </c>
      <c r="I34" s="31"/>
      <c r="J34" s="130">
        <f>J33*J40</f>
        <v>75977.401500000007</v>
      </c>
      <c r="K34" s="31"/>
      <c r="L34" s="124">
        <f>L33*L40</f>
        <v>59860.97</v>
      </c>
      <c r="M34" s="31"/>
      <c r="N34" s="31"/>
      <c r="O34" s="142"/>
      <c r="P34" s="31"/>
      <c r="Q34" s="34"/>
      <c r="R34" s="5"/>
    </row>
    <row r="35" spans="1:19" ht="15.6" x14ac:dyDescent="0.3">
      <c r="A35" s="28"/>
      <c r="B35" s="29" t="s">
        <v>158</v>
      </c>
      <c r="C35" s="36"/>
      <c r="D35" s="129">
        <f>+D33*D39</f>
        <v>182779.875</v>
      </c>
      <c r="E35" s="35"/>
      <c r="F35" s="132">
        <f>+F33*F39</f>
        <v>89333.024000000005</v>
      </c>
      <c r="G35" s="35"/>
      <c r="H35" s="125">
        <f>+H33*H39</f>
        <v>203101.75</v>
      </c>
      <c r="I35" s="35"/>
      <c r="J35" s="129">
        <f>J33*J39</f>
        <v>75414.42975000001</v>
      </c>
      <c r="K35" s="35"/>
      <c r="L35" s="125">
        <f>L33*L39</f>
        <v>59417.416499999999</v>
      </c>
      <c r="M35" s="35"/>
      <c r="N35" s="35"/>
      <c r="O35" s="37"/>
      <c r="P35" s="35"/>
      <c r="Q35" s="34"/>
      <c r="R35" s="5"/>
    </row>
    <row r="36" spans="1:19"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9" ht="15.6" x14ac:dyDescent="0.3">
      <c r="A37" s="24"/>
      <c r="B37" s="25" t="s">
        <v>280</v>
      </c>
      <c r="C37" s="32"/>
      <c r="D37" s="31">
        <f>+D34/1.779</f>
        <v>103510.01686340642</v>
      </c>
      <c r="E37" s="31"/>
      <c r="F37" s="31">
        <f>+F34</f>
        <v>89999.888000000006</v>
      </c>
      <c r="G37" s="31"/>
      <c r="H37" s="31">
        <f>+H34/1.481481</f>
        <v>138117.16113807735</v>
      </c>
      <c r="I37" s="31"/>
      <c r="J37" s="31">
        <f>J36*J40</f>
        <v>42707.588086800002</v>
      </c>
      <c r="K37" s="31"/>
      <c r="L37" s="31">
        <f>L36*L40</f>
        <v>40406.154750000002</v>
      </c>
      <c r="M37" s="31"/>
      <c r="N37" s="31"/>
      <c r="O37" s="142"/>
      <c r="P37" s="31">
        <f>SUM(C37:L37)</f>
        <v>414740.80883828382</v>
      </c>
      <c r="Q37" s="34"/>
      <c r="R37" s="5"/>
      <c r="S37" s="154"/>
    </row>
    <row r="38" spans="1:19" ht="15.6" x14ac:dyDescent="0.3">
      <c r="A38" s="28"/>
      <c r="B38" s="29" t="s">
        <v>281</v>
      </c>
      <c r="C38" s="36"/>
      <c r="D38" s="35">
        <f>D35/1.779</f>
        <v>102743.04384485667</v>
      </c>
      <c r="E38" s="35"/>
      <c r="F38" s="35">
        <f>+F35</f>
        <v>89333.024000000005</v>
      </c>
      <c r="G38" s="35"/>
      <c r="H38" s="35">
        <f>H35/1.481481</f>
        <v>137093.72580546088</v>
      </c>
      <c r="I38" s="35"/>
      <c r="J38" s="35">
        <f>J36*J39</f>
        <v>42391.136548200004</v>
      </c>
      <c r="K38" s="35"/>
      <c r="L38" s="35">
        <f>L36*L39</f>
        <v>40106.7561375</v>
      </c>
      <c r="M38" s="35"/>
      <c r="N38" s="35"/>
      <c r="O38" s="37"/>
      <c r="P38" s="35">
        <f>SUM(D38:L38)</f>
        <v>411667.68633601756</v>
      </c>
      <c r="Q38" s="34"/>
      <c r="R38" s="5"/>
      <c r="S38" s="176"/>
    </row>
    <row r="39" spans="1:19" ht="15.6" x14ac:dyDescent="0.3">
      <c r="A39" s="28"/>
      <c r="B39" s="122" t="s">
        <v>154</v>
      </c>
      <c r="C39" s="126"/>
      <c r="D39" s="174">
        <v>0.40617750000000002</v>
      </c>
      <c r="E39" s="174"/>
      <c r="F39" s="174">
        <v>0.40605920000000001</v>
      </c>
      <c r="G39" s="174"/>
      <c r="H39" s="174">
        <v>0.4062035</v>
      </c>
      <c r="I39" s="174"/>
      <c r="J39" s="174">
        <v>0.91411430000000005</v>
      </c>
      <c r="K39" s="174"/>
      <c r="L39" s="174">
        <v>0.91411410000000004</v>
      </c>
      <c r="M39" s="31"/>
      <c r="N39" s="31"/>
      <c r="O39" s="142"/>
      <c r="P39" s="31"/>
      <c r="Q39" s="34"/>
      <c r="R39" s="5"/>
    </row>
    <row r="40" spans="1:19" ht="15.6" x14ac:dyDescent="0.3">
      <c r="A40" s="28"/>
      <c r="B40" s="122" t="s">
        <v>155</v>
      </c>
      <c r="C40" s="126"/>
      <c r="D40" s="174">
        <v>0.40920960000000001</v>
      </c>
      <c r="E40" s="174"/>
      <c r="F40" s="174">
        <v>0.40909040000000002</v>
      </c>
      <c r="G40" s="174"/>
      <c r="H40" s="174">
        <v>0.40923589999999999</v>
      </c>
      <c r="I40" s="174"/>
      <c r="J40" s="174">
        <v>0.92093820000000004</v>
      </c>
      <c r="K40" s="174"/>
      <c r="L40" s="174">
        <v>0.92093800000000003</v>
      </c>
      <c r="M40" s="128"/>
      <c r="N40" s="128"/>
      <c r="O40" s="142"/>
      <c r="P40" s="31"/>
      <c r="Q40" s="34"/>
      <c r="R40" s="5"/>
    </row>
    <row r="41" spans="1:19"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9" ht="15.6" x14ac:dyDescent="0.3">
      <c r="A42" s="24"/>
      <c r="B42" s="25" t="s">
        <v>13</v>
      </c>
      <c r="C42" s="25"/>
      <c r="D42" s="38">
        <v>4.5999999999999999E-3</v>
      </c>
      <c r="E42" s="39"/>
      <c r="F42" s="38">
        <v>8.5124999999999992E-3</v>
      </c>
      <c r="G42" s="39"/>
      <c r="H42" s="38">
        <v>8.7299999999999999E-3</v>
      </c>
      <c r="I42" s="39"/>
      <c r="J42" s="38">
        <v>0.01</v>
      </c>
      <c r="K42" s="39"/>
      <c r="L42" s="38">
        <v>1.413E-2</v>
      </c>
      <c r="M42" s="39"/>
      <c r="N42" s="38"/>
      <c r="O42" s="141"/>
      <c r="P42" s="39"/>
      <c r="Q42" s="25"/>
      <c r="R42" s="5"/>
    </row>
    <row r="43" spans="1:19" ht="15.6" x14ac:dyDescent="0.3">
      <c r="A43" s="24"/>
      <c r="B43" s="25" t="s">
        <v>14</v>
      </c>
      <c r="C43" s="25"/>
      <c r="D43" s="38">
        <v>4.8250000000000003E-3</v>
      </c>
      <c r="E43" s="39"/>
      <c r="F43" s="38">
        <v>8.2406000000000007E-3</v>
      </c>
      <c r="G43" s="39"/>
      <c r="H43" s="38">
        <v>9.2399999999999999E-3</v>
      </c>
      <c r="I43" s="39"/>
      <c r="J43" s="38">
        <v>1.0225E-2</v>
      </c>
      <c r="K43" s="39"/>
      <c r="L43" s="38">
        <v>1.464E-2</v>
      </c>
      <c r="M43" s="39"/>
      <c r="N43" s="38"/>
      <c r="O43" s="141"/>
      <c r="P43" s="141"/>
      <c r="Q43" s="25"/>
      <c r="R43" s="5"/>
    </row>
    <row r="44" spans="1:19"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9" ht="15.6" x14ac:dyDescent="0.3">
      <c r="A45" s="24"/>
      <c r="B45" s="25" t="s">
        <v>285</v>
      </c>
      <c r="C45" s="25"/>
      <c r="D45" s="38">
        <v>9.4575000000000006E-3</v>
      </c>
      <c r="E45" s="39"/>
      <c r="F45" s="38">
        <f>+F42</f>
        <v>8.5124999999999992E-3</v>
      </c>
      <c r="G45" s="39"/>
      <c r="H45" s="38">
        <v>9.3375000000000003E-3</v>
      </c>
      <c r="I45" s="39"/>
      <c r="J45" s="38">
        <v>1.5587500000000001E-2</v>
      </c>
      <c r="K45" s="39"/>
      <c r="L45" s="38">
        <v>1.5587500000000001E-2</v>
      </c>
      <c r="M45" s="39"/>
      <c r="N45" s="38"/>
      <c r="O45" s="141"/>
      <c r="P45" s="39">
        <f>SUMPRODUCT(D45:L45,D37:L37)/P37</f>
        <v>1.0440917308837937E-2</v>
      </c>
      <c r="Q45" s="25"/>
      <c r="R45" s="5"/>
    </row>
    <row r="46" spans="1:19" ht="15.6" x14ac:dyDescent="0.3">
      <c r="A46" s="24"/>
      <c r="B46" s="25" t="s">
        <v>283</v>
      </c>
      <c r="C46" s="25"/>
      <c r="D46" s="38">
        <v>9.1856000000000004E-3</v>
      </c>
      <c r="E46" s="39"/>
      <c r="F46" s="38">
        <f>+F43</f>
        <v>8.2406000000000007E-3</v>
      </c>
      <c r="G46" s="39"/>
      <c r="H46" s="38">
        <v>9.0656E-3</v>
      </c>
      <c r="I46" s="39"/>
      <c r="J46" s="38">
        <v>1.53156E-2</v>
      </c>
      <c r="K46" s="39"/>
      <c r="L46" s="38">
        <v>1.53156E-2</v>
      </c>
      <c r="M46" s="39"/>
      <c r="N46" s="38"/>
      <c r="O46" s="141"/>
      <c r="P46" s="141"/>
      <c r="Q46" s="25"/>
      <c r="R46" s="5"/>
    </row>
    <row r="47" spans="1:19"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9"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0.25062412857158717</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40315</v>
      </c>
      <c r="Q57" s="25"/>
      <c r="R57" s="5"/>
    </row>
    <row r="58" spans="1:18" ht="15.6" x14ac:dyDescent="0.3">
      <c r="A58" s="24"/>
      <c r="B58" s="25" t="s">
        <v>142</v>
      </c>
      <c r="C58" s="25"/>
      <c r="D58" s="25"/>
      <c r="E58" s="25"/>
      <c r="F58" s="58"/>
      <c r="G58" s="58"/>
      <c r="H58" s="58"/>
      <c r="I58" s="58"/>
      <c r="J58" s="58"/>
      <c r="K58" s="58"/>
      <c r="L58" s="25">
        <f>+P58-N58+1</f>
        <v>92</v>
      </c>
      <c r="M58" s="58"/>
      <c r="N58" s="45">
        <v>40133</v>
      </c>
      <c r="O58" s="46"/>
      <c r="P58" s="45">
        <v>40224</v>
      </c>
      <c r="Q58" s="25"/>
      <c r="R58" s="5"/>
    </row>
    <row r="59" spans="1:18" ht="15.6" x14ac:dyDescent="0.3">
      <c r="A59" s="24"/>
      <c r="B59" s="25" t="s">
        <v>143</v>
      </c>
      <c r="C59" s="25"/>
      <c r="D59" s="25"/>
      <c r="E59" s="25"/>
      <c r="F59" s="25"/>
      <c r="G59" s="25"/>
      <c r="H59" s="25"/>
      <c r="I59" s="25"/>
      <c r="J59" s="25"/>
      <c r="K59" s="25"/>
      <c r="L59" s="25">
        <f>+P59-N59+1</f>
        <v>90</v>
      </c>
      <c r="M59" s="25"/>
      <c r="N59" s="45">
        <v>40225</v>
      </c>
      <c r="O59" s="46"/>
      <c r="P59" s="45">
        <v>40314</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40302</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288</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414741</v>
      </c>
      <c r="I70" s="34"/>
      <c r="J70" s="34">
        <f>3073+588+9</f>
        <v>3670</v>
      </c>
      <c r="K70" s="34"/>
      <c r="L70" s="34">
        <f>588+9</f>
        <v>597</v>
      </c>
      <c r="M70" s="34"/>
      <c r="N70" s="34">
        <v>0</v>
      </c>
      <c r="O70" s="34"/>
      <c r="P70" s="53">
        <f>+H70-J70+L70-N70</f>
        <v>411668</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414741</v>
      </c>
      <c r="I73" s="34"/>
      <c r="J73" s="34">
        <f>SUM(J70:J72)</f>
        <v>3670</v>
      </c>
      <c r="K73" s="34"/>
      <c r="L73" s="34">
        <f>SUM(L70:L72)</f>
        <v>597</v>
      </c>
      <c r="M73" s="34"/>
      <c r="N73" s="34">
        <f>SUM(N70:N72)</f>
        <v>0</v>
      </c>
      <c r="O73" s="34"/>
      <c r="P73" s="54">
        <f>SUM(P70:P72)</f>
        <v>411668</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273</v>
      </c>
      <c r="C86" s="34"/>
      <c r="D86" s="34"/>
      <c r="E86" s="34"/>
      <c r="F86" s="34">
        <v>0</v>
      </c>
      <c r="G86" s="34"/>
      <c r="H86" s="53">
        <v>0</v>
      </c>
      <c r="I86" s="34"/>
      <c r="J86" s="34">
        <v>0</v>
      </c>
      <c r="K86" s="34"/>
      <c r="L86" s="34">
        <v>0</v>
      </c>
      <c r="M86" s="34"/>
      <c r="N86" s="34"/>
      <c r="O86" s="34"/>
      <c r="P86" s="54">
        <f>+N130</f>
        <v>0</v>
      </c>
      <c r="Q86" s="25"/>
      <c r="R86" s="5"/>
    </row>
    <row r="87" spans="1:18" ht="15.6" x14ac:dyDescent="0.3">
      <c r="A87" s="24"/>
      <c r="B87" s="25" t="s">
        <v>30</v>
      </c>
      <c r="C87" s="34"/>
      <c r="D87" s="54"/>
      <c r="E87" s="34"/>
      <c r="F87" s="54">
        <f>SUM(F73:F86)</f>
        <v>900700</v>
      </c>
      <c r="G87" s="54"/>
      <c r="H87" s="54">
        <f>SUM(H73:H86)</f>
        <v>414741</v>
      </c>
      <c r="I87" s="34"/>
      <c r="J87" s="54">
        <f>SUM(J73:J86)</f>
        <v>3670</v>
      </c>
      <c r="K87" s="34"/>
      <c r="L87" s="54">
        <f>SUM(L73:L86)</f>
        <v>597</v>
      </c>
      <c r="M87" s="34"/>
      <c r="N87" s="54"/>
      <c r="O87" s="34"/>
      <c r="P87" s="54">
        <f>SUM(P73:P86)</f>
        <v>411668</v>
      </c>
      <c r="Q87" s="25"/>
      <c r="R87" s="5"/>
    </row>
    <row r="88" spans="1:18" ht="15.6" x14ac:dyDescent="0.3">
      <c r="A88" s="24"/>
      <c r="B88" s="25"/>
      <c r="C88" s="34"/>
      <c r="D88" s="34"/>
      <c r="E88" s="34"/>
      <c r="F88" s="34"/>
      <c r="G88" s="34"/>
      <c r="H88" s="34"/>
      <c r="I88" s="34"/>
      <c r="J88" s="34"/>
      <c r="K88" s="34"/>
      <c r="L88" s="34"/>
      <c r="M88" s="34"/>
      <c r="N88" s="34"/>
      <c r="O88" s="34"/>
      <c r="P88" s="54"/>
      <c r="Q88" s="25"/>
      <c r="R88" s="5"/>
    </row>
    <row r="89" spans="1:18" ht="15.6" x14ac:dyDescent="0.3">
      <c r="A89" s="6"/>
      <c r="B89" s="8"/>
      <c r="C89" s="8"/>
      <c r="D89" s="8"/>
      <c r="E89" s="8"/>
      <c r="F89" s="8"/>
      <c r="G89" s="8"/>
      <c r="H89" s="8"/>
      <c r="I89" s="8"/>
      <c r="J89" s="8"/>
      <c r="K89" s="8"/>
      <c r="L89" s="8"/>
      <c r="M89" s="8"/>
      <c r="N89" s="8"/>
      <c r="O89" s="8"/>
      <c r="P89" s="8"/>
      <c r="Q89" s="8"/>
      <c r="R89" s="5"/>
    </row>
    <row r="90" spans="1:18" ht="15.6" x14ac:dyDescent="0.3">
      <c r="A90" s="6"/>
      <c r="B90" s="51" t="s">
        <v>31</v>
      </c>
      <c r="C90" s="14"/>
      <c r="D90" s="14"/>
      <c r="E90" s="14"/>
      <c r="F90" s="170" t="s">
        <v>106</v>
      </c>
      <c r="G90" s="17"/>
      <c r="H90" s="171">
        <v>40298</v>
      </c>
      <c r="I90" s="17"/>
      <c r="J90" s="17"/>
      <c r="K90" s="17"/>
      <c r="L90" s="17"/>
      <c r="M90" s="17"/>
      <c r="N90" s="17" t="s">
        <v>119</v>
      </c>
      <c r="O90" s="17"/>
      <c r="P90" s="17" t="s">
        <v>128</v>
      </c>
      <c r="Q90" s="8"/>
      <c r="R90" s="5"/>
    </row>
    <row r="91" spans="1:18" ht="15.6" x14ac:dyDescent="0.3">
      <c r="A91" s="24"/>
      <c r="B91" s="25" t="s">
        <v>32</v>
      </c>
      <c r="C91" s="25"/>
      <c r="D91" s="25"/>
      <c r="E91" s="25"/>
      <c r="F91" s="25"/>
      <c r="G91" s="25"/>
      <c r="H91" s="25"/>
      <c r="I91" s="25"/>
      <c r="J91" s="25"/>
      <c r="K91" s="25"/>
      <c r="L91" s="25"/>
      <c r="M91" s="25"/>
      <c r="N91" s="34">
        <v>0</v>
      </c>
      <c r="O91" s="25"/>
      <c r="P91" s="53">
        <v>0</v>
      </c>
      <c r="Q91" s="25"/>
      <c r="R91" s="5"/>
    </row>
    <row r="92" spans="1:18" ht="15.6" x14ac:dyDescent="0.3">
      <c r="A92" s="24"/>
      <c r="B92" s="25" t="s">
        <v>33</v>
      </c>
      <c r="C92" s="25"/>
      <c r="D92" s="25"/>
      <c r="E92" s="25"/>
      <c r="F92" s="40" t="s">
        <v>253</v>
      </c>
      <c r="G92" s="57"/>
      <c r="H92" s="127" t="s">
        <v>253</v>
      </c>
      <c r="I92" s="25"/>
      <c r="J92" s="25"/>
      <c r="K92" s="25"/>
      <c r="L92" s="25"/>
      <c r="M92" s="25"/>
      <c r="N92" s="34">
        <f>3670-528</f>
        <v>3142</v>
      </c>
      <c r="O92" s="25"/>
      <c r="P92" s="53"/>
      <c r="Q92" s="25"/>
      <c r="R92" s="5"/>
    </row>
    <row r="93" spans="1:18" ht="15.6" x14ac:dyDescent="0.3">
      <c r="A93" s="24"/>
      <c r="B93" s="25" t="s">
        <v>248</v>
      </c>
      <c r="C93" s="25"/>
      <c r="D93" s="25"/>
      <c r="E93" s="25"/>
      <c r="F93" s="40"/>
      <c r="G93" s="57"/>
      <c r="H93" s="127"/>
      <c r="I93" s="25"/>
      <c r="J93" s="25"/>
      <c r="K93" s="25"/>
      <c r="L93" s="25"/>
      <c r="M93" s="25"/>
      <c r="N93" s="34"/>
      <c r="O93" s="25"/>
      <c r="P93" s="53">
        <f>3516+184-648-61+72+8</f>
        <v>3071</v>
      </c>
      <c r="Q93" s="25"/>
      <c r="R93" s="5"/>
    </row>
    <row r="94" spans="1:18" ht="15.6" x14ac:dyDescent="0.3">
      <c r="A94" s="24"/>
      <c r="B94" s="25" t="s">
        <v>249</v>
      </c>
      <c r="C94" s="25"/>
      <c r="D94" s="25"/>
      <c r="E94" s="25"/>
      <c r="F94" s="40"/>
      <c r="G94" s="57"/>
      <c r="H94" s="127"/>
      <c r="I94" s="25"/>
      <c r="J94" s="25"/>
      <c r="K94" s="25"/>
      <c r="L94" s="25"/>
      <c r="M94" s="25"/>
      <c r="N94" s="34"/>
      <c r="O94" s="25"/>
      <c r="P94" s="53">
        <v>133</v>
      </c>
      <c r="Q94" s="25"/>
      <c r="R94" s="5"/>
    </row>
    <row r="95" spans="1:18" ht="15.6" x14ac:dyDescent="0.3">
      <c r="A95" s="24"/>
      <c r="B95" s="25" t="s">
        <v>250</v>
      </c>
      <c r="C95" s="25"/>
      <c r="D95" s="25"/>
      <c r="E95" s="25"/>
      <c r="F95" s="40"/>
      <c r="G95" s="57"/>
      <c r="H95" s="127"/>
      <c r="I95" s="25"/>
      <c r="J95" s="25"/>
      <c r="K95" s="25"/>
      <c r="L95" s="25"/>
      <c r="M95" s="25"/>
      <c r="N95" s="34"/>
      <c r="O95" s="25"/>
      <c r="P95" s="53">
        <v>32</v>
      </c>
      <c r="Q95" s="25"/>
      <c r="R95" s="5"/>
    </row>
    <row r="96" spans="1:18" ht="15.6" x14ac:dyDescent="0.3">
      <c r="A96" s="24"/>
      <c r="B96" s="25" t="s">
        <v>259</v>
      </c>
      <c r="C96" s="25"/>
      <c r="D96" s="25"/>
      <c r="E96" s="25"/>
      <c r="F96" s="40"/>
      <c r="G96" s="57"/>
      <c r="H96" s="127"/>
      <c r="I96" s="25"/>
      <c r="J96" s="25"/>
      <c r="K96" s="25"/>
      <c r="L96" s="25"/>
      <c r="M96" s="25"/>
      <c r="N96" s="34"/>
      <c r="O96" s="25"/>
      <c r="P96" s="53">
        <v>0</v>
      </c>
      <c r="Q96" s="25"/>
      <c r="R96" s="5"/>
    </row>
    <row r="97" spans="1:19" ht="15.6" x14ac:dyDescent="0.3">
      <c r="A97" s="24"/>
      <c r="B97" s="25" t="s">
        <v>160</v>
      </c>
      <c r="C97" s="25"/>
      <c r="D97" s="25"/>
      <c r="E97" s="25"/>
      <c r="F97" s="25"/>
      <c r="G97" s="25"/>
      <c r="H97" s="25"/>
      <c r="I97" s="25"/>
      <c r="J97" s="25"/>
      <c r="K97" s="25"/>
      <c r="L97" s="25"/>
      <c r="M97" s="25"/>
      <c r="N97" s="34"/>
      <c r="O97" s="25"/>
      <c r="P97" s="53">
        <v>0</v>
      </c>
      <c r="Q97" s="25"/>
      <c r="R97" s="5"/>
    </row>
    <row r="98" spans="1:19" ht="15.6" x14ac:dyDescent="0.3">
      <c r="A98" s="24"/>
      <c r="B98" s="25" t="s">
        <v>192</v>
      </c>
      <c r="C98" s="25"/>
      <c r="D98" s="25"/>
      <c r="E98" s="25"/>
      <c r="F98" s="25"/>
      <c r="G98" s="25"/>
      <c r="H98" s="25"/>
      <c r="I98" s="25"/>
      <c r="J98" s="25"/>
      <c r="K98" s="25"/>
      <c r="L98" s="25"/>
      <c r="M98" s="25"/>
      <c r="N98" s="34"/>
      <c r="O98" s="25"/>
      <c r="P98" s="53">
        <v>8</v>
      </c>
      <c r="Q98" s="25"/>
      <c r="R98" s="5"/>
    </row>
    <row r="99" spans="1:19" ht="15.6" x14ac:dyDescent="0.3">
      <c r="A99" s="24"/>
      <c r="B99" s="25" t="s">
        <v>35</v>
      </c>
      <c r="C99" s="25"/>
      <c r="D99" s="25"/>
      <c r="E99" s="25"/>
      <c r="F99" s="25"/>
      <c r="G99" s="25"/>
      <c r="H99" s="25"/>
      <c r="I99" s="25"/>
      <c r="J99" s="25"/>
      <c r="K99" s="25"/>
      <c r="L99" s="25"/>
      <c r="M99" s="25"/>
      <c r="N99" s="34">
        <f>SUM(N91:N98)</f>
        <v>3142</v>
      </c>
      <c r="O99" s="25"/>
      <c r="P99" s="54">
        <f>SUM(P91:P98)</f>
        <v>3244</v>
      </c>
      <c r="Q99" s="25"/>
      <c r="R99" s="5"/>
    </row>
    <row r="100" spans="1:19" ht="15.6" x14ac:dyDescent="0.3">
      <c r="A100" s="24"/>
      <c r="B100" s="25" t="s">
        <v>237</v>
      </c>
      <c r="C100" s="25"/>
      <c r="D100" s="25"/>
      <c r="E100" s="25"/>
      <c r="F100" s="25"/>
      <c r="G100" s="25"/>
      <c r="H100" s="25"/>
      <c r="I100" s="25"/>
      <c r="J100" s="25"/>
      <c r="K100" s="25"/>
      <c r="L100" s="25"/>
      <c r="M100" s="25"/>
      <c r="N100" s="34">
        <v>-5</v>
      </c>
      <c r="O100" s="25"/>
      <c r="P100" s="54">
        <f>-N100</f>
        <v>5</v>
      </c>
      <c r="Q100" s="25"/>
      <c r="R100" s="5"/>
    </row>
    <row r="101" spans="1:19" ht="15.6" x14ac:dyDescent="0.3">
      <c r="A101" s="24"/>
      <c r="B101" s="25" t="s">
        <v>36</v>
      </c>
      <c r="C101" s="25"/>
      <c r="D101" s="25"/>
      <c r="E101" s="25"/>
      <c r="F101" s="25"/>
      <c r="G101" s="25"/>
      <c r="H101" s="25"/>
      <c r="I101" s="25"/>
      <c r="J101" s="25"/>
      <c r="K101" s="25"/>
      <c r="L101" s="25"/>
      <c r="M101" s="25"/>
      <c r="N101" s="34">
        <f>-P101</f>
        <v>0</v>
      </c>
      <c r="O101" s="25"/>
      <c r="P101" s="53">
        <v>0</v>
      </c>
      <c r="Q101" s="25"/>
      <c r="R101" s="5"/>
    </row>
    <row r="102" spans="1:19" ht="15.6" x14ac:dyDescent="0.3">
      <c r="A102" s="24"/>
      <c r="B102" s="25" t="s">
        <v>268</v>
      </c>
      <c r="C102" s="25"/>
      <c r="D102" s="25"/>
      <c r="E102" s="25"/>
      <c r="F102" s="25"/>
      <c r="G102" s="25"/>
      <c r="H102" s="25"/>
      <c r="I102" s="25"/>
      <c r="J102" s="25"/>
      <c r="K102" s="25"/>
      <c r="L102" s="25"/>
      <c r="M102" s="25"/>
      <c r="N102" s="34"/>
      <c r="O102" s="25"/>
      <c r="P102" s="53">
        <v>268</v>
      </c>
      <c r="Q102" s="25"/>
      <c r="R102" s="5"/>
    </row>
    <row r="103" spans="1:19" ht="15.6" x14ac:dyDescent="0.3">
      <c r="A103" s="24"/>
      <c r="B103" s="25" t="s">
        <v>37</v>
      </c>
      <c r="C103" s="25"/>
      <c r="D103" s="25"/>
      <c r="E103" s="25"/>
      <c r="F103" s="25"/>
      <c r="G103" s="25"/>
      <c r="H103" s="25"/>
      <c r="I103" s="25"/>
      <c r="J103" s="25"/>
      <c r="K103" s="25"/>
      <c r="L103" s="25"/>
      <c r="M103" s="25"/>
      <c r="N103" s="34">
        <f>N99+N101+N100</f>
        <v>3137</v>
      </c>
      <c r="O103" s="25"/>
      <c r="P103" s="54">
        <f>P99+P101+P100+P102</f>
        <v>3517</v>
      </c>
      <c r="Q103" s="25"/>
      <c r="R103" s="5"/>
      <c r="S103" s="154"/>
    </row>
    <row r="104" spans="1:19" ht="15.6" x14ac:dyDescent="0.3">
      <c r="A104" s="24"/>
      <c r="B104" s="118" t="s">
        <v>38</v>
      </c>
      <c r="C104" s="25"/>
      <c r="D104" s="25"/>
      <c r="E104" s="25"/>
      <c r="F104" s="25"/>
      <c r="G104" s="25"/>
      <c r="H104" s="25"/>
      <c r="I104" s="25"/>
      <c r="J104" s="25"/>
      <c r="K104" s="25"/>
      <c r="L104" s="25"/>
      <c r="M104" s="25"/>
      <c r="N104" s="34"/>
      <c r="O104" s="25"/>
      <c r="P104" s="53"/>
      <c r="Q104" s="25"/>
      <c r="R104" s="5"/>
    </row>
    <row r="105" spans="1:19" ht="15.6" x14ac:dyDescent="0.3">
      <c r="A105" s="24">
        <v>1</v>
      </c>
      <c r="B105" s="25" t="s">
        <v>39</v>
      </c>
      <c r="C105" s="25"/>
      <c r="D105" s="25"/>
      <c r="E105" s="25"/>
      <c r="F105" s="25"/>
      <c r="G105" s="25"/>
      <c r="H105" s="25"/>
      <c r="I105" s="25"/>
      <c r="J105" s="25"/>
      <c r="K105" s="25"/>
      <c r="L105" s="25"/>
      <c r="M105" s="25"/>
      <c r="N105" s="25"/>
      <c r="O105" s="25"/>
      <c r="P105" s="53">
        <v>0</v>
      </c>
      <c r="Q105" s="25"/>
      <c r="R105" s="5"/>
    </row>
    <row r="106" spans="1:19" ht="15.6" x14ac:dyDescent="0.3">
      <c r="A106" s="24">
        <f>+A105+1</f>
        <v>2</v>
      </c>
      <c r="B106" s="25" t="s">
        <v>40</v>
      </c>
      <c r="C106" s="25"/>
      <c r="D106" s="25"/>
      <c r="E106" s="25"/>
      <c r="F106" s="25"/>
      <c r="G106" s="25"/>
      <c r="H106" s="25"/>
      <c r="I106" s="25"/>
      <c r="J106" s="25"/>
      <c r="K106" s="25"/>
      <c r="L106" s="25"/>
      <c r="M106" s="25"/>
      <c r="N106" s="25"/>
      <c r="O106" s="25"/>
      <c r="P106" s="53">
        <v>-2</v>
      </c>
      <c r="Q106" s="25"/>
      <c r="R106" s="5"/>
    </row>
    <row r="107" spans="1:19" ht="15.6" x14ac:dyDescent="0.3">
      <c r="A107" s="24">
        <f>+A106+1</f>
        <v>3</v>
      </c>
      <c r="B107" s="25" t="s">
        <v>226</v>
      </c>
      <c r="C107" s="25"/>
      <c r="D107" s="25"/>
      <c r="E107" s="25"/>
      <c r="F107" s="25"/>
      <c r="G107" s="25"/>
      <c r="H107" s="25"/>
      <c r="I107" s="25"/>
      <c r="J107" s="25"/>
      <c r="K107" s="25"/>
      <c r="L107" s="25"/>
      <c r="M107" s="25"/>
      <c r="N107" s="25"/>
      <c r="O107" s="25"/>
      <c r="P107" s="53">
        <f>-101-161-5</f>
        <v>-267</v>
      </c>
      <c r="Q107" s="25"/>
      <c r="R107" s="5"/>
    </row>
    <row r="108" spans="1:19" ht="15.6" x14ac:dyDescent="0.3">
      <c r="A108" s="24" t="s">
        <v>151</v>
      </c>
      <c r="B108" s="25" t="s">
        <v>131</v>
      </c>
      <c r="C108" s="25"/>
      <c r="D108" s="25"/>
      <c r="E108" s="25"/>
      <c r="F108" s="25"/>
      <c r="G108" s="25"/>
      <c r="H108" s="25"/>
      <c r="I108" s="25"/>
      <c r="J108" s="25"/>
      <c r="K108" s="25"/>
      <c r="L108" s="25"/>
      <c r="M108" s="25"/>
      <c r="N108" s="25"/>
      <c r="O108" s="25"/>
      <c r="P108" s="53">
        <v>-698</v>
      </c>
      <c r="Q108" s="25"/>
      <c r="R108" s="5"/>
    </row>
    <row r="109" spans="1:19" ht="15.6" x14ac:dyDescent="0.3">
      <c r="A109" s="24" t="s">
        <v>152</v>
      </c>
      <c r="B109" s="25" t="s">
        <v>195</v>
      </c>
      <c r="C109" s="25"/>
      <c r="D109" s="25"/>
      <c r="E109" s="25"/>
      <c r="F109" s="25"/>
      <c r="G109" s="25"/>
      <c r="H109" s="25"/>
      <c r="I109" s="25"/>
      <c r="J109" s="25"/>
      <c r="K109" s="25"/>
      <c r="L109" s="25"/>
      <c r="M109" s="25"/>
      <c r="N109" s="25"/>
      <c r="O109" s="25"/>
      <c r="P109" s="53">
        <v>-241</v>
      </c>
      <c r="Q109" s="25"/>
      <c r="R109" s="5"/>
      <c r="S109" s="109"/>
    </row>
    <row r="110" spans="1:19" ht="15.6" x14ac:dyDescent="0.3">
      <c r="A110" s="24" t="s">
        <v>217</v>
      </c>
      <c r="B110" s="25" t="s">
        <v>196</v>
      </c>
      <c r="C110" s="25"/>
      <c r="D110" s="25"/>
      <c r="E110" s="25"/>
      <c r="F110" s="25"/>
      <c r="G110" s="25"/>
      <c r="H110" s="25"/>
      <c r="I110" s="25"/>
      <c r="J110" s="25"/>
      <c r="K110" s="25"/>
      <c r="L110" s="25"/>
      <c r="M110" s="25"/>
      <c r="N110" s="25"/>
      <c r="O110" s="25"/>
      <c r="P110" s="53">
        <v>-189</v>
      </c>
      <c r="Q110" s="25"/>
      <c r="R110" s="5"/>
      <c r="S110" s="109"/>
    </row>
    <row r="111" spans="1:19" ht="15.6" x14ac:dyDescent="0.3">
      <c r="A111" s="24" t="s">
        <v>218</v>
      </c>
      <c r="B111" s="25" t="s">
        <v>197</v>
      </c>
      <c r="C111" s="25"/>
      <c r="D111" s="25"/>
      <c r="E111" s="25"/>
      <c r="F111" s="25"/>
      <c r="G111" s="25"/>
      <c r="H111" s="25"/>
      <c r="I111" s="25"/>
      <c r="J111" s="25"/>
      <c r="K111" s="25"/>
      <c r="L111" s="25"/>
      <c r="M111" s="25"/>
      <c r="N111" s="25"/>
      <c r="O111" s="25"/>
      <c r="P111" s="53">
        <v>-318</v>
      </c>
      <c r="Q111" s="25"/>
      <c r="R111" s="5"/>
      <c r="S111" s="109"/>
    </row>
    <row r="112" spans="1:19" ht="15.6" x14ac:dyDescent="0.3">
      <c r="A112" s="24" t="s">
        <v>147</v>
      </c>
      <c r="B112" s="25" t="s">
        <v>146</v>
      </c>
      <c r="C112" s="25"/>
      <c r="D112" s="25"/>
      <c r="E112" s="25"/>
      <c r="F112" s="25"/>
      <c r="G112" s="25"/>
      <c r="H112" s="25"/>
      <c r="I112" s="25"/>
      <c r="J112" s="25"/>
      <c r="K112" s="25"/>
      <c r="L112" s="25"/>
      <c r="M112" s="25"/>
      <c r="N112" s="25"/>
      <c r="O112" s="25"/>
      <c r="P112" s="53">
        <v>-164</v>
      </c>
      <c r="Q112" s="25"/>
      <c r="R112" s="5"/>
      <c r="S112" s="109"/>
    </row>
    <row r="113" spans="1:19" ht="15.6" x14ac:dyDescent="0.3">
      <c r="A113" s="24" t="s">
        <v>148</v>
      </c>
      <c r="B113" s="25" t="s">
        <v>198</v>
      </c>
      <c r="C113" s="25"/>
      <c r="D113" s="25"/>
      <c r="E113" s="25"/>
      <c r="F113" s="25"/>
      <c r="G113" s="25"/>
      <c r="H113" s="25"/>
      <c r="I113" s="25"/>
      <c r="J113" s="25"/>
      <c r="K113" s="25"/>
      <c r="L113" s="25"/>
      <c r="M113" s="25"/>
      <c r="N113" s="25"/>
      <c r="O113" s="25"/>
      <c r="P113" s="53">
        <v>-155</v>
      </c>
      <c r="Q113" s="25"/>
      <c r="R113" s="5"/>
      <c r="S113" s="109"/>
    </row>
    <row r="114" spans="1:19" ht="15.6" x14ac:dyDescent="0.3">
      <c r="A114" s="24">
        <v>6</v>
      </c>
      <c r="B114" s="25" t="s">
        <v>41</v>
      </c>
      <c r="C114" s="25"/>
      <c r="D114" s="25"/>
      <c r="E114" s="25"/>
      <c r="F114" s="25"/>
      <c r="G114" s="25"/>
      <c r="H114" s="25"/>
      <c r="I114" s="25"/>
      <c r="J114" s="25"/>
      <c r="K114" s="25"/>
      <c r="L114" s="25"/>
      <c r="M114" s="25"/>
      <c r="N114" s="25"/>
      <c r="O114" s="25"/>
      <c r="P114" s="53">
        <v>-10</v>
      </c>
      <c r="Q114" s="25"/>
      <c r="R114" s="5"/>
    </row>
    <row r="115" spans="1:19" ht="15.6" x14ac:dyDescent="0.3">
      <c r="A115" s="24">
        <f t="shared" ref="A115:A120" si="0">+A114+1</f>
        <v>7</v>
      </c>
      <c r="B115" s="25" t="s">
        <v>53</v>
      </c>
      <c r="C115" s="25"/>
      <c r="D115" s="25"/>
      <c r="E115" s="25"/>
      <c r="F115" s="25"/>
      <c r="G115" s="25"/>
      <c r="H115" s="25"/>
      <c r="I115" s="25"/>
      <c r="J115" s="25"/>
      <c r="K115" s="25"/>
      <c r="L115" s="25"/>
      <c r="M115" s="25"/>
      <c r="N115" s="34">
        <f>-P115</f>
        <v>528</v>
      </c>
      <c r="O115" s="25"/>
      <c r="P115" s="53">
        <v>-528</v>
      </c>
      <c r="Q115" s="25"/>
      <c r="R115" s="5"/>
    </row>
    <row r="116" spans="1:19" ht="15.6" x14ac:dyDescent="0.3">
      <c r="A116" s="24">
        <f t="shared" si="0"/>
        <v>8</v>
      </c>
      <c r="B116" s="25" t="s">
        <v>149</v>
      </c>
      <c r="C116" s="25"/>
      <c r="D116" s="25"/>
      <c r="E116" s="25"/>
      <c r="F116" s="25"/>
      <c r="G116" s="25"/>
      <c r="H116" s="25"/>
      <c r="I116" s="25"/>
      <c r="J116" s="25"/>
      <c r="K116" s="25"/>
      <c r="L116" s="25"/>
      <c r="M116" s="25"/>
      <c r="N116" s="25"/>
      <c r="O116" s="25"/>
      <c r="P116" s="53">
        <v>0</v>
      </c>
      <c r="Q116" s="25"/>
      <c r="R116" s="5"/>
    </row>
    <row r="117" spans="1:19" ht="15.6" x14ac:dyDescent="0.3">
      <c r="A117" s="24">
        <f t="shared" si="0"/>
        <v>9</v>
      </c>
      <c r="B117" s="25" t="s">
        <v>42</v>
      </c>
      <c r="C117" s="25"/>
      <c r="D117" s="25"/>
      <c r="E117" s="25"/>
      <c r="F117" s="25"/>
      <c r="G117" s="25"/>
      <c r="H117" s="25"/>
      <c r="I117" s="25"/>
      <c r="J117" s="25"/>
      <c r="K117" s="25"/>
      <c r="L117" s="25"/>
      <c r="M117" s="25"/>
      <c r="N117" s="25"/>
      <c r="O117" s="25"/>
      <c r="P117" s="53">
        <v>0</v>
      </c>
      <c r="Q117" s="25"/>
      <c r="R117" s="5"/>
    </row>
    <row r="118" spans="1:19" ht="15.6" x14ac:dyDescent="0.3">
      <c r="A118" s="24">
        <f t="shared" si="0"/>
        <v>10</v>
      </c>
      <c r="B118" s="25" t="s">
        <v>43</v>
      </c>
      <c r="C118" s="25"/>
      <c r="D118" s="25"/>
      <c r="E118" s="25"/>
      <c r="F118" s="25"/>
      <c r="G118" s="25"/>
      <c r="H118" s="25"/>
      <c r="I118" s="25"/>
      <c r="J118" s="25"/>
      <c r="K118" s="25"/>
      <c r="L118" s="25"/>
      <c r="M118" s="25"/>
      <c r="N118" s="25"/>
      <c r="O118" s="25"/>
      <c r="P118" s="53">
        <v>0</v>
      </c>
      <c r="Q118" s="25"/>
      <c r="R118" s="5"/>
    </row>
    <row r="119" spans="1:19" ht="15.6" x14ac:dyDescent="0.3">
      <c r="A119" s="24">
        <f t="shared" si="0"/>
        <v>11</v>
      </c>
      <c r="B119" s="25" t="s">
        <v>215</v>
      </c>
      <c r="C119" s="25"/>
      <c r="D119" s="25"/>
      <c r="E119" s="25"/>
      <c r="F119" s="25"/>
      <c r="G119" s="25"/>
      <c r="H119" s="25"/>
      <c r="I119" s="25"/>
      <c r="J119" s="25"/>
      <c r="K119" s="25"/>
      <c r="L119" s="25"/>
      <c r="M119" s="25"/>
      <c r="N119" s="25"/>
      <c r="O119" s="25"/>
      <c r="P119" s="53">
        <v>-205</v>
      </c>
      <c r="Q119" s="25"/>
      <c r="R119" s="5"/>
    </row>
    <row r="120" spans="1:19" ht="15.6" x14ac:dyDescent="0.3">
      <c r="A120" s="24">
        <f t="shared" si="0"/>
        <v>12</v>
      </c>
      <c r="B120" s="25" t="s">
        <v>150</v>
      </c>
      <c r="C120" s="25"/>
      <c r="D120" s="25"/>
      <c r="E120" s="25"/>
      <c r="F120" s="25"/>
      <c r="G120" s="25"/>
      <c r="H120" s="25"/>
      <c r="I120" s="25"/>
      <c r="J120" s="25"/>
      <c r="K120" s="25"/>
      <c r="L120" s="25"/>
      <c r="M120" s="25"/>
      <c r="N120" s="25"/>
      <c r="O120" s="25"/>
      <c r="P120" s="53">
        <f>-P103-SUM(P105:P119)</f>
        <v>-740</v>
      </c>
      <c r="Q120" s="25"/>
      <c r="R120" s="5"/>
    </row>
    <row r="121" spans="1:19" ht="15.6" x14ac:dyDescent="0.3">
      <c r="A121" s="24"/>
      <c r="B121" s="118" t="s">
        <v>44</v>
      </c>
      <c r="C121" s="25"/>
      <c r="D121" s="25"/>
      <c r="E121" s="25"/>
      <c r="F121" s="25"/>
      <c r="G121" s="25"/>
      <c r="H121" s="25"/>
      <c r="I121" s="25"/>
      <c r="J121" s="25"/>
      <c r="K121" s="25"/>
      <c r="L121" s="25"/>
      <c r="M121" s="25"/>
      <c r="N121" s="25"/>
      <c r="O121" s="25"/>
      <c r="P121" s="59"/>
      <c r="Q121" s="25"/>
      <c r="R121" s="5"/>
    </row>
    <row r="122" spans="1:19" ht="15.6" x14ac:dyDescent="0.3">
      <c r="A122" s="24"/>
      <c r="B122" s="25" t="s">
        <v>45</v>
      </c>
      <c r="C122" s="25"/>
      <c r="D122" s="25"/>
      <c r="E122" s="25"/>
      <c r="F122" s="25"/>
      <c r="G122" s="25"/>
      <c r="H122" s="25"/>
      <c r="I122" s="25"/>
      <c r="J122" s="25"/>
      <c r="K122" s="25"/>
      <c r="L122" s="25"/>
      <c r="M122" s="25"/>
      <c r="N122" s="34">
        <v>-5</v>
      </c>
      <c r="O122" s="34"/>
      <c r="P122" s="53"/>
      <c r="Q122" s="25"/>
      <c r="R122" s="5"/>
    </row>
    <row r="123" spans="1:19" ht="15.6" x14ac:dyDescent="0.3">
      <c r="A123" s="24"/>
      <c r="B123" s="25" t="s">
        <v>46</v>
      </c>
      <c r="C123" s="25"/>
      <c r="D123" s="25"/>
      <c r="E123" s="25"/>
      <c r="F123" s="25"/>
      <c r="G123" s="25"/>
      <c r="H123" s="25"/>
      <c r="I123" s="25"/>
      <c r="J123" s="25"/>
      <c r="K123" s="25"/>
      <c r="L123" s="25"/>
      <c r="M123" s="25"/>
      <c r="N123" s="34">
        <f>-M172</f>
        <v>-587</v>
      </c>
      <c r="O123" s="34"/>
      <c r="P123" s="53"/>
      <c r="Q123" s="25"/>
      <c r="R123" s="5"/>
    </row>
    <row r="124" spans="1:19" ht="15.6" x14ac:dyDescent="0.3">
      <c r="A124" s="24"/>
      <c r="B124" s="25" t="s">
        <v>199</v>
      </c>
      <c r="C124" s="25"/>
      <c r="D124" s="25"/>
      <c r="E124" s="25"/>
      <c r="F124" s="25"/>
      <c r="G124" s="25"/>
      <c r="H124" s="25"/>
      <c r="I124" s="25"/>
      <c r="J124" s="25"/>
      <c r="K124" s="25"/>
      <c r="L124" s="25"/>
      <c r="M124" s="25"/>
      <c r="N124" s="34">
        <v>-767</v>
      </c>
      <c r="O124" s="34"/>
      <c r="P124" s="53"/>
      <c r="Q124" s="25"/>
      <c r="R124" s="5"/>
    </row>
    <row r="125" spans="1:19" ht="15.6" x14ac:dyDescent="0.3">
      <c r="A125" s="24"/>
      <c r="B125" s="25" t="s">
        <v>200</v>
      </c>
      <c r="C125" s="25"/>
      <c r="D125" s="25"/>
      <c r="E125" s="25"/>
      <c r="F125" s="25"/>
      <c r="G125" s="25"/>
      <c r="H125" s="25"/>
      <c r="I125" s="25"/>
      <c r="J125" s="25"/>
      <c r="K125" s="25"/>
      <c r="L125" s="25"/>
      <c r="M125" s="25"/>
      <c r="N125" s="34">
        <v>-667</v>
      </c>
      <c r="O125" s="34"/>
      <c r="P125" s="53"/>
      <c r="Q125" s="25"/>
      <c r="R125" s="5"/>
    </row>
    <row r="126" spans="1:19" ht="15.6" x14ac:dyDescent="0.3">
      <c r="A126" s="24"/>
      <c r="B126" s="25" t="s">
        <v>201</v>
      </c>
      <c r="C126" s="25"/>
      <c r="D126" s="25"/>
      <c r="E126" s="25"/>
      <c r="F126" s="25"/>
      <c r="G126" s="25"/>
      <c r="H126" s="25"/>
      <c r="I126" s="25"/>
      <c r="J126" s="25"/>
      <c r="K126" s="25"/>
      <c r="L126" s="25"/>
      <c r="M126" s="25"/>
      <c r="N126" s="34">
        <v>-1023</v>
      </c>
      <c r="O126" s="34"/>
      <c r="P126" s="53"/>
      <c r="Q126" s="25"/>
      <c r="R126" s="5"/>
    </row>
    <row r="127" spans="1:19" ht="15.6" x14ac:dyDescent="0.3">
      <c r="A127" s="24"/>
      <c r="B127" s="25" t="s">
        <v>159</v>
      </c>
      <c r="C127" s="25"/>
      <c r="D127" s="25"/>
      <c r="E127" s="25"/>
      <c r="F127" s="25"/>
      <c r="G127" s="25"/>
      <c r="H127" s="25"/>
      <c r="I127" s="25"/>
      <c r="J127" s="25"/>
      <c r="K127" s="25"/>
      <c r="L127" s="25"/>
      <c r="M127" s="25"/>
      <c r="N127" s="34">
        <v>-316</v>
      </c>
      <c r="O127" s="34"/>
      <c r="P127" s="53"/>
      <c r="Q127" s="25"/>
      <c r="R127" s="5"/>
    </row>
    <row r="128" spans="1:19" ht="15.6" x14ac:dyDescent="0.3">
      <c r="A128" s="24"/>
      <c r="B128" s="25" t="s">
        <v>214</v>
      </c>
      <c r="C128" s="25"/>
      <c r="D128" s="25"/>
      <c r="E128" s="25"/>
      <c r="F128" s="25"/>
      <c r="G128" s="25"/>
      <c r="H128" s="25"/>
      <c r="I128" s="25"/>
      <c r="J128" s="25"/>
      <c r="K128" s="25"/>
      <c r="L128" s="25"/>
      <c r="M128" s="25"/>
      <c r="N128" s="34">
        <v>-300</v>
      </c>
      <c r="O128" s="34"/>
      <c r="P128" s="53"/>
      <c r="Q128" s="25"/>
      <c r="R128" s="5"/>
    </row>
    <row r="129" spans="1:19" ht="15.6" x14ac:dyDescent="0.3">
      <c r="A129" s="24"/>
      <c r="B129" s="25" t="s">
        <v>47</v>
      </c>
      <c r="C129" s="25"/>
      <c r="D129" s="25"/>
      <c r="E129" s="25"/>
      <c r="F129" s="25"/>
      <c r="G129" s="25"/>
      <c r="H129" s="25"/>
      <c r="I129" s="25"/>
      <c r="J129" s="25"/>
      <c r="K129" s="25"/>
      <c r="L129" s="25"/>
      <c r="M129" s="25"/>
      <c r="N129" s="34">
        <f>SUM(N122:N128)</f>
        <v>-3665</v>
      </c>
      <c r="O129" s="34"/>
      <c r="P129" s="34">
        <f>SUM(P104:P128)</f>
        <v>-3517</v>
      </c>
      <c r="Q129" s="25"/>
      <c r="R129" s="5"/>
    </row>
    <row r="130" spans="1:19" ht="15.6" x14ac:dyDescent="0.3">
      <c r="A130" s="24"/>
      <c r="B130" s="25" t="s">
        <v>48</v>
      </c>
      <c r="C130" s="25"/>
      <c r="D130" s="25"/>
      <c r="E130" s="25"/>
      <c r="F130" s="25"/>
      <c r="G130" s="25"/>
      <c r="H130" s="25"/>
      <c r="I130" s="25"/>
      <c r="J130" s="25"/>
      <c r="K130" s="25"/>
      <c r="L130" s="25"/>
      <c r="M130" s="25"/>
      <c r="N130" s="34">
        <f>N103+N129+N115</f>
        <v>0</v>
      </c>
      <c r="O130" s="34"/>
      <c r="P130" s="34">
        <f>P103+P129</f>
        <v>0</v>
      </c>
      <c r="Q130" s="25"/>
      <c r="R130" s="5"/>
    </row>
    <row r="131" spans="1:19" ht="15.6" x14ac:dyDescent="0.3">
      <c r="A131" s="24"/>
      <c r="B131" s="25"/>
      <c r="C131" s="25"/>
      <c r="D131" s="25"/>
      <c r="E131" s="25"/>
      <c r="F131" s="25"/>
      <c r="G131" s="25"/>
      <c r="H131" s="25"/>
      <c r="I131" s="25"/>
      <c r="J131" s="25"/>
      <c r="K131" s="25"/>
      <c r="L131" s="25"/>
      <c r="M131" s="25"/>
      <c r="N131" s="34"/>
      <c r="O131" s="34"/>
      <c r="P131" s="34"/>
      <c r="Q131" s="25"/>
      <c r="R131" s="5"/>
    </row>
    <row r="132" spans="1:19" ht="15.6" x14ac:dyDescent="0.3">
      <c r="A132" s="6"/>
      <c r="B132" s="146"/>
      <c r="C132" s="146"/>
      <c r="D132" s="146"/>
      <c r="E132" s="146"/>
      <c r="F132" s="146"/>
      <c r="G132" s="146"/>
      <c r="H132" s="146"/>
      <c r="I132" s="146"/>
      <c r="J132" s="146"/>
      <c r="K132" s="146"/>
      <c r="L132" s="146"/>
      <c r="M132" s="146"/>
      <c r="N132" s="147"/>
      <c r="O132" s="147"/>
      <c r="P132" s="147"/>
      <c r="Q132" s="146"/>
      <c r="R132" s="5"/>
    </row>
    <row r="133" spans="1:19" ht="18" thickBot="1" x14ac:dyDescent="0.35">
      <c r="A133" s="101"/>
      <c r="B133" s="102" t="str">
        <f>B65</f>
        <v>PM7 INVESTOR REPORT QUARTER ENDING APRIL 2010</v>
      </c>
      <c r="C133" s="103"/>
      <c r="D133" s="103"/>
      <c r="E133" s="103"/>
      <c r="F133" s="103"/>
      <c r="G133" s="103"/>
      <c r="H133" s="103"/>
      <c r="I133" s="103"/>
      <c r="J133" s="103"/>
      <c r="K133" s="103"/>
      <c r="L133" s="103"/>
      <c r="M133" s="103"/>
      <c r="N133" s="103"/>
      <c r="O133" s="103"/>
      <c r="P133" s="106"/>
      <c r="Q133" s="105"/>
      <c r="R133" s="5"/>
    </row>
    <row r="134" spans="1:19" ht="15.6" x14ac:dyDescent="0.3">
      <c r="A134" s="2"/>
      <c r="B134" s="60" t="s">
        <v>49</v>
      </c>
      <c r="C134" s="4"/>
      <c r="D134" s="4"/>
      <c r="E134" s="4"/>
      <c r="F134" s="4"/>
      <c r="G134" s="4"/>
      <c r="H134" s="4"/>
      <c r="I134" s="4"/>
      <c r="J134" s="4"/>
      <c r="K134" s="4"/>
      <c r="L134" s="4"/>
      <c r="M134" s="4"/>
      <c r="N134" s="4"/>
      <c r="O134" s="4"/>
      <c r="P134" s="50"/>
      <c r="Q134" s="4"/>
      <c r="R134" s="5"/>
    </row>
    <row r="135" spans="1:19" ht="15.6" x14ac:dyDescent="0.3">
      <c r="A135" s="6"/>
      <c r="B135" s="21"/>
      <c r="C135" s="8"/>
      <c r="D135" s="8"/>
      <c r="E135" s="8"/>
      <c r="F135" s="8"/>
      <c r="G135" s="8"/>
      <c r="H135" s="8"/>
      <c r="I135" s="8"/>
      <c r="J135" s="8"/>
      <c r="K135" s="8"/>
      <c r="L135" s="8"/>
      <c r="M135" s="8"/>
      <c r="N135" s="8"/>
      <c r="O135" s="8"/>
      <c r="P135" s="52"/>
      <c r="Q135" s="8"/>
      <c r="R135" s="5"/>
    </row>
    <row r="136" spans="1:19" ht="15.6" x14ac:dyDescent="0.3">
      <c r="A136" s="6"/>
      <c r="B136" s="119" t="s">
        <v>50</v>
      </c>
      <c r="C136" s="8"/>
      <c r="D136" s="8"/>
      <c r="E136" s="8"/>
      <c r="F136" s="8"/>
      <c r="G136" s="8"/>
      <c r="H136" s="8"/>
      <c r="I136" s="8"/>
      <c r="J136" s="8"/>
      <c r="K136" s="8"/>
      <c r="L136" s="8"/>
      <c r="M136" s="8"/>
      <c r="N136" s="8"/>
      <c r="O136" s="8"/>
      <c r="P136" s="52"/>
      <c r="Q136" s="8"/>
      <c r="R136" s="5"/>
    </row>
    <row r="137" spans="1:19" ht="15.6" x14ac:dyDescent="0.3">
      <c r="A137" s="24"/>
      <c r="B137" s="25" t="s">
        <v>51</v>
      </c>
      <c r="C137" s="25"/>
      <c r="D137" s="25"/>
      <c r="E137" s="25"/>
      <c r="F137" s="25"/>
      <c r="G137" s="25"/>
      <c r="H137" s="25"/>
      <c r="I137" s="25"/>
      <c r="J137" s="25"/>
      <c r="K137" s="25"/>
      <c r="L137" s="25"/>
      <c r="M137" s="25"/>
      <c r="N137" s="25"/>
      <c r="O137" s="25"/>
      <c r="P137" s="53">
        <f>+P36*0.022</f>
        <v>19815.399999999998</v>
      </c>
      <c r="Q137" s="25"/>
      <c r="R137" s="5"/>
    </row>
    <row r="138" spans="1:19" ht="15.6" x14ac:dyDescent="0.3">
      <c r="A138" s="24"/>
      <c r="B138" s="25" t="s">
        <v>52</v>
      </c>
      <c r="C138" s="25"/>
      <c r="D138" s="25"/>
      <c r="E138" s="25"/>
      <c r="F138" s="25"/>
      <c r="G138" s="25"/>
      <c r="H138" s="25"/>
      <c r="I138" s="25"/>
      <c r="J138" s="25"/>
      <c r="K138" s="25"/>
      <c r="L138" s="25"/>
      <c r="M138" s="25"/>
      <c r="N138" s="25"/>
      <c r="O138" s="25"/>
      <c r="P138" s="53">
        <v>19815</v>
      </c>
      <c r="Q138" s="25"/>
      <c r="R138" s="5"/>
    </row>
    <row r="139" spans="1:19" ht="15.6" x14ac:dyDescent="0.3">
      <c r="A139" s="24"/>
      <c r="B139" s="25" t="s">
        <v>161</v>
      </c>
      <c r="C139" s="25"/>
      <c r="D139" s="25"/>
      <c r="E139" s="25"/>
      <c r="F139" s="25"/>
      <c r="G139" s="25"/>
      <c r="H139" s="25"/>
      <c r="I139" s="25"/>
      <c r="J139" s="25"/>
      <c r="K139" s="25"/>
      <c r="L139" s="25"/>
      <c r="M139" s="25"/>
      <c r="N139" s="25"/>
      <c r="O139" s="25"/>
      <c r="P139" s="53">
        <v>0</v>
      </c>
      <c r="Q139" s="25"/>
      <c r="R139" s="5"/>
    </row>
    <row r="140" spans="1:19" ht="15.6" x14ac:dyDescent="0.3">
      <c r="A140" s="24"/>
      <c r="B140" s="25" t="s">
        <v>144</v>
      </c>
      <c r="C140" s="25"/>
      <c r="D140" s="25"/>
      <c r="E140" s="25"/>
      <c r="F140" s="25"/>
      <c r="G140" s="25"/>
      <c r="H140" s="25"/>
      <c r="I140" s="25"/>
      <c r="J140" s="25"/>
      <c r="K140" s="25"/>
      <c r="L140" s="25"/>
      <c r="M140" s="25"/>
      <c r="N140" s="25"/>
      <c r="O140" s="25"/>
      <c r="P140" s="53">
        <v>0</v>
      </c>
      <c r="Q140" s="25"/>
      <c r="R140" s="5"/>
    </row>
    <row r="141" spans="1:19" ht="15.6" x14ac:dyDescent="0.3">
      <c r="A141" s="24"/>
      <c r="B141" s="25" t="s">
        <v>145</v>
      </c>
      <c r="C141" s="25"/>
      <c r="D141" s="25"/>
      <c r="E141" s="25"/>
      <c r="F141" s="25"/>
      <c r="G141" s="25"/>
      <c r="H141" s="25"/>
      <c r="I141" s="25"/>
      <c r="J141" s="25"/>
      <c r="K141" s="25"/>
      <c r="L141" s="25"/>
      <c r="M141" s="25"/>
      <c r="N141" s="25"/>
      <c r="O141" s="25"/>
      <c r="P141" s="53">
        <v>0</v>
      </c>
      <c r="Q141" s="25"/>
      <c r="R141" s="5"/>
    </row>
    <row r="142" spans="1:19" ht="15.6" x14ac:dyDescent="0.3">
      <c r="A142" s="24"/>
      <c r="B142" s="25" t="s">
        <v>53</v>
      </c>
      <c r="C142" s="25"/>
      <c r="D142" s="25"/>
      <c r="E142" s="25"/>
      <c r="F142" s="25"/>
      <c r="G142" s="25"/>
      <c r="H142" s="25"/>
      <c r="I142" s="25"/>
      <c r="J142" s="25"/>
      <c r="K142" s="25"/>
      <c r="L142" s="25"/>
      <c r="M142" s="25"/>
      <c r="N142" s="25"/>
      <c r="O142" s="25"/>
      <c r="P142" s="53">
        <v>0</v>
      </c>
      <c r="Q142" s="25"/>
      <c r="R142" s="5"/>
    </row>
    <row r="143" spans="1:19" ht="15.6" x14ac:dyDescent="0.3">
      <c r="A143" s="24"/>
      <c r="B143" s="25" t="s">
        <v>153</v>
      </c>
      <c r="C143" s="25"/>
      <c r="D143" s="25"/>
      <c r="E143" s="25"/>
      <c r="F143" s="25"/>
      <c r="G143" s="25"/>
      <c r="H143" s="25"/>
      <c r="I143" s="25"/>
      <c r="J143" s="25"/>
      <c r="K143" s="25"/>
      <c r="L143" s="25"/>
      <c r="M143" s="25"/>
      <c r="N143" s="25"/>
      <c r="O143" s="25"/>
      <c r="P143" s="53">
        <v>0</v>
      </c>
      <c r="Q143" s="25"/>
      <c r="R143" s="5"/>
    </row>
    <row r="144" spans="1:19" ht="15.6" x14ac:dyDescent="0.3">
      <c r="A144" s="24"/>
      <c r="B144" s="25" t="s">
        <v>202</v>
      </c>
      <c r="C144" s="25"/>
      <c r="D144" s="25"/>
      <c r="E144" s="25"/>
      <c r="F144" s="25"/>
      <c r="G144" s="25"/>
      <c r="H144" s="25"/>
      <c r="I144" s="25"/>
      <c r="J144" s="25"/>
      <c r="K144" s="25"/>
      <c r="L144" s="25"/>
      <c r="M144" s="25"/>
      <c r="N144" s="25"/>
      <c r="O144" s="25"/>
      <c r="P144" s="53">
        <v>0</v>
      </c>
      <c r="Q144" s="25"/>
      <c r="R144" s="5"/>
      <c r="S144" s="109"/>
    </row>
    <row r="145" spans="1:18" ht="15.6" x14ac:dyDescent="0.3">
      <c r="A145" s="24"/>
      <c r="B145" s="25" t="s">
        <v>54</v>
      </c>
      <c r="C145" s="25"/>
      <c r="D145" s="25"/>
      <c r="E145" s="25"/>
      <c r="F145" s="25"/>
      <c r="G145" s="25"/>
      <c r="H145" s="25"/>
      <c r="I145" s="25"/>
      <c r="J145" s="25"/>
      <c r="K145" s="25"/>
      <c r="L145" s="25"/>
      <c r="M145" s="25"/>
      <c r="N145" s="25"/>
      <c r="O145" s="25"/>
      <c r="P145" s="53">
        <f>SUM(P138:P144)</f>
        <v>19815</v>
      </c>
      <c r="Q145" s="25"/>
      <c r="R145" s="5"/>
    </row>
    <row r="146" spans="1:18" ht="15.6" x14ac:dyDescent="0.3">
      <c r="A146" s="24"/>
      <c r="B146" s="25"/>
      <c r="C146" s="25"/>
      <c r="D146" s="25"/>
      <c r="E146" s="25"/>
      <c r="F146" s="25"/>
      <c r="G146" s="25"/>
      <c r="H146" s="25"/>
      <c r="I146" s="25"/>
      <c r="J146" s="25"/>
      <c r="K146" s="25"/>
      <c r="L146" s="25"/>
      <c r="M146" s="25"/>
      <c r="N146" s="25"/>
      <c r="O146" s="25"/>
      <c r="P146" s="61"/>
      <c r="Q146" s="25"/>
      <c r="R146" s="5"/>
    </row>
    <row r="147" spans="1:18" ht="15.6" x14ac:dyDescent="0.3">
      <c r="A147" s="6"/>
      <c r="B147" s="119" t="s">
        <v>28</v>
      </c>
      <c r="C147" s="8"/>
      <c r="D147" s="8"/>
      <c r="E147" s="8"/>
      <c r="F147" s="8"/>
      <c r="G147" s="8"/>
      <c r="H147" s="8"/>
      <c r="I147" s="8"/>
      <c r="J147" s="8"/>
      <c r="K147" s="8"/>
      <c r="L147" s="8"/>
      <c r="M147" s="8"/>
      <c r="N147" s="8"/>
      <c r="O147" s="8"/>
      <c r="P147" s="52"/>
      <c r="Q147" s="8"/>
      <c r="R147" s="5"/>
    </row>
    <row r="148" spans="1:18" ht="15.6" x14ac:dyDescent="0.3">
      <c r="A148" s="24"/>
      <c r="B148" s="25" t="s">
        <v>55</v>
      </c>
      <c r="C148" s="25"/>
      <c r="D148" s="25"/>
      <c r="E148" s="25"/>
      <c r="F148" s="25"/>
      <c r="G148" s="25"/>
      <c r="H148" s="25"/>
      <c r="I148" s="25"/>
      <c r="J148" s="25"/>
      <c r="K148" s="25"/>
      <c r="L148" s="25"/>
      <c r="M148" s="25"/>
      <c r="N148" s="25"/>
      <c r="O148" s="25"/>
      <c r="P148" s="59" t="s">
        <v>137</v>
      </c>
      <c r="Q148" s="25"/>
      <c r="R148" s="5"/>
    </row>
    <row r="149" spans="1:18" ht="15.6" x14ac:dyDescent="0.3">
      <c r="A149" s="24"/>
      <c r="B149" s="25" t="s">
        <v>56</v>
      </c>
      <c r="C149" s="141"/>
      <c r="D149" s="141"/>
      <c r="E149" s="141"/>
      <c r="F149" s="141"/>
      <c r="G149" s="141"/>
      <c r="H149" s="141"/>
      <c r="I149" s="141"/>
      <c r="J149" s="141"/>
      <c r="K149" s="141"/>
      <c r="L149" s="141"/>
      <c r="M149" s="141"/>
      <c r="N149" s="141"/>
      <c r="O149" s="141"/>
      <c r="P149" s="59" t="s">
        <v>137</v>
      </c>
      <c r="Q149" s="25"/>
      <c r="R149" s="5"/>
    </row>
    <row r="150" spans="1:18" ht="15.6" x14ac:dyDescent="0.3">
      <c r="A150" s="24"/>
      <c r="B150" s="25" t="s">
        <v>57</v>
      </c>
      <c r="C150" s="25"/>
      <c r="D150" s="25"/>
      <c r="E150" s="25"/>
      <c r="F150" s="25"/>
      <c r="G150" s="25"/>
      <c r="H150" s="25"/>
      <c r="I150" s="25"/>
      <c r="J150" s="25"/>
      <c r="K150" s="25"/>
      <c r="L150" s="25"/>
      <c r="M150" s="25"/>
      <c r="N150" s="25"/>
      <c r="O150" s="25"/>
      <c r="P150" s="59" t="s">
        <v>137</v>
      </c>
      <c r="Q150" s="25"/>
      <c r="R150" s="5"/>
    </row>
    <row r="151" spans="1:18" ht="15.6" x14ac:dyDescent="0.3">
      <c r="A151" s="24"/>
      <c r="B151" s="25" t="s">
        <v>58</v>
      </c>
      <c r="C151" s="25"/>
      <c r="D151" s="25"/>
      <c r="E151" s="25"/>
      <c r="F151" s="25"/>
      <c r="G151" s="25"/>
      <c r="H151" s="25"/>
      <c r="I151" s="25"/>
      <c r="J151" s="25"/>
      <c r="K151" s="25"/>
      <c r="L151" s="25"/>
      <c r="M151" s="25"/>
      <c r="N151" s="25"/>
      <c r="O151" s="25"/>
      <c r="P151" s="59" t="s">
        <v>137</v>
      </c>
      <c r="Q151" s="25"/>
      <c r="R151" s="5"/>
    </row>
    <row r="152" spans="1:18" ht="15.6" x14ac:dyDescent="0.3">
      <c r="A152" s="24"/>
      <c r="B152" s="25"/>
      <c r="C152" s="25"/>
      <c r="D152" s="25"/>
      <c r="E152" s="25"/>
      <c r="F152" s="25"/>
      <c r="G152" s="25"/>
      <c r="H152" s="25"/>
      <c r="I152" s="25"/>
      <c r="J152" s="25"/>
      <c r="K152" s="25"/>
      <c r="L152" s="25"/>
      <c r="M152" s="25"/>
      <c r="N152" s="25"/>
      <c r="O152" s="25"/>
      <c r="P152" s="61"/>
      <c r="Q152" s="25"/>
      <c r="R152" s="5"/>
    </row>
    <row r="153" spans="1:18" ht="15.6" x14ac:dyDescent="0.3">
      <c r="A153" s="6"/>
      <c r="B153" s="119" t="s">
        <v>59</v>
      </c>
      <c r="C153" s="8"/>
      <c r="D153" s="8"/>
      <c r="E153" s="8"/>
      <c r="F153" s="8"/>
      <c r="G153" s="8"/>
      <c r="H153" s="8"/>
      <c r="I153" s="8"/>
      <c r="J153" s="8"/>
      <c r="K153" s="8"/>
      <c r="L153" s="8"/>
      <c r="M153" s="8"/>
      <c r="N153" s="8"/>
      <c r="O153" s="8"/>
      <c r="P153" s="63"/>
      <c r="Q153" s="8"/>
      <c r="R153" s="5"/>
    </row>
    <row r="154" spans="1:18" ht="15.6" x14ac:dyDescent="0.3">
      <c r="A154" s="24"/>
      <c r="B154" s="25" t="s">
        <v>60</v>
      </c>
      <c r="C154" s="25"/>
      <c r="D154" s="25"/>
      <c r="E154" s="25"/>
      <c r="F154" s="25"/>
      <c r="G154" s="25"/>
      <c r="H154" s="25"/>
      <c r="I154" s="25"/>
      <c r="J154" s="25"/>
      <c r="K154" s="25"/>
      <c r="L154" s="25"/>
      <c r="M154" s="25"/>
      <c r="N154" s="25"/>
      <c r="O154" s="25"/>
      <c r="P154" s="53">
        <v>0</v>
      </c>
      <c r="Q154" s="25"/>
      <c r="R154" s="5"/>
    </row>
    <row r="155" spans="1:18" ht="15.6" x14ac:dyDescent="0.3">
      <c r="A155" s="24"/>
      <c r="B155" s="25" t="s">
        <v>61</v>
      </c>
      <c r="C155" s="25"/>
      <c r="D155" s="25"/>
      <c r="E155" s="25"/>
      <c r="F155" s="25"/>
      <c r="G155" s="25"/>
      <c r="H155" s="25"/>
      <c r="I155" s="25"/>
      <c r="J155" s="25"/>
      <c r="K155" s="25"/>
      <c r="L155" s="25"/>
      <c r="M155" s="25"/>
      <c r="N155" s="25"/>
      <c r="O155" s="25"/>
      <c r="P155" s="53">
        <f>-P115</f>
        <v>528</v>
      </c>
      <c r="Q155" s="25"/>
      <c r="R155" s="5"/>
    </row>
    <row r="156" spans="1:18" ht="15.6" x14ac:dyDescent="0.3">
      <c r="A156" s="24"/>
      <c r="B156" s="25" t="s">
        <v>62</v>
      </c>
      <c r="C156" s="25"/>
      <c r="D156" s="25"/>
      <c r="E156" s="25"/>
      <c r="F156" s="25"/>
      <c r="G156" s="25"/>
      <c r="H156" s="25"/>
      <c r="I156" s="25"/>
      <c r="J156" s="25"/>
      <c r="K156" s="25"/>
      <c r="L156" s="25"/>
      <c r="M156" s="25"/>
      <c r="N156" s="25"/>
      <c r="O156" s="25"/>
      <c r="P156" s="53">
        <f>P155+P154</f>
        <v>528</v>
      </c>
      <c r="Q156" s="25"/>
      <c r="R156" s="5"/>
    </row>
    <row r="157" spans="1:18" ht="15.6" x14ac:dyDescent="0.3">
      <c r="A157" s="24"/>
      <c r="B157" s="403" t="s">
        <v>297</v>
      </c>
      <c r="C157" s="25"/>
      <c r="D157" s="25"/>
      <c r="E157" s="25"/>
      <c r="F157" s="25"/>
      <c r="G157" s="25"/>
      <c r="H157" s="25"/>
      <c r="I157" s="25"/>
      <c r="J157" s="25"/>
      <c r="K157" s="25"/>
      <c r="L157" s="25"/>
      <c r="M157" s="25"/>
      <c r="N157" s="25"/>
      <c r="O157" s="25"/>
      <c r="P157" s="53">
        <f>P115</f>
        <v>-528</v>
      </c>
      <c r="Q157" s="25"/>
      <c r="R157" s="5"/>
    </row>
    <row r="158" spans="1:18" ht="15.6" x14ac:dyDescent="0.3">
      <c r="A158" s="24"/>
      <c r="B158" s="25" t="s">
        <v>63</v>
      </c>
      <c r="C158" s="25"/>
      <c r="D158" s="25"/>
      <c r="E158" s="25"/>
      <c r="F158" s="25"/>
      <c r="G158" s="25"/>
      <c r="H158" s="25"/>
      <c r="I158" s="25"/>
      <c r="J158" s="25"/>
      <c r="K158" s="25"/>
      <c r="L158" s="25"/>
      <c r="M158" s="25"/>
      <c r="N158" s="25"/>
      <c r="O158" s="25"/>
      <c r="P158" s="53">
        <f>P156+P157</f>
        <v>0</v>
      </c>
      <c r="Q158" s="25"/>
      <c r="R158" s="5"/>
    </row>
    <row r="159" spans="1:18" ht="15.6" x14ac:dyDescent="0.3">
      <c r="A159" s="24"/>
      <c r="B159" s="25" t="s">
        <v>268</v>
      </c>
      <c r="C159" s="25"/>
      <c r="D159" s="25"/>
      <c r="E159" s="25"/>
      <c r="F159" s="25"/>
      <c r="G159" s="25"/>
      <c r="H159" s="25"/>
      <c r="I159" s="25"/>
      <c r="J159" s="25"/>
      <c r="K159" s="25"/>
      <c r="L159" s="25"/>
      <c r="M159" s="25"/>
      <c r="N159" s="25"/>
      <c r="O159" s="25"/>
      <c r="P159" s="53">
        <v>0</v>
      </c>
      <c r="Q159" s="25"/>
      <c r="R159" s="5"/>
    </row>
    <row r="160" spans="1:18" ht="16.2" thickBot="1" x14ac:dyDescent="0.35">
      <c r="A160" s="24"/>
      <c r="B160" s="25"/>
      <c r="C160" s="25"/>
      <c r="D160" s="25"/>
      <c r="E160" s="25"/>
      <c r="F160" s="25"/>
      <c r="G160" s="25"/>
      <c r="H160" s="25"/>
      <c r="I160" s="25"/>
      <c r="J160" s="25"/>
      <c r="K160" s="25"/>
      <c r="L160" s="25"/>
      <c r="M160" s="25"/>
      <c r="N160" s="25"/>
      <c r="O160" s="25"/>
      <c r="P160" s="61"/>
      <c r="Q160" s="25"/>
      <c r="R160" s="5"/>
    </row>
    <row r="161" spans="1:19" ht="15.6" x14ac:dyDescent="0.3">
      <c r="A161" s="2"/>
      <c r="B161" s="4"/>
      <c r="C161" s="4"/>
      <c r="D161" s="4"/>
      <c r="E161" s="4"/>
      <c r="F161" s="4"/>
      <c r="G161" s="4"/>
      <c r="H161" s="4"/>
      <c r="I161" s="4"/>
      <c r="J161" s="4"/>
      <c r="K161" s="4"/>
      <c r="L161" s="4"/>
      <c r="M161" s="4"/>
      <c r="N161" s="4"/>
      <c r="O161" s="4"/>
      <c r="P161" s="50"/>
      <c r="Q161" s="4"/>
      <c r="R161" s="5"/>
    </row>
    <row r="162" spans="1:19" ht="15.6" x14ac:dyDescent="0.3">
      <c r="A162" s="6"/>
      <c r="B162" s="119" t="s">
        <v>64</v>
      </c>
      <c r="C162" s="8"/>
      <c r="D162" s="8"/>
      <c r="E162" s="8"/>
      <c r="F162" s="8"/>
      <c r="G162" s="8"/>
      <c r="H162" s="8"/>
      <c r="I162" s="8"/>
      <c r="J162" s="8"/>
      <c r="K162" s="8"/>
      <c r="L162" s="8"/>
      <c r="M162" s="8"/>
      <c r="N162" s="8"/>
      <c r="O162" s="8"/>
      <c r="P162" s="52"/>
      <c r="Q162" s="8"/>
      <c r="R162" s="5"/>
    </row>
    <row r="163" spans="1:19" ht="15.6" x14ac:dyDescent="0.3">
      <c r="A163" s="6"/>
      <c r="B163" s="21"/>
      <c r="C163" s="8"/>
      <c r="D163" s="8"/>
      <c r="E163" s="8"/>
      <c r="F163" s="8"/>
      <c r="G163" s="8"/>
      <c r="H163" s="8"/>
      <c r="I163" s="8"/>
      <c r="J163" s="8"/>
      <c r="K163" s="8"/>
      <c r="L163" s="8"/>
      <c r="M163" s="8"/>
      <c r="N163" s="8"/>
      <c r="O163" s="8"/>
      <c r="P163" s="52"/>
      <c r="Q163" s="8"/>
      <c r="R163" s="5"/>
    </row>
    <row r="164" spans="1:19" ht="15.6" x14ac:dyDescent="0.3">
      <c r="A164" s="24"/>
      <c r="B164" s="25" t="s">
        <v>221</v>
      </c>
      <c r="C164" s="25"/>
      <c r="D164" s="25"/>
      <c r="E164" s="25"/>
      <c r="F164" s="25"/>
      <c r="G164" s="25"/>
      <c r="H164" s="25"/>
      <c r="I164" s="25"/>
      <c r="J164" s="25"/>
      <c r="K164" s="25"/>
      <c r="L164" s="25"/>
      <c r="M164" s="25"/>
      <c r="N164" s="25"/>
      <c r="O164" s="25"/>
      <c r="P164" s="53">
        <f>P73</f>
        <v>411668</v>
      </c>
      <c r="Q164" s="25"/>
      <c r="R164" s="5"/>
    </row>
    <row r="165" spans="1:19" ht="15.6" x14ac:dyDescent="0.3">
      <c r="A165" s="24"/>
      <c r="B165" s="25" t="s">
        <v>273</v>
      </c>
      <c r="C165" s="25"/>
      <c r="D165" s="25"/>
      <c r="E165" s="25"/>
      <c r="F165" s="25"/>
      <c r="G165" s="25"/>
      <c r="H165" s="25"/>
      <c r="I165" s="25"/>
      <c r="J165" s="25"/>
      <c r="K165" s="25"/>
      <c r="L165" s="25"/>
      <c r="M165" s="25"/>
      <c r="N165" s="25"/>
      <c r="O165" s="25"/>
      <c r="P165" s="53">
        <f>+P86</f>
        <v>0</v>
      </c>
      <c r="Q165" s="25"/>
      <c r="R165" s="5"/>
    </row>
    <row r="166" spans="1:19" ht="15.6" x14ac:dyDescent="0.3">
      <c r="A166" s="24"/>
      <c r="B166" s="25" t="s">
        <v>65</v>
      </c>
      <c r="C166" s="25"/>
      <c r="D166" s="25"/>
      <c r="E166" s="25"/>
      <c r="F166" s="25"/>
      <c r="G166" s="25"/>
      <c r="H166" s="25"/>
      <c r="I166" s="25"/>
      <c r="J166" s="25"/>
      <c r="K166" s="25"/>
      <c r="L166" s="25"/>
      <c r="M166" s="25"/>
      <c r="N166" s="25"/>
      <c r="O166" s="25"/>
      <c r="P166" s="53">
        <f>P38</f>
        <v>411667.68633601756</v>
      </c>
      <c r="Q166" s="25"/>
      <c r="R166" s="5"/>
      <c r="S166" s="109"/>
    </row>
    <row r="167" spans="1:19" ht="16.2" thickBot="1" x14ac:dyDescent="0.35">
      <c r="A167" s="24"/>
      <c r="B167" s="25"/>
      <c r="C167" s="25"/>
      <c r="D167" s="25"/>
      <c r="E167" s="25"/>
      <c r="F167" s="25"/>
      <c r="G167" s="25"/>
      <c r="H167" s="25"/>
      <c r="I167" s="25"/>
      <c r="J167" s="25"/>
      <c r="K167" s="25"/>
      <c r="L167" s="25"/>
      <c r="M167" s="25"/>
      <c r="N167" s="25"/>
      <c r="O167" s="25"/>
      <c r="P167" s="61"/>
      <c r="Q167" s="25"/>
      <c r="R167" s="5"/>
    </row>
    <row r="168" spans="1:19" ht="15.6" x14ac:dyDescent="0.3">
      <c r="A168" s="2"/>
      <c r="B168" s="4"/>
      <c r="C168" s="4"/>
      <c r="D168" s="4"/>
      <c r="E168" s="4"/>
      <c r="F168" s="4"/>
      <c r="G168" s="4"/>
      <c r="H168" s="4"/>
      <c r="I168" s="4"/>
      <c r="J168" s="4"/>
      <c r="K168" s="4"/>
      <c r="L168" s="4"/>
      <c r="M168" s="4"/>
      <c r="N168" s="4"/>
      <c r="O168" s="4"/>
      <c r="P168" s="50"/>
      <c r="Q168" s="4"/>
      <c r="R168" s="5"/>
    </row>
    <row r="169" spans="1:19" ht="15.6" x14ac:dyDescent="0.3">
      <c r="A169" s="6"/>
      <c r="B169" s="119" t="s">
        <v>66</v>
      </c>
      <c r="C169" s="117"/>
      <c r="D169" s="117"/>
      <c r="E169" s="117"/>
      <c r="F169" s="120"/>
      <c r="G169" s="120"/>
      <c r="H169" s="120"/>
      <c r="I169" s="120"/>
      <c r="J169" s="120"/>
      <c r="K169" s="120"/>
      <c r="L169" s="120"/>
      <c r="M169" s="120" t="s">
        <v>112</v>
      </c>
      <c r="N169" s="120" t="s">
        <v>120</v>
      </c>
      <c r="O169" s="111"/>
      <c r="P169" s="121" t="s">
        <v>129</v>
      </c>
      <c r="Q169" s="10"/>
      <c r="R169" s="5"/>
    </row>
    <row r="170" spans="1:19" ht="15.6" x14ac:dyDescent="0.3">
      <c r="A170" s="24"/>
      <c r="B170" s="25" t="s">
        <v>67</v>
      </c>
      <c r="C170" s="25"/>
      <c r="D170" s="25"/>
      <c r="E170" s="25"/>
      <c r="F170" s="25"/>
      <c r="G170" s="25"/>
      <c r="H170" s="25"/>
      <c r="I170" s="25"/>
      <c r="J170" s="25"/>
      <c r="K170" s="25"/>
      <c r="L170" s="25"/>
      <c r="M170" s="53">
        <v>144000</v>
      </c>
      <c r="N170" s="40">
        <v>0</v>
      </c>
      <c r="O170" s="25"/>
      <c r="P170" s="53"/>
      <c r="Q170" s="25"/>
      <c r="R170" s="5"/>
    </row>
    <row r="171" spans="1:19" ht="15.6" x14ac:dyDescent="0.3">
      <c r="A171" s="24"/>
      <c r="B171" s="25" t="s">
        <v>68</v>
      </c>
      <c r="C171" s="25"/>
      <c r="D171" s="25"/>
      <c r="E171" s="25"/>
      <c r="F171" s="25"/>
      <c r="G171" s="25"/>
      <c r="H171" s="25"/>
      <c r="I171" s="25"/>
      <c r="J171" s="25"/>
      <c r="K171" s="25"/>
      <c r="L171" s="25"/>
      <c r="M171" s="53">
        <f>+'Jan 10'!M173</f>
        <v>85749</v>
      </c>
      <c r="N171" s="53">
        <f>+'Jan 10'!N173</f>
        <v>10193</v>
      </c>
      <c r="O171" s="25"/>
      <c r="P171" s="53">
        <f>M171+N171</f>
        <v>95942</v>
      </c>
      <c r="Q171" s="25"/>
      <c r="R171" s="5"/>
    </row>
    <row r="172" spans="1:19" ht="15.6" x14ac:dyDescent="0.3">
      <c r="A172" s="24"/>
      <c r="B172" s="25" t="s">
        <v>69</v>
      </c>
      <c r="C172" s="25"/>
      <c r="D172" s="25"/>
      <c r="E172" s="25"/>
      <c r="F172" s="25"/>
      <c r="G172" s="25"/>
      <c r="H172" s="25"/>
      <c r="I172" s="25"/>
      <c r="J172" s="25"/>
      <c r="K172" s="25"/>
      <c r="L172" s="25"/>
      <c r="M172" s="34">
        <f>583+4</f>
        <v>587</v>
      </c>
      <c r="N172" s="34">
        <f>-N100-N122</f>
        <v>10</v>
      </c>
      <c r="O172" s="25"/>
      <c r="P172" s="53">
        <f>M172+N172</f>
        <v>597</v>
      </c>
      <c r="Q172" s="25"/>
      <c r="R172" s="5"/>
    </row>
    <row r="173" spans="1:19" ht="15.6" x14ac:dyDescent="0.3">
      <c r="A173" s="24"/>
      <c r="B173" s="25" t="s">
        <v>70</v>
      </c>
      <c r="C173" s="25"/>
      <c r="D173" s="25"/>
      <c r="E173" s="25"/>
      <c r="F173" s="25"/>
      <c r="G173" s="25"/>
      <c r="H173" s="25"/>
      <c r="I173" s="25"/>
      <c r="J173" s="25"/>
      <c r="K173" s="25"/>
      <c r="L173" s="25"/>
      <c r="M173" s="53">
        <f>M171+M172</f>
        <v>86336</v>
      </c>
      <c r="N173" s="53">
        <f>N172+N171</f>
        <v>10203</v>
      </c>
      <c r="O173" s="25"/>
      <c r="P173" s="53">
        <f>M173+N173</f>
        <v>96539</v>
      </c>
      <c r="Q173" s="25"/>
      <c r="R173" s="5"/>
    </row>
    <row r="174" spans="1:19" ht="15.6" x14ac:dyDescent="0.3">
      <c r="A174" s="24"/>
      <c r="B174" s="25" t="s">
        <v>71</v>
      </c>
      <c r="C174" s="25"/>
      <c r="D174" s="25"/>
      <c r="E174" s="25"/>
      <c r="F174" s="25"/>
      <c r="G174" s="25"/>
      <c r="H174" s="25"/>
      <c r="I174" s="25"/>
      <c r="J174" s="25"/>
      <c r="K174" s="25"/>
      <c r="L174" s="25"/>
      <c r="M174" s="53">
        <f>M170-M173-N173</f>
        <v>47461</v>
      </c>
      <c r="N174" s="40"/>
      <c r="O174" s="25"/>
      <c r="P174" s="53"/>
      <c r="Q174" s="25"/>
      <c r="R174" s="5"/>
    </row>
    <row r="175" spans="1:19" ht="16.2" thickBot="1" x14ac:dyDescent="0.35">
      <c r="A175" s="24"/>
      <c r="B175" s="25"/>
      <c r="C175" s="25"/>
      <c r="D175" s="25"/>
      <c r="E175" s="25"/>
      <c r="F175" s="25"/>
      <c r="G175" s="25"/>
      <c r="H175" s="25"/>
      <c r="I175" s="25"/>
      <c r="J175" s="25"/>
      <c r="K175" s="25"/>
      <c r="L175" s="25"/>
      <c r="M175" s="25"/>
      <c r="N175" s="25"/>
      <c r="O175" s="25"/>
      <c r="P175" s="61"/>
      <c r="Q175" s="25"/>
      <c r="R175" s="5"/>
    </row>
    <row r="176" spans="1:19" ht="15.6" x14ac:dyDescent="0.3">
      <c r="A176" s="2"/>
      <c r="B176" s="4"/>
      <c r="C176" s="4"/>
      <c r="D176" s="4"/>
      <c r="E176" s="4"/>
      <c r="F176" s="4"/>
      <c r="G176" s="4"/>
      <c r="H176" s="4"/>
      <c r="I176" s="4"/>
      <c r="J176" s="4"/>
      <c r="K176" s="4"/>
      <c r="L176" s="4"/>
      <c r="M176" s="4"/>
      <c r="N176" s="4"/>
      <c r="O176" s="4"/>
      <c r="P176" s="50"/>
      <c r="Q176" s="4"/>
      <c r="R176" s="5"/>
    </row>
    <row r="177" spans="1:18" ht="15.6" x14ac:dyDescent="0.3">
      <c r="A177" s="6"/>
      <c r="B177" s="119" t="s">
        <v>72</v>
      </c>
      <c r="C177" s="8"/>
      <c r="D177" s="8"/>
      <c r="E177" s="8"/>
      <c r="F177" s="8"/>
      <c r="G177" s="8"/>
      <c r="H177" s="8"/>
      <c r="I177" s="8"/>
      <c r="J177" s="8"/>
      <c r="K177" s="8"/>
      <c r="L177" s="8"/>
      <c r="M177" s="8"/>
      <c r="N177" s="8"/>
      <c r="O177" s="8"/>
      <c r="P177" s="65"/>
      <c r="Q177" s="8"/>
      <c r="R177" s="5"/>
    </row>
    <row r="178" spans="1:18" ht="15.6" x14ac:dyDescent="0.3">
      <c r="A178" s="24"/>
      <c r="B178" s="25" t="s">
        <v>73</v>
      </c>
      <c r="C178" s="25"/>
      <c r="D178" s="25"/>
      <c r="E178" s="25"/>
      <c r="F178" s="25"/>
      <c r="G178" s="25"/>
      <c r="H178" s="25"/>
      <c r="I178" s="25"/>
      <c r="J178" s="25"/>
      <c r="K178" s="25"/>
      <c r="L178" s="25"/>
      <c r="M178" s="25"/>
      <c r="N178" s="25"/>
      <c r="O178" s="25"/>
      <c r="P178" s="66">
        <f>(P103+P105+P106+P107+P108)/-(P109+P110+P111)</f>
        <v>3.4090909090909092</v>
      </c>
      <c r="Q178" s="25" t="s">
        <v>130</v>
      </c>
      <c r="R178" s="5"/>
    </row>
    <row r="179" spans="1:18" ht="15.6" x14ac:dyDescent="0.3">
      <c r="A179" s="24"/>
      <c r="B179" s="25" t="s">
        <v>74</v>
      </c>
      <c r="C179" s="25"/>
      <c r="D179" s="25"/>
      <c r="E179" s="25"/>
      <c r="F179" s="25"/>
      <c r="G179" s="25"/>
      <c r="H179" s="25"/>
      <c r="I179" s="25"/>
      <c r="J179" s="25"/>
      <c r="K179" s="25"/>
      <c r="L179" s="25"/>
      <c r="M179" s="25"/>
      <c r="N179" s="25"/>
      <c r="O179" s="25"/>
      <c r="P179" s="66">
        <v>1.44</v>
      </c>
      <c r="Q179" s="25" t="s">
        <v>130</v>
      </c>
      <c r="R179" s="5"/>
    </row>
    <row r="180" spans="1:18" ht="15.6" x14ac:dyDescent="0.3">
      <c r="A180" s="24"/>
      <c r="B180" s="25" t="s">
        <v>75</v>
      </c>
      <c r="C180" s="25"/>
      <c r="D180" s="25"/>
      <c r="E180" s="25"/>
      <c r="F180" s="25"/>
      <c r="G180" s="25"/>
      <c r="H180" s="25"/>
      <c r="I180" s="25"/>
      <c r="J180" s="25"/>
      <c r="K180" s="25"/>
      <c r="L180" s="25"/>
      <c r="M180" s="25"/>
      <c r="N180" s="25"/>
      <c r="O180" s="25"/>
      <c r="P180" s="59">
        <f>(P103+P105+P106+P107+P108+P109+P110+P111)/-(P112+P113)</f>
        <v>5.6489028213166144</v>
      </c>
      <c r="Q180" s="25" t="s">
        <v>130</v>
      </c>
      <c r="R180" s="5"/>
    </row>
    <row r="181" spans="1:18" ht="15.6" x14ac:dyDescent="0.3">
      <c r="A181" s="24"/>
      <c r="B181" s="25" t="s">
        <v>76</v>
      </c>
      <c r="C181" s="25"/>
      <c r="D181" s="25"/>
      <c r="E181" s="25"/>
      <c r="F181" s="25"/>
      <c r="G181" s="25"/>
      <c r="H181" s="25"/>
      <c r="I181" s="25"/>
      <c r="J181" s="25"/>
      <c r="K181" s="25"/>
      <c r="L181" s="25"/>
      <c r="M181" s="25"/>
      <c r="N181" s="25"/>
      <c r="O181" s="25"/>
      <c r="P181" s="66">
        <v>2.4</v>
      </c>
      <c r="Q181" s="25" t="s">
        <v>130</v>
      </c>
      <c r="R181" s="5"/>
    </row>
    <row r="182" spans="1:18" ht="15.6" x14ac:dyDescent="0.3">
      <c r="A182" s="24"/>
      <c r="B182" s="25"/>
      <c r="C182" s="25"/>
      <c r="D182" s="25"/>
      <c r="E182" s="25"/>
      <c r="F182" s="25"/>
      <c r="G182" s="25"/>
      <c r="H182" s="25"/>
      <c r="I182" s="25"/>
      <c r="J182" s="25"/>
      <c r="K182" s="25"/>
      <c r="L182" s="25"/>
      <c r="M182" s="25"/>
      <c r="N182" s="25"/>
      <c r="O182" s="25"/>
      <c r="P182" s="25"/>
      <c r="Q182" s="25"/>
      <c r="R182" s="5"/>
    </row>
    <row r="183" spans="1:18" ht="15.6" x14ac:dyDescent="0.3">
      <c r="A183" s="24"/>
      <c r="B183" s="25"/>
      <c r="C183" s="25"/>
      <c r="D183" s="25"/>
      <c r="E183" s="25"/>
      <c r="F183" s="25"/>
      <c r="G183" s="25"/>
      <c r="H183" s="25"/>
      <c r="I183" s="25"/>
      <c r="J183" s="25"/>
      <c r="K183" s="25"/>
      <c r="L183" s="25"/>
      <c r="M183" s="25"/>
      <c r="N183" s="25"/>
      <c r="O183" s="25"/>
      <c r="P183" s="25"/>
      <c r="Q183" s="25"/>
      <c r="R183" s="5"/>
    </row>
    <row r="184" spans="1:18" ht="15.6" x14ac:dyDescent="0.3">
      <c r="A184" s="6"/>
      <c r="B184" s="8"/>
      <c r="C184" s="8"/>
      <c r="D184" s="8"/>
      <c r="E184" s="8"/>
      <c r="F184" s="8"/>
      <c r="G184" s="8"/>
      <c r="H184" s="8"/>
      <c r="I184" s="8"/>
      <c r="J184" s="8"/>
      <c r="K184" s="8"/>
      <c r="L184" s="8"/>
      <c r="M184" s="8"/>
      <c r="N184" s="8"/>
      <c r="O184" s="8"/>
      <c r="P184" s="8"/>
      <c r="Q184" s="8"/>
      <c r="R184" s="5"/>
    </row>
    <row r="185" spans="1:18" ht="18" thickBot="1" x14ac:dyDescent="0.35">
      <c r="A185" s="101"/>
      <c r="B185" s="102" t="str">
        <f>B133</f>
        <v>PM7 INVESTOR REPORT QUARTER ENDING APRIL 2010</v>
      </c>
      <c r="C185" s="143"/>
      <c r="D185" s="143"/>
      <c r="E185" s="143"/>
      <c r="F185" s="143"/>
      <c r="G185" s="143"/>
      <c r="H185" s="143"/>
      <c r="I185" s="143"/>
      <c r="J185" s="143"/>
      <c r="K185" s="143"/>
      <c r="L185" s="143"/>
      <c r="M185" s="143"/>
      <c r="N185" s="143"/>
      <c r="O185" s="143"/>
      <c r="P185" s="143"/>
      <c r="Q185" s="144"/>
      <c r="R185" s="5"/>
    </row>
    <row r="186" spans="1:18" ht="15.6" x14ac:dyDescent="0.3">
      <c r="A186" s="67"/>
      <c r="B186" s="60" t="s">
        <v>77</v>
      </c>
      <c r="C186" s="68"/>
      <c r="D186" s="68"/>
      <c r="E186" s="69"/>
      <c r="F186" s="69"/>
      <c r="G186" s="69"/>
      <c r="H186" s="69"/>
      <c r="I186" s="69"/>
      <c r="J186" s="69"/>
      <c r="K186" s="69"/>
      <c r="L186" s="69"/>
      <c r="M186" s="69"/>
      <c r="N186" s="70">
        <f>H90</f>
        <v>40298</v>
      </c>
      <c r="O186" s="4"/>
      <c r="P186" s="4"/>
      <c r="Q186" s="4"/>
      <c r="R186" s="5"/>
    </row>
    <row r="187" spans="1:18" ht="15.6" x14ac:dyDescent="0.3">
      <c r="A187" s="71"/>
      <c r="B187" s="72"/>
      <c r="C187" s="73"/>
      <c r="D187" s="73"/>
      <c r="E187" s="74"/>
      <c r="F187" s="74"/>
      <c r="G187" s="74"/>
      <c r="H187" s="74"/>
      <c r="I187" s="74"/>
      <c r="J187" s="74"/>
      <c r="K187" s="74"/>
      <c r="L187" s="74"/>
      <c r="M187" s="74"/>
      <c r="N187" s="74"/>
      <c r="O187" s="8"/>
      <c r="P187" s="8"/>
      <c r="Q187" s="8"/>
      <c r="R187" s="5"/>
    </row>
    <row r="188" spans="1:18" ht="15.6" x14ac:dyDescent="0.3">
      <c r="A188" s="75"/>
      <c r="B188" s="76" t="s">
        <v>78</v>
      </c>
      <c r="C188" s="77"/>
      <c r="D188" s="77"/>
      <c r="E188" s="64"/>
      <c r="F188" s="64"/>
      <c r="G188" s="64"/>
      <c r="H188" s="64"/>
      <c r="I188" s="64"/>
      <c r="J188" s="64"/>
      <c r="K188" s="64"/>
      <c r="L188" s="64"/>
      <c r="M188" s="64"/>
      <c r="N188" s="78">
        <v>5.8069999999999997E-2</v>
      </c>
      <c r="O188" s="25"/>
      <c r="P188" s="25"/>
      <c r="Q188" s="25"/>
      <c r="R188" s="5"/>
    </row>
    <row r="189" spans="1:18" ht="15.6" x14ac:dyDescent="0.3">
      <c r="A189" s="75"/>
      <c r="B189" s="76" t="s">
        <v>219</v>
      </c>
      <c r="C189" s="77"/>
      <c r="D189" s="77"/>
      <c r="E189" s="64"/>
      <c r="F189" s="64"/>
      <c r="G189" s="64"/>
      <c r="H189" s="64"/>
      <c r="I189" s="64"/>
      <c r="J189" s="64"/>
      <c r="K189" s="64"/>
      <c r="L189" s="64"/>
      <c r="M189" s="64"/>
      <c r="N189" s="39">
        <v>5.1499999999999997E-2</v>
      </c>
      <c r="O189" s="25"/>
      <c r="P189" s="25"/>
      <c r="Q189" s="25"/>
      <c r="R189" s="5"/>
    </row>
    <row r="190" spans="1:18" ht="15.6" x14ac:dyDescent="0.3">
      <c r="A190" s="75"/>
      <c r="B190" s="76" t="s">
        <v>79</v>
      </c>
      <c r="C190" s="77"/>
      <c r="D190" s="77"/>
      <c r="E190" s="64"/>
      <c r="F190" s="64"/>
      <c r="G190" s="64"/>
      <c r="H190" s="64"/>
      <c r="I190" s="64"/>
      <c r="J190" s="64"/>
      <c r="K190" s="64"/>
      <c r="L190" s="64"/>
      <c r="M190" s="64"/>
      <c r="N190" s="78">
        <f>N188-N189</f>
        <v>6.5699999999999995E-3</v>
      </c>
      <c r="O190" s="25"/>
      <c r="P190" s="25"/>
      <c r="Q190" s="25"/>
      <c r="R190" s="5"/>
    </row>
    <row r="191" spans="1:18" ht="15.6" x14ac:dyDescent="0.3">
      <c r="A191" s="75"/>
      <c r="B191" s="76" t="s">
        <v>80</v>
      </c>
      <c r="C191" s="77"/>
      <c r="D191" s="77"/>
      <c r="E191" s="64"/>
      <c r="F191" s="64"/>
      <c r="G191" s="64"/>
      <c r="H191" s="64"/>
      <c r="I191" s="64"/>
      <c r="J191" s="64"/>
      <c r="K191" s="64"/>
      <c r="L191" s="64"/>
      <c r="M191" s="64"/>
      <c r="N191" s="78">
        <v>2.8000000000000001E-2</v>
      </c>
      <c r="O191" s="25"/>
      <c r="P191" s="25"/>
      <c r="Q191" s="25"/>
      <c r="R191" s="5"/>
    </row>
    <row r="192" spans="1:18" ht="15.6" x14ac:dyDescent="0.3">
      <c r="A192" s="75"/>
      <c r="B192" s="76" t="s">
        <v>241</v>
      </c>
      <c r="C192" s="77"/>
      <c r="D192" s="77"/>
      <c r="E192" s="64"/>
      <c r="F192" s="64"/>
      <c r="G192" s="64"/>
      <c r="H192" s="64"/>
      <c r="I192" s="64"/>
      <c r="J192" s="64"/>
      <c r="K192" s="64"/>
      <c r="L192" s="64"/>
      <c r="M192" s="64"/>
      <c r="N192" s="78">
        <f>+P45</f>
        <v>1.0440917308837937E-2</v>
      </c>
      <c r="O192" s="25"/>
      <c r="P192" s="25"/>
      <c r="Q192" s="25"/>
      <c r="R192" s="5"/>
    </row>
    <row r="193" spans="1:18" ht="15.6" x14ac:dyDescent="0.3">
      <c r="A193" s="75"/>
      <c r="B193" s="76" t="s">
        <v>81</v>
      </c>
      <c r="C193" s="77"/>
      <c r="D193" s="77"/>
      <c r="E193" s="64"/>
      <c r="F193" s="64"/>
      <c r="G193" s="64"/>
      <c r="H193" s="64"/>
      <c r="I193" s="64"/>
      <c r="J193" s="64"/>
      <c r="K193" s="64"/>
      <c r="L193" s="64"/>
      <c r="M193" s="64"/>
      <c r="N193" s="78">
        <f>N191-N192</f>
        <v>1.7559082691162062E-2</v>
      </c>
      <c r="O193" s="25"/>
      <c r="P193" s="25"/>
      <c r="Q193" s="25"/>
      <c r="R193" s="5"/>
    </row>
    <row r="194" spans="1:18" ht="15.6" x14ac:dyDescent="0.3">
      <c r="A194" s="75"/>
      <c r="B194" s="76" t="s">
        <v>257</v>
      </c>
      <c r="C194" s="77"/>
      <c r="D194" s="77"/>
      <c r="E194" s="64"/>
      <c r="F194" s="64"/>
      <c r="G194" s="64"/>
      <c r="H194" s="64"/>
      <c r="I194" s="64"/>
      <c r="J194" s="64"/>
      <c r="K194" s="64"/>
      <c r="L194" s="64"/>
      <c r="M194" s="64"/>
      <c r="N194" s="78">
        <f>+P103/H73</f>
        <v>8.4799911269925077E-3</v>
      </c>
      <c r="O194" s="25"/>
      <c r="P194" s="25"/>
      <c r="Q194" s="25"/>
      <c r="R194" s="5"/>
    </row>
    <row r="195" spans="1:18" ht="15.6" x14ac:dyDescent="0.3">
      <c r="A195" s="75"/>
      <c r="B195" s="76" t="s">
        <v>170</v>
      </c>
      <c r="C195" s="77"/>
      <c r="D195" s="77"/>
      <c r="E195" s="64"/>
      <c r="F195" s="64"/>
      <c r="G195" s="64"/>
      <c r="H195" s="64"/>
      <c r="I195" s="64"/>
      <c r="J195" s="64"/>
      <c r="K195" s="64"/>
      <c r="L195" s="64"/>
      <c r="M195" s="64"/>
      <c r="N195" s="133">
        <v>49065</v>
      </c>
      <c r="O195" s="25"/>
      <c r="P195" s="25"/>
      <c r="Q195" s="25"/>
      <c r="R195" s="5"/>
    </row>
    <row r="196" spans="1:18" ht="15.6" x14ac:dyDescent="0.3">
      <c r="A196" s="75"/>
      <c r="B196" s="76" t="s">
        <v>171</v>
      </c>
      <c r="C196" s="77"/>
      <c r="D196" s="77"/>
      <c r="E196" s="64"/>
      <c r="F196" s="64"/>
      <c r="G196" s="64"/>
      <c r="H196" s="64"/>
      <c r="I196" s="64"/>
      <c r="J196" s="64"/>
      <c r="K196" s="64"/>
      <c r="L196" s="64"/>
      <c r="M196" s="64"/>
      <c r="N196" s="133">
        <v>49065</v>
      </c>
      <c r="O196" s="25"/>
      <c r="P196" s="25"/>
      <c r="Q196" s="25"/>
      <c r="R196" s="5"/>
    </row>
    <row r="197" spans="1:18" ht="15.6" x14ac:dyDescent="0.3">
      <c r="A197" s="75"/>
      <c r="B197" s="76" t="s">
        <v>172</v>
      </c>
      <c r="C197" s="77"/>
      <c r="D197" s="77"/>
      <c r="E197" s="64"/>
      <c r="F197" s="64"/>
      <c r="G197" s="64"/>
      <c r="H197" s="64"/>
      <c r="I197" s="64"/>
      <c r="J197" s="64"/>
      <c r="K197" s="64"/>
      <c r="L197" s="64"/>
      <c r="M197" s="64"/>
      <c r="N197" s="133">
        <v>49065</v>
      </c>
      <c r="O197" s="25"/>
      <c r="P197" s="25"/>
      <c r="Q197" s="25"/>
      <c r="R197" s="5"/>
    </row>
    <row r="198" spans="1:18" ht="15.6" x14ac:dyDescent="0.3">
      <c r="A198" s="75"/>
      <c r="B198" s="76" t="s">
        <v>138</v>
      </c>
      <c r="C198" s="77"/>
      <c r="D198" s="77"/>
      <c r="E198" s="64"/>
      <c r="F198" s="64"/>
      <c r="G198" s="64"/>
      <c r="H198" s="64"/>
      <c r="I198" s="64"/>
      <c r="J198" s="64"/>
      <c r="K198" s="64"/>
      <c r="L198" s="64"/>
      <c r="M198" s="64"/>
      <c r="N198" s="133">
        <v>52352</v>
      </c>
      <c r="O198" s="25"/>
      <c r="P198" s="25"/>
      <c r="Q198" s="25"/>
      <c r="R198" s="5"/>
    </row>
    <row r="199" spans="1:18" ht="15.6" x14ac:dyDescent="0.3">
      <c r="A199" s="75"/>
      <c r="B199" s="76" t="s">
        <v>139</v>
      </c>
      <c r="C199" s="77"/>
      <c r="D199" s="77"/>
      <c r="E199" s="64"/>
      <c r="F199" s="64"/>
      <c r="G199" s="64"/>
      <c r="H199" s="64"/>
      <c r="I199" s="64"/>
      <c r="J199" s="64"/>
      <c r="K199" s="64"/>
      <c r="L199" s="64"/>
      <c r="M199" s="64"/>
      <c r="N199" s="133">
        <v>52352</v>
      </c>
      <c r="O199" s="25"/>
      <c r="P199" s="25"/>
      <c r="Q199" s="25"/>
      <c r="R199" s="5"/>
    </row>
    <row r="200" spans="1:18" ht="15.6" x14ac:dyDescent="0.3">
      <c r="A200" s="75"/>
      <c r="B200" s="76" t="s">
        <v>82</v>
      </c>
      <c r="C200" s="77"/>
      <c r="D200" s="77"/>
      <c r="E200" s="64"/>
      <c r="F200" s="64"/>
      <c r="G200" s="64"/>
      <c r="H200" s="64"/>
      <c r="I200" s="64"/>
      <c r="J200" s="64"/>
      <c r="K200" s="64"/>
      <c r="L200" s="64"/>
      <c r="M200" s="64"/>
      <c r="N200" s="137">
        <v>20.45</v>
      </c>
      <c r="O200" s="25" t="s">
        <v>125</v>
      </c>
      <c r="P200" s="25"/>
      <c r="Q200" s="25"/>
      <c r="R200" s="5"/>
    </row>
    <row r="201" spans="1:18" ht="15.6" x14ac:dyDescent="0.3">
      <c r="A201" s="75"/>
      <c r="B201" s="76" t="s">
        <v>83</v>
      </c>
      <c r="C201" s="77"/>
      <c r="D201" s="77"/>
      <c r="E201" s="64"/>
      <c r="F201" s="64"/>
      <c r="G201" s="64"/>
      <c r="H201" s="64"/>
      <c r="I201" s="64"/>
      <c r="J201" s="64"/>
      <c r="K201" s="64"/>
      <c r="L201" s="64"/>
      <c r="M201" s="64"/>
      <c r="N201" s="137">
        <v>16.09</v>
      </c>
      <c r="O201" s="25" t="s">
        <v>125</v>
      </c>
      <c r="P201" s="25"/>
      <c r="Q201" s="25"/>
      <c r="R201" s="5"/>
    </row>
    <row r="202" spans="1:18" ht="15.6" x14ac:dyDescent="0.3">
      <c r="A202" s="75"/>
      <c r="B202" s="76" t="s">
        <v>84</v>
      </c>
      <c r="C202" s="77"/>
      <c r="D202" s="77"/>
      <c r="E202" s="64"/>
      <c r="F202" s="64"/>
      <c r="G202" s="64"/>
      <c r="H202" s="64"/>
      <c r="I202" s="64"/>
      <c r="J202" s="64"/>
      <c r="K202" s="64"/>
      <c r="L202" s="64"/>
      <c r="M202" s="64"/>
      <c r="N202" s="78">
        <f>J70/H70</f>
        <v>8.8488960580217525E-3</v>
      </c>
      <c r="O202" s="25"/>
      <c r="P202" s="25"/>
      <c r="Q202" s="25"/>
      <c r="R202" s="5"/>
    </row>
    <row r="203" spans="1:18" ht="15.6" x14ac:dyDescent="0.3">
      <c r="A203" s="75"/>
      <c r="B203" s="76" t="s">
        <v>85</v>
      </c>
      <c r="C203" s="77"/>
      <c r="D203" s="77"/>
      <c r="E203" s="64"/>
      <c r="F203" s="64"/>
      <c r="G203" s="64"/>
      <c r="H203" s="64"/>
      <c r="I203" s="64"/>
      <c r="J203" s="64"/>
      <c r="K203" s="64"/>
      <c r="L203" s="64"/>
      <c r="M203" s="64"/>
      <c r="N203" s="78">
        <v>0.14660000000000001</v>
      </c>
      <c r="O203" s="25"/>
      <c r="P203" s="25"/>
      <c r="Q203" s="25"/>
      <c r="R203" s="5"/>
    </row>
    <row r="204" spans="1:18" ht="15.6" x14ac:dyDescent="0.3">
      <c r="A204" s="75"/>
      <c r="B204" s="76"/>
      <c r="C204" s="76"/>
      <c r="D204" s="76"/>
      <c r="E204" s="25"/>
      <c r="F204" s="25"/>
      <c r="G204" s="25"/>
      <c r="H204" s="25"/>
      <c r="I204" s="25"/>
      <c r="J204" s="25"/>
      <c r="K204" s="25"/>
      <c r="L204" s="25"/>
      <c r="M204" s="25"/>
      <c r="N204" s="61"/>
      <c r="O204" s="25"/>
      <c r="P204" s="79"/>
      <c r="Q204" s="25"/>
      <c r="R204" s="5"/>
    </row>
    <row r="205" spans="1:18" ht="15.6" x14ac:dyDescent="0.3">
      <c r="A205" s="80"/>
      <c r="B205" s="14" t="s">
        <v>86</v>
      </c>
      <c r="C205" s="81"/>
      <c r="D205" s="82"/>
      <c r="E205" s="81"/>
      <c r="F205" s="17"/>
      <c r="G205" s="17"/>
      <c r="H205" s="17"/>
      <c r="I205" s="17"/>
      <c r="J205" s="17"/>
      <c r="K205" s="17"/>
      <c r="L205" s="17"/>
      <c r="M205" s="17" t="s">
        <v>113</v>
      </c>
      <c r="N205" s="83" t="s">
        <v>121</v>
      </c>
      <c r="O205" s="8"/>
      <c r="P205" s="8"/>
      <c r="Q205" s="8"/>
      <c r="R205" s="5"/>
    </row>
    <row r="206" spans="1:18" ht="15.6" x14ac:dyDescent="0.3">
      <c r="A206" s="84"/>
      <c r="B206" s="76" t="s">
        <v>87</v>
      </c>
      <c r="C206" s="54"/>
      <c r="D206" s="25"/>
      <c r="E206" s="25"/>
      <c r="F206" s="30"/>
      <c r="G206" s="30"/>
      <c r="H206" s="30"/>
      <c r="I206" s="30"/>
      <c r="J206" s="30"/>
      <c r="K206" s="30"/>
      <c r="L206" s="30"/>
      <c r="M206" s="30">
        <v>2</v>
      </c>
      <c r="N206" s="177">
        <v>50</v>
      </c>
      <c r="O206" s="25"/>
      <c r="P206" s="79"/>
      <c r="Q206" s="86"/>
      <c r="R206" s="5"/>
    </row>
    <row r="207" spans="1:18" ht="15.6" x14ac:dyDescent="0.3">
      <c r="A207" s="84"/>
      <c r="B207" s="76" t="s">
        <v>203</v>
      </c>
      <c r="C207" s="54"/>
      <c r="D207" s="25"/>
      <c r="E207" s="25"/>
      <c r="F207" s="30"/>
      <c r="G207" s="30"/>
      <c r="H207" s="30"/>
      <c r="I207" s="30"/>
      <c r="J207" s="30"/>
      <c r="K207" s="30"/>
      <c r="L207" s="30"/>
      <c r="M207" s="151">
        <f>+L244</f>
        <v>83</v>
      </c>
      <c r="N207" s="85">
        <f>+N244</f>
        <v>12657</v>
      </c>
      <c r="O207" s="25"/>
      <c r="P207" s="79"/>
      <c r="Q207" s="86"/>
      <c r="R207" s="5"/>
    </row>
    <row r="208" spans="1:18" ht="15.6" x14ac:dyDescent="0.3">
      <c r="A208" s="84"/>
      <c r="B208" s="76" t="s">
        <v>88</v>
      </c>
      <c r="C208" s="54"/>
      <c r="D208" s="25"/>
      <c r="E208" s="25"/>
      <c r="F208" s="30"/>
      <c r="G208" s="30"/>
      <c r="H208" s="30"/>
      <c r="I208" s="30"/>
      <c r="J208" s="30"/>
      <c r="K208" s="30"/>
      <c r="L208" s="30"/>
      <c r="M208" s="151">
        <f>+L255</f>
        <v>0</v>
      </c>
      <c r="N208" s="85">
        <f>+N255</f>
        <v>0</v>
      </c>
      <c r="O208" s="25"/>
      <c r="P208" s="79"/>
      <c r="Q208" s="86"/>
      <c r="R208" s="5"/>
    </row>
    <row r="209" spans="1:18" ht="15.6" x14ac:dyDescent="0.3">
      <c r="A209" s="84"/>
      <c r="B209" s="122" t="s">
        <v>89</v>
      </c>
      <c r="C209" s="54"/>
      <c r="D209" s="25"/>
      <c r="E209" s="25"/>
      <c r="F209" s="25"/>
      <c r="G209" s="25"/>
      <c r="H209" s="25"/>
      <c r="I209" s="25"/>
      <c r="J209" s="25"/>
      <c r="K209" s="25"/>
      <c r="L209" s="25"/>
      <c r="M209" s="25"/>
      <c r="N209" s="85">
        <v>0</v>
      </c>
      <c r="O209" s="25"/>
      <c r="P209" s="79"/>
      <c r="Q209" s="86"/>
      <c r="R209" s="5"/>
    </row>
    <row r="210" spans="1:18" ht="15.6" x14ac:dyDescent="0.3">
      <c r="A210" s="84"/>
      <c r="B210" s="122" t="s">
        <v>90</v>
      </c>
      <c r="C210" s="54"/>
      <c r="D210" s="25"/>
      <c r="E210" s="25"/>
      <c r="F210" s="25"/>
      <c r="G210" s="25"/>
      <c r="H210" s="25"/>
      <c r="I210" s="25"/>
      <c r="J210" s="25"/>
      <c r="K210" s="25"/>
      <c r="L210" s="25"/>
      <c r="M210" s="25"/>
      <c r="N210" s="62" t="s">
        <v>122</v>
      </c>
      <c r="O210" s="25"/>
      <c r="P210" s="79"/>
      <c r="Q210" s="86"/>
      <c r="R210" s="5"/>
    </row>
    <row r="211" spans="1:18" ht="15.6" x14ac:dyDescent="0.3">
      <c r="A211" s="87"/>
      <c r="B211" s="122" t="s">
        <v>91</v>
      </c>
      <c r="C211" s="76"/>
      <c r="D211" s="76"/>
      <c r="E211" s="25"/>
      <c r="F211" s="25"/>
      <c r="G211" s="25"/>
      <c r="H211" s="25"/>
      <c r="I211" s="25"/>
      <c r="J211" s="167"/>
      <c r="K211" s="25"/>
      <c r="L211" s="25"/>
      <c r="M211" s="25"/>
      <c r="N211" s="85"/>
      <c r="O211" s="25"/>
      <c r="P211" s="79"/>
      <c r="Q211" s="88"/>
      <c r="R211" s="5"/>
    </row>
    <row r="212" spans="1:18" ht="15.6" x14ac:dyDescent="0.3">
      <c r="A212" s="87"/>
      <c r="B212" s="135" t="s">
        <v>92</v>
      </c>
      <c r="C212" s="76"/>
      <c r="D212" s="76"/>
      <c r="E212" s="25"/>
      <c r="F212" s="25"/>
      <c r="G212" s="25"/>
      <c r="H212" s="25"/>
      <c r="I212" s="25"/>
      <c r="J212" s="25"/>
      <c r="K212" s="25"/>
      <c r="L212" s="25"/>
      <c r="M212" s="25"/>
      <c r="N212" s="85">
        <f>P155</f>
        <v>528</v>
      </c>
      <c r="O212" s="25"/>
      <c r="P212" s="79"/>
      <c r="Q212" s="88"/>
      <c r="R212" s="5"/>
    </row>
    <row r="213" spans="1:18" ht="15.6" x14ac:dyDescent="0.3">
      <c r="A213" s="84"/>
      <c r="B213" s="76" t="s">
        <v>93</v>
      </c>
      <c r="C213" s="54"/>
      <c r="D213" s="54"/>
      <c r="E213" s="25"/>
      <c r="F213" s="25"/>
      <c r="G213" s="25"/>
      <c r="H213" s="25"/>
      <c r="I213" s="25"/>
      <c r="J213" s="25"/>
      <c r="K213" s="25"/>
      <c r="L213" s="25"/>
      <c r="M213" s="25"/>
      <c r="N213" s="85">
        <f>'Jan 10'!N213+'April 10'!N212</f>
        <v>2930</v>
      </c>
      <c r="O213" s="25"/>
      <c r="P213" s="79"/>
      <c r="Q213" s="88"/>
      <c r="R213" s="5"/>
    </row>
    <row r="214" spans="1:18" ht="15.6" x14ac:dyDescent="0.3">
      <c r="A214" s="87"/>
      <c r="B214" s="122" t="s">
        <v>278</v>
      </c>
      <c r="C214" s="76"/>
      <c r="D214" s="76"/>
      <c r="E214" s="25"/>
      <c r="F214" s="25"/>
      <c r="G214" s="25"/>
      <c r="H214" s="25"/>
      <c r="I214" s="25"/>
      <c r="J214" s="25"/>
      <c r="K214" s="25"/>
      <c r="L214" s="25"/>
      <c r="M214" s="25"/>
      <c r="N214" s="85"/>
      <c r="O214" s="25"/>
      <c r="P214" s="79"/>
      <c r="Q214" s="88"/>
      <c r="R214" s="5"/>
    </row>
    <row r="215" spans="1:18" ht="15.6" x14ac:dyDescent="0.3">
      <c r="A215" s="87"/>
      <c r="B215" s="76" t="s">
        <v>276</v>
      </c>
      <c r="C215" s="76"/>
      <c r="D215" s="76"/>
      <c r="E215" s="25"/>
      <c r="F215" s="25"/>
      <c r="G215" s="25"/>
      <c r="H215" s="25"/>
      <c r="I215" s="25"/>
      <c r="J215" s="25"/>
      <c r="K215" s="25"/>
      <c r="L215" s="25"/>
      <c r="M215" s="30">
        <v>0</v>
      </c>
      <c r="N215" s="177">
        <v>0</v>
      </c>
      <c r="O215" s="25"/>
      <c r="P215" s="79"/>
      <c r="Q215" s="88"/>
      <c r="R215" s="5"/>
    </row>
    <row r="216" spans="1:18" ht="15.6" x14ac:dyDescent="0.3">
      <c r="A216" s="84"/>
      <c r="B216" s="76" t="s">
        <v>95</v>
      </c>
      <c r="C216" s="89"/>
      <c r="D216" s="90"/>
      <c r="E216" s="25"/>
      <c r="F216" s="25"/>
      <c r="G216" s="25"/>
      <c r="H216" s="25"/>
      <c r="I216" s="25"/>
      <c r="J216" s="25"/>
      <c r="K216" s="25"/>
      <c r="L216" s="25"/>
      <c r="M216" s="25"/>
      <c r="N216" s="178">
        <v>0</v>
      </c>
      <c r="O216" s="25"/>
      <c r="P216" s="79"/>
      <c r="Q216" s="88"/>
      <c r="R216" s="5"/>
    </row>
    <row r="217" spans="1:18" ht="15.6" x14ac:dyDescent="0.3">
      <c r="A217" s="84"/>
      <c r="B217" s="76" t="s">
        <v>96</v>
      </c>
      <c r="C217" s="89"/>
      <c r="D217" s="90"/>
      <c r="E217" s="25"/>
      <c r="F217" s="25"/>
      <c r="G217" s="25"/>
      <c r="H217" s="25"/>
      <c r="I217" s="25"/>
      <c r="J217" s="25"/>
      <c r="K217" s="25"/>
      <c r="L217" s="25"/>
      <c r="M217" s="25"/>
      <c r="N217" s="178">
        <v>0</v>
      </c>
      <c r="O217" s="25"/>
      <c r="P217" s="79"/>
      <c r="Q217" s="88"/>
      <c r="R217" s="5"/>
    </row>
    <row r="218" spans="1:18" ht="15.6" x14ac:dyDescent="0.3">
      <c r="A218" s="84"/>
      <c r="B218" s="122" t="s">
        <v>251</v>
      </c>
      <c r="C218" s="89"/>
      <c r="D218" s="90"/>
      <c r="E218" s="25"/>
      <c r="F218" s="25"/>
      <c r="G218" s="25"/>
      <c r="H218" s="25"/>
      <c r="I218" s="25"/>
      <c r="J218" s="25"/>
      <c r="K218" s="25"/>
      <c r="L218" s="25"/>
      <c r="M218" s="25"/>
      <c r="N218" s="179"/>
      <c r="O218" s="25"/>
      <c r="P218" s="79"/>
      <c r="Q218" s="88"/>
      <c r="R218" s="5"/>
    </row>
    <row r="219" spans="1:18" ht="15.6" x14ac:dyDescent="0.3">
      <c r="A219" s="84"/>
      <c r="B219" s="76" t="s">
        <v>276</v>
      </c>
      <c r="C219" s="89"/>
      <c r="D219" s="90"/>
      <c r="E219" s="25"/>
      <c r="F219" s="25"/>
      <c r="G219" s="25"/>
      <c r="H219" s="25"/>
      <c r="I219" s="25"/>
      <c r="J219" s="25"/>
      <c r="K219" s="25"/>
      <c r="L219" s="25"/>
      <c r="M219" s="30">
        <v>8</v>
      </c>
      <c r="N219" s="177">
        <v>1146</v>
      </c>
      <c r="O219" s="25"/>
      <c r="P219" s="79"/>
      <c r="Q219" s="88"/>
      <c r="R219" s="5"/>
    </row>
    <row r="220" spans="1:18" ht="15.6" x14ac:dyDescent="0.3">
      <c r="A220" s="84"/>
      <c r="B220" s="76" t="s">
        <v>252</v>
      </c>
      <c r="C220" s="89"/>
      <c r="D220" s="90"/>
      <c r="E220" s="25"/>
      <c r="F220" s="25"/>
      <c r="G220" s="25"/>
      <c r="H220" s="25"/>
      <c r="I220" s="25"/>
      <c r="J220" s="25"/>
      <c r="K220" s="25"/>
      <c r="L220" s="25"/>
      <c r="M220" s="25"/>
      <c r="N220" s="178">
        <v>21.34</v>
      </c>
      <c r="O220" s="25"/>
      <c r="P220" s="79"/>
      <c r="Q220" s="88"/>
      <c r="R220" s="5"/>
    </row>
    <row r="221" spans="1:18" ht="15.6" x14ac:dyDescent="0.3">
      <c r="A221" s="84"/>
      <c r="B221" s="76"/>
      <c r="C221" s="89"/>
      <c r="D221" s="90"/>
      <c r="E221" s="25"/>
      <c r="F221" s="25"/>
      <c r="G221" s="25"/>
      <c r="H221" s="25"/>
      <c r="I221" s="25"/>
      <c r="J221" s="25"/>
      <c r="K221" s="25"/>
      <c r="L221" s="25"/>
      <c r="M221" s="25"/>
      <c r="N221" s="91"/>
      <c r="O221" s="25"/>
      <c r="P221" s="79"/>
      <c r="Q221" s="88"/>
      <c r="R221" s="5"/>
    </row>
    <row r="222" spans="1:18" ht="17.399999999999999" x14ac:dyDescent="0.3">
      <c r="A222" s="84"/>
      <c r="B222" s="160" t="s">
        <v>244</v>
      </c>
      <c r="C222" s="161"/>
      <c r="D222" s="162"/>
      <c r="E222" s="163"/>
      <c r="F222" s="163"/>
      <c r="G222" s="163"/>
      <c r="H222" s="163"/>
      <c r="I222" s="166"/>
      <c r="J222" s="169" t="s">
        <v>243</v>
      </c>
      <c r="K222" s="163"/>
      <c r="L222" s="163"/>
      <c r="M222" s="25"/>
      <c r="N222" s="91"/>
      <c r="O222" s="25"/>
      <c r="P222" s="79"/>
      <c r="Q222" s="88"/>
      <c r="R222" s="5"/>
    </row>
    <row r="223" spans="1:18" ht="15.6" x14ac:dyDescent="0.3">
      <c r="A223" s="84"/>
      <c r="B223" s="156"/>
      <c r="C223" s="157"/>
      <c r="D223" s="158"/>
      <c r="E223" s="146"/>
      <c r="F223" s="146"/>
      <c r="G223" s="146"/>
      <c r="H223" s="146"/>
      <c r="I223" s="146"/>
      <c r="J223" s="146"/>
      <c r="K223" s="146"/>
      <c r="L223" s="146"/>
      <c r="M223" s="25"/>
      <c r="N223" s="91"/>
      <c r="O223" s="25"/>
      <c r="P223" s="79"/>
      <c r="Q223" s="88"/>
      <c r="R223" s="5"/>
    </row>
    <row r="224" spans="1:18" ht="15.6" x14ac:dyDescent="0.3">
      <c r="A224" s="6"/>
      <c r="B224" s="14" t="s">
        <v>236</v>
      </c>
      <c r="C224" s="81"/>
      <c r="D224" s="82"/>
      <c r="E224" s="81"/>
      <c r="F224" s="17"/>
      <c r="G224" s="17"/>
      <c r="H224" s="17"/>
      <c r="I224" s="17"/>
      <c r="J224" s="17"/>
      <c r="K224" s="17"/>
      <c r="L224" s="83" t="s">
        <v>113</v>
      </c>
      <c r="M224" s="17" t="s">
        <v>114</v>
      </c>
      <c r="N224" s="83" t="s">
        <v>123</v>
      </c>
      <c r="O224" s="17" t="s">
        <v>114</v>
      </c>
      <c r="P224" s="8"/>
      <c r="Q224" s="92"/>
      <c r="R224" s="5"/>
    </row>
    <row r="225" spans="1:18" ht="15.6" x14ac:dyDescent="0.3">
      <c r="A225" s="24"/>
      <c r="B225" s="54" t="s">
        <v>98</v>
      </c>
      <c r="C225" s="93"/>
      <c r="D225" s="25"/>
      <c r="E225" s="93"/>
      <c r="F225" s="93"/>
      <c r="G225" s="93"/>
      <c r="H225" s="93"/>
      <c r="I225" s="93"/>
      <c r="J225" s="93"/>
      <c r="K225" s="93"/>
      <c r="L225" s="54">
        <v>3568</v>
      </c>
      <c r="M225" s="94">
        <f t="shared" ref="M225:M232" si="1">L225/$L$233</f>
        <v>0.98891352549889133</v>
      </c>
      <c r="N225" s="53">
        <v>394940</v>
      </c>
      <c r="O225" s="136">
        <f t="shared" ref="O225:O232" si="2">N225/$N$233</f>
        <v>0.98979727375936999</v>
      </c>
      <c r="P225" s="79"/>
      <c r="Q225" s="88"/>
      <c r="R225" s="5"/>
    </row>
    <row r="226" spans="1:18" ht="15.6" x14ac:dyDescent="0.3">
      <c r="A226" s="24"/>
      <c r="B226" s="54" t="s">
        <v>99</v>
      </c>
      <c r="C226" s="93"/>
      <c r="D226" s="25"/>
      <c r="E226" s="94"/>
      <c r="F226" s="93"/>
      <c r="G226" s="93"/>
      <c r="H226" s="93"/>
      <c r="I226" s="93"/>
      <c r="J226" s="93"/>
      <c r="K226" s="93"/>
      <c r="L226" s="54">
        <v>20</v>
      </c>
      <c r="M226" s="94">
        <f t="shared" si="1"/>
        <v>5.5432372505543242E-3</v>
      </c>
      <c r="N226" s="53">
        <v>2532</v>
      </c>
      <c r="O226" s="136">
        <f t="shared" si="2"/>
        <v>6.3456897178273278E-3</v>
      </c>
      <c r="P226" s="79"/>
      <c r="Q226" s="88"/>
      <c r="R226" s="5"/>
    </row>
    <row r="227" spans="1:18" ht="15.6" x14ac:dyDescent="0.3">
      <c r="A227" s="24"/>
      <c r="B227" s="54" t="s">
        <v>100</v>
      </c>
      <c r="C227" s="93"/>
      <c r="D227" s="25"/>
      <c r="E227" s="94"/>
      <c r="F227" s="93"/>
      <c r="G227" s="93"/>
      <c r="H227" s="93"/>
      <c r="I227" s="93"/>
      <c r="J227" s="93"/>
      <c r="K227" s="93"/>
      <c r="L227" s="54">
        <v>7</v>
      </c>
      <c r="M227" s="94">
        <f t="shared" si="1"/>
        <v>1.9401330376940134E-3</v>
      </c>
      <c r="N227" s="53">
        <v>983</v>
      </c>
      <c r="O227" s="136">
        <f t="shared" si="2"/>
        <v>2.4635912293144799E-3</v>
      </c>
      <c r="P227" s="79"/>
      <c r="Q227" s="88"/>
      <c r="R227" s="5"/>
    </row>
    <row r="228" spans="1:18" ht="15.6" x14ac:dyDescent="0.3">
      <c r="A228" s="24"/>
      <c r="B228" s="54" t="s">
        <v>227</v>
      </c>
      <c r="C228" s="93"/>
      <c r="D228" s="25"/>
      <c r="E228" s="94"/>
      <c r="F228" s="93"/>
      <c r="G228" s="93"/>
      <c r="H228" s="93"/>
      <c r="I228" s="93"/>
      <c r="J228" s="93"/>
      <c r="K228" s="93"/>
      <c r="L228" s="54">
        <v>5</v>
      </c>
      <c r="M228" s="94">
        <f t="shared" si="1"/>
        <v>1.385809312638581E-3</v>
      </c>
      <c r="N228" s="53">
        <v>165</v>
      </c>
      <c r="O228" s="136">
        <f t="shared" si="2"/>
        <v>4.1352243421860551E-4</v>
      </c>
      <c r="P228" s="79"/>
      <c r="Q228" s="88"/>
      <c r="R228" s="5"/>
    </row>
    <row r="229" spans="1:18" ht="15.6" x14ac:dyDescent="0.3">
      <c r="A229" s="24"/>
      <c r="B229" s="54" t="s">
        <v>228</v>
      </c>
      <c r="C229" s="93"/>
      <c r="D229" s="25"/>
      <c r="E229" s="94"/>
      <c r="F229" s="93"/>
      <c r="G229" s="93"/>
      <c r="H229" s="93"/>
      <c r="I229" s="93"/>
      <c r="J229" s="93"/>
      <c r="K229" s="93"/>
      <c r="L229" s="54">
        <v>1</v>
      </c>
      <c r="M229" s="94">
        <f t="shared" si="1"/>
        <v>2.7716186252771619E-4</v>
      </c>
      <c r="N229" s="53">
        <v>15</v>
      </c>
      <c r="O229" s="136">
        <f t="shared" si="2"/>
        <v>3.7592948565327775E-5</v>
      </c>
      <c r="P229" s="79"/>
      <c r="Q229" s="88"/>
      <c r="R229" s="5"/>
    </row>
    <row r="230" spans="1:18" ht="15.6" x14ac:dyDescent="0.3">
      <c r="A230" s="24"/>
      <c r="B230" s="54" t="s">
        <v>229</v>
      </c>
      <c r="C230" s="93"/>
      <c r="D230" s="25"/>
      <c r="E230" s="94"/>
      <c r="F230" s="93"/>
      <c r="G230" s="93"/>
      <c r="H230" s="93"/>
      <c r="I230" s="93"/>
      <c r="J230" s="93"/>
      <c r="K230" s="93"/>
      <c r="L230" s="54">
        <v>2</v>
      </c>
      <c r="M230" s="94">
        <f t="shared" si="1"/>
        <v>5.5432372505543237E-4</v>
      </c>
      <c r="N230" s="53">
        <v>171</v>
      </c>
      <c r="O230" s="136">
        <f t="shared" si="2"/>
        <v>4.285596136447366E-4</v>
      </c>
      <c r="P230" s="79"/>
      <c r="Q230" s="88"/>
      <c r="R230" s="5"/>
    </row>
    <row r="231" spans="1:18" ht="15.6" x14ac:dyDescent="0.3">
      <c r="A231" s="24"/>
      <c r="B231" s="54" t="s">
        <v>230</v>
      </c>
      <c r="C231" s="93"/>
      <c r="D231" s="25"/>
      <c r="E231" s="94"/>
      <c r="F231" s="93"/>
      <c r="G231" s="93"/>
      <c r="H231" s="93"/>
      <c r="I231" s="93"/>
      <c r="J231" s="93"/>
      <c r="K231" s="93"/>
      <c r="L231" s="54">
        <v>5</v>
      </c>
      <c r="M231" s="94">
        <f t="shared" si="1"/>
        <v>1.385809312638581E-3</v>
      </c>
      <c r="N231" s="53">
        <v>205</v>
      </c>
      <c r="O231" s="136">
        <f t="shared" si="2"/>
        <v>5.1377029705947954E-4</v>
      </c>
      <c r="P231" s="79"/>
      <c r="Q231" s="88"/>
      <c r="R231" s="5"/>
    </row>
    <row r="232" spans="1:18" ht="15.6" x14ac:dyDescent="0.3">
      <c r="A232" s="24"/>
      <c r="B232" s="54" t="s">
        <v>231</v>
      </c>
      <c r="C232" s="93"/>
      <c r="D232" s="25"/>
      <c r="E232" s="94"/>
      <c r="F232" s="93"/>
      <c r="G232" s="93"/>
      <c r="H232" s="93"/>
      <c r="I232" s="93"/>
      <c r="J232" s="93"/>
      <c r="K232" s="93"/>
      <c r="L232" s="54">
        <v>0</v>
      </c>
      <c r="M232" s="94">
        <f t="shared" si="1"/>
        <v>0</v>
      </c>
      <c r="N232" s="53">
        <v>0</v>
      </c>
      <c r="O232" s="136">
        <f t="shared" si="2"/>
        <v>0</v>
      </c>
      <c r="P232" s="79"/>
      <c r="Q232" s="88"/>
      <c r="R232" s="5"/>
    </row>
    <row r="233" spans="1:18" ht="15.6" x14ac:dyDescent="0.3">
      <c r="A233" s="24"/>
      <c r="B233" s="25" t="s">
        <v>129</v>
      </c>
      <c r="C233" s="25"/>
      <c r="D233" s="25"/>
      <c r="E233" s="25"/>
      <c r="F233" s="95"/>
      <c r="G233" s="95"/>
      <c r="H233" s="95"/>
      <c r="I233" s="95"/>
      <c r="J233" s="95"/>
      <c r="K233" s="95"/>
      <c r="L233" s="34">
        <f>SUM(L225:L232)</f>
        <v>3608</v>
      </c>
      <c r="M233" s="136">
        <f>SUM(M225:M232)</f>
        <v>0.99999999999999989</v>
      </c>
      <c r="N233" s="53">
        <f>SUM(N225:N232)</f>
        <v>399011</v>
      </c>
      <c r="O233" s="136">
        <f>SUM(O225:O232)</f>
        <v>1</v>
      </c>
      <c r="P233" s="25"/>
      <c r="Q233" s="25"/>
      <c r="R233" s="5"/>
    </row>
    <row r="234" spans="1:18" ht="15.6" x14ac:dyDescent="0.3">
      <c r="A234" s="24"/>
      <c r="B234" s="25"/>
      <c r="C234" s="25"/>
      <c r="D234" s="25"/>
      <c r="E234" s="25"/>
      <c r="F234" s="95"/>
      <c r="G234" s="95"/>
      <c r="H234" s="95"/>
      <c r="I234" s="95"/>
      <c r="J234" s="95"/>
      <c r="K234" s="95"/>
      <c r="L234" s="34"/>
      <c r="M234" s="136"/>
      <c r="N234" s="53"/>
      <c r="O234" s="136"/>
      <c r="P234" s="25"/>
      <c r="Q234" s="25"/>
      <c r="R234" s="5"/>
    </row>
    <row r="235" spans="1:18" ht="15.6" x14ac:dyDescent="0.3">
      <c r="A235" s="148"/>
      <c r="B235" s="14" t="s">
        <v>238</v>
      </c>
      <c r="C235" s="81"/>
      <c r="D235" s="82"/>
      <c r="E235" s="81"/>
      <c r="F235" s="17"/>
      <c r="G235" s="17"/>
      <c r="H235" s="17"/>
      <c r="I235" s="17"/>
      <c r="J235" s="17"/>
      <c r="K235" s="17"/>
      <c r="L235" s="83" t="s">
        <v>113</v>
      </c>
      <c r="M235" s="17" t="s">
        <v>114</v>
      </c>
      <c r="N235" s="83" t="s">
        <v>123</v>
      </c>
      <c r="O235" s="17" t="s">
        <v>114</v>
      </c>
      <c r="P235" s="8"/>
      <c r="Q235" s="149"/>
      <c r="R235" s="5"/>
    </row>
    <row r="236" spans="1:18" ht="15.6" x14ac:dyDescent="0.3">
      <c r="A236" s="24"/>
      <c r="B236" s="54" t="s">
        <v>98</v>
      </c>
      <c r="C236" s="93"/>
      <c r="D236" s="25"/>
      <c r="E236" s="93"/>
      <c r="F236" s="93"/>
      <c r="G236" s="93"/>
      <c r="H236" s="93"/>
      <c r="I236" s="93"/>
      <c r="J236" s="93"/>
      <c r="K236" s="93"/>
      <c r="L236" s="54">
        <v>46</v>
      </c>
      <c r="M236" s="94">
        <f t="shared" ref="M236:M243" si="3">L236/$L$244</f>
        <v>0.55421686746987953</v>
      </c>
      <c r="N236" s="53">
        <v>5954</v>
      </c>
      <c r="O236" s="136">
        <f t="shared" ref="O236:O243" si="4">N236/$N$244</f>
        <v>0.47041162992810304</v>
      </c>
      <c r="P236" s="79"/>
      <c r="Q236" s="25"/>
      <c r="R236" s="5"/>
    </row>
    <row r="237" spans="1:18" ht="15.6" x14ac:dyDescent="0.3">
      <c r="A237" s="24"/>
      <c r="B237" s="54" t="s">
        <v>99</v>
      </c>
      <c r="C237" s="93"/>
      <c r="D237" s="25"/>
      <c r="E237" s="94"/>
      <c r="F237" s="93"/>
      <c r="G237" s="93"/>
      <c r="H237" s="93"/>
      <c r="I237" s="93"/>
      <c r="J237" s="93"/>
      <c r="K237" s="93"/>
      <c r="L237" s="54">
        <v>8</v>
      </c>
      <c r="M237" s="94">
        <f t="shared" si="3"/>
        <v>9.6385542168674704E-2</v>
      </c>
      <c r="N237" s="53">
        <v>1142</v>
      </c>
      <c r="O237" s="136">
        <f t="shared" si="4"/>
        <v>9.022675199494351E-2</v>
      </c>
      <c r="P237" s="79"/>
      <c r="Q237" s="25"/>
      <c r="R237" s="5"/>
    </row>
    <row r="238" spans="1:18" ht="15.6" x14ac:dyDescent="0.3">
      <c r="A238" s="24"/>
      <c r="B238" s="54" t="s">
        <v>100</v>
      </c>
      <c r="C238" s="93"/>
      <c r="D238" s="25"/>
      <c r="E238" s="94"/>
      <c r="F238" s="93"/>
      <c r="G238" s="93"/>
      <c r="H238" s="93"/>
      <c r="I238" s="93"/>
      <c r="J238" s="93"/>
      <c r="K238" s="93"/>
      <c r="L238" s="54">
        <v>9</v>
      </c>
      <c r="M238" s="94">
        <f t="shared" si="3"/>
        <v>0.10843373493975904</v>
      </c>
      <c r="N238" s="53">
        <v>1231</v>
      </c>
      <c r="O238" s="136">
        <f t="shared" si="4"/>
        <v>9.725843406810461E-2</v>
      </c>
      <c r="P238" s="79"/>
      <c r="Q238" s="25"/>
      <c r="R238" s="5"/>
    </row>
    <row r="239" spans="1:18" ht="15.6" x14ac:dyDescent="0.3">
      <c r="A239" s="24"/>
      <c r="B239" s="54" t="s">
        <v>227</v>
      </c>
      <c r="C239" s="93"/>
      <c r="D239" s="25"/>
      <c r="E239" s="94"/>
      <c r="F239" s="93"/>
      <c r="G239" s="93"/>
      <c r="H239" s="93"/>
      <c r="I239" s="93"/>
      <c r="J239" s="93"/>
      <c r="K239" s="93"/>
      <c r="L239" s="54">
        <v>1</v>
      </c>
      <c r="M239" s="94">
        <f t="shared" si="3"/>
        <v>1.2048192771084338E-2</v>
      </c>
      <c r="N239" s="53">
        <v>179</v>
      </c>
      <c r="O239" s="136">
        <f t="shared" si="4"/>
        <v>1.4142371810065576E-2</v>
      </c>
      <c r="P239" s="79"/>
      <c r="Q239" s="25"/>
      <c r="R239" s="5"/>
    </row>
    <row r="240" spans="1:18" ht="15.6" x14ac:dyDescent="0.3">
      <c r="A240" s="24"/>
      <c r="B240" s="54" t="s">
        <v>228</v>
      </c>
      <c r="C240" s="93"/>
      <c r="D240" s="25"/>
      <c r="E240" s="94"/>
      <c r="F240" s="93"/>
      <c r="G240" s="93"/>
      <c r="H240" s="93"/>
      <c r="I240" s="93"/>
      <c r="J240" s="93"/>
      <c r="K240" s="93"/>
      <c r="L240" s="54">
        <v>1</v>
      </c>
      <c r="M240" s="94">
        <f t="shared" si="3"/>
        <v>1.2048192771084338E-2</v>
      </c>
      <c r="N240" s="53">
        <v>169</v>
      </c>
      <c r="O240" s="136">
        <f t="shared" si="4"/>
        <v>1.3352295172631746E-2</v>
      </c>
      <c r="P240" s="79"/>
      <c r="Q240" s="25"/>
      <c r="R240" s="5"/>
    </row>
    <row r="241" spans="1:18" ht="15.6" x14ac:dyDescent="0.3">
      <c r="A241" s="24"/>
      <c r="B241" s="54" t="s">
        <v>229</v>
      </c>
      <c r="C241" s="93"/>
      <c r="D241" s="25"/>
      <c r="E241" s="94"/>
      <c r="F241" s="93"/>
      <c r="G241" s="93"/>
      <c r="H241" s="93"/>
      <c r="I241" s="93"/>
      <c r="J241" s="93"/>
      <c r="K241" s="93"/>
      <c r="L241" s="54">
        <v>0</v>
      </c>
      <c r="M241" s="94">
        <f t="shared" si="3"/>
        <v>0</v>
      </c>
      <c r="N241" s="53">
        <v>0</v>
      </c>
      <c r="O241" s="136">
        <f t="shared" si="4"/>
        <v>0</v>
      </c>
      <c r="P241" s="79"/>
      <c r="Q241" s="25"/>
      <c r="R241" s="5"/>
    </row>
    <row r="242" spans="1:18" ht="15.6" x14ac:dyDescent="0.3">
      <c r="A242" s="24"/>
      <c r="B242" s="54" t="s">
        <v>230</v>
      </c>
      <c r="C242" s="93"/>
      <c r="D242" s="25"/>
      <c r="E242" s="94"/>
      <c r="F242" s="93"/>
      <c r="G242" s="93"/>
      <c r="H242" s="93"/>
      <c r="I242" s="93"/>
      <c r="J242" s="93"/>
      <c r="K242" s="93"/>
      <c r="L242" s="54">
        <v>4</v>
      </c>
      <c r="M242" s="94">
        <f t="shared" si="3"/>
        <v>4.8192771084337352E-2</v>
      </c>
      <c r="N242" s="53">
        <v>535</v>
      </c>
      <c r="O242" s="136">
        <f t="shared" si="4"/>
        <v>4.2269100102709962E-2</v>
      </c>
      <c r="P242" s="79"/>
      <c r="Q242" s="25"/>
      <c r="R242" s="5"/>
    </row>
    <row r="243" spans="1:18" ht="15.6" x14ac:dyDescent="0.3">
      <c r="A243" s="24"/>
      <c r="B243" s="54" t="s">
        <v>231</v>
      </c>
      <c r="C243" s="93"/>
      <c r="D243" s="25"/>
      <c r="E243" s="94"/>
      <c r="F243" s="93"/>
      <c r="G243" s="93"/>
      <c r="H243" s="93"/>
      <c r="I243" s="93"/>
      <c r="J243" s="93"/>
      <c r="K243" s="93"/>
      <c r="L243" s="54">
        <v>14</v>
      </c>
      <c r="M243" s="94">
        <f t="shared" si="3"/>
        <v>0.16867469879518071</v>
      </c>
      <c r="N243" s="53">
        <v>3447</v>
      </c>
      <c r="O243" s="136">
        <f t="shared" si="4"/>
        <v>0.27233941692344155</v>
      </c>
      <c r="P243" s="79"/>
      <c r="Q243" s="25"/>
      <c r="R243" s="5"/>
    </row>
    <row r="244" spans="1:18" ht="15.6" x14ac:dyDescent="0.3">
      <c r="A244" s="24"/>
      <c r="B244" s="25" t="s">
        <v>129</v>
      </c>
      <c r="C244" s="25"/>
      <c r="D244" s="25"/>
      <c r="E244" s="25"/>
      <c r="F244" s="95"/>
      <c r="G244" s="95"/>
      <c r="H244" s="95"/>
      <c r="I244" s="95"/>
      <c r="J244" s="95"/>
      <c r="K244" s="95"/>
      <c r="L244" s="34">
        <f>SUM(L236:L243)</f>
        <v>83</v>
      </c>
      <c r="M244" s="136">
        <f>SUM(M236:M243)</f>
        <v>1</v>
      </c>
      <c r="N244" s="53">
        <f>SUM(N236:N243)</f>
        <v>12657</v>
      </c>
      <c r="O244" s="136">
        <f>SUM(O236:O243)</f>
        <v>1</v>
      </c>
      <c r="P244" s="25"/>
      <c r="Q244" s="25"/>
      <c r="R244" s="5"/>
    </row>
    <row r="245" spans="1:18" ht="15.6" x14ac:dyDescent="0.3">
      <c r="A245" s="24"/>
      <c r="B245" s="25"/>
      <c r="C245" s="25"/>
      <c r="D245" s="25"/>
      <c r="E245" s="25"/>
      <c r="F245" s="95"/>
      <c r="G245" s="95"/>
      <c r="H245" s="95"/>
      <c r="I245" s="95"/>
      <c r="J245" s="95"/>
      <c r="K245" s="95"/>
      <c r="L245" s="34"/>
      <c r="M245" s="136"/>
      <c r="N245" s="53"/>
      <c r="O245" s="136"/>
      <c r="P245" s="25"/>
      <c r="Q245" s="25"/>
      <c r="R245" s="5"/>
    </row>
    <row r="246" spans="1:18" ht="15.6" x14ac:dyDescent="0.3">
      <c r="A246" s="148"/>
      <c r="B246" s="14" t="s">
        <v>239</v>
      </c>
      <c r="C246" s="81"/>
      <c r="D246" s="82"/>
      <c r="E246" s="81"/>
      <c r="F246" s="17"/>
      <c r="G246" s="17"/>
      <c r="H246" s="17"/>
      <c r="I246" s="17"/>
      <c r="J246" s="17"/>
      <c r="K246" s="17"/>
      <c r="L246" s="83" t="s">
        <v>113</v>
      </c>
      <c r="M246" s="17" t="s">
        <v>114</v>
      </c>
      <c r="N246" s="83" t="s">
        <v>123</v>
      </c>
      <c r="O246" s="17" t="s">
        <v>114</v>
      </c>
      <c r="P246" s="150"/>
      <c r="Q246" s="149"/>
      <c r="R246" s="5"/>
    </row>
    <row r="247" spans="1:18" ht="15.6" x14ac:dyDescent="0.3">
      <c r="A247" s="24"/>
      <c r="B247" s="54" t="s">
        <v>98</v>
      </c>
      <c r="C247" s="93"/>
      <c r="D247" s="25"/>
      <c r="E247" s="93"/>
      <c r="F247" s="93"/>
      <c r="G247" s="93"/>
      <c r="H247" s="93"/>
      <c r="I247" s="93"/>
      <c r="J247" s="93"/>
      <c r="K247" s="93"/>
      <c r="L247" s="54">
        <v>0</v>
      </c>
      <c r="M247" s="136">
        <v>0</v>
      </c>
      <c r="N247" s="53">
        <v>0</v>
      </c>
      <c r="O247" s="136">
        <v>0</v>
      </c>
      <c r="P247" s="25"/>
      <c r="Q247" s="25"/>
      <c r="R247" s="5"/>
    </row>
    <row r="248" spans="1:18" ht="15.6" x14ac:dyDescent="0.3">
      <c r="A248" s="24"/>
      <c r="B248" s="54" t="s">
        <v>99</v>
      </c>
      <c r="C248" s="93"/>
      <c r="D248" s="25"/>
      <c r="E248" s="94"/>
      <c r="F248" s="93"/>
      <c r="G248" s="93"/>
      <c r="H248" s="93"/>
      <c r="I248" s="93"/>
      <c r="J248" s="93"/>
      <c r="K248" s="93"/>
      <c r="L248" s="54">
        <v>0</v>
      </c>
      <c r="M248" s="136">
        <v>0</v>
      </c>
      <c r="N248" s="53">
        <v>0</v>
      </c>
      <c r="O248" s="136">
        <v>0</v>
      </c>
      <c r="P248" s="25"/>
      <c r="Q248" s="25"/>
      <c r="R248" s="5"/>
    </row>
    <row r="249" spans="1:18" ht="15.6" x14ac:dyDescent="0.3">
      <c r="A249" s="24"/>
      <c r="B249" s="54" t="s">
        <v>100</v>
      </c>
      <c r="C249" s="93"/>
      <c r="D249" s="25"/>
      <c r="E249" s="94"/>
      <c r="F249" s="93"/>
      <c r="G249" s="93"/>
      <c r="H249" s="93"/>
      <c r="I249" s="93"/>
      <c r="J249" s="93"/>
      <c r="K249" s="93"/>
      <c r="L249" s="54">
        <v>0</v>
      </c>
      <c r="M249" s="136">
        <v>0</v>
      </c>
      <c r="N249" s="53">
        <v>0</v>
      </c>
      <c r="O249" s="136">
        <v>0</v>
      </c>
      <c r="P249" s="25"/>
      <c r="Q249" s="25"/>
      <c r="R249" s="5"/>
    </row>
    <row r="250" spans="1:18" ht="15.6" x14ac:dyDescent="0.3">
      <c r="A250" s="24"/>
      <c r="B250" s="54" t="s">
        <v>227</v>
      </c>
      <c r="C250" s="93"/>
      <c r="D250" s="25"/>
      <c r="E250" s="94"/>
      <c r="F250" s="93"/>
      <c r="G250" s="93"/>
      <c r="H250" s="93"/>
      <c r="I250" s="93"/>
      <c r="J250" s="93"/>
      <c r="K250" s="93"/>
      <c r="L250" s="54">
        <v>0</v>
      </c>
      <c r="M250" s="136">
        <v>0</v>
      </c>
      <c r="N250" s="53">
        <v>0</v>
      </c>
      <c r="O250" s="136">
        <v>0</v>
      </c>
      <c r="P250" s="25"/>
      <c r="Q250" s="25"/>
      <c r="R250" s="5"/>
    </row>
    <row r="251" spans="1:18" ht="15.6" x14ac:dyDescent="0.3">
      <c r="A251" s="24"/>
      <c r="B251" s="54" t="s">
        <v>228</v>
      </c>
      <c r="C251" s="93"/>
      <c r="D251" s="25"/>
      <c r="E251" s="94"/>
      <c r="F251" s="93"/>
      <c r="G251" s="93"/>
      <c r="H251" s="93"/>
      <c r="I251" s="93"/>
      <c r="J251" s="93"/>
      <c r="K251" s="93"/>
      <c r="L251" s="54">
        <v>0</v>
      </c>
      <c r="M251" s="136">
        <v>0</v>
      </c>
      <c r="N251" s="53">
        <v>0</v>
      </c>
      <c r="O251" s="136">
        <v>0</v>
      </c>
      <c r="P251" s="25"/>
      <c r="Q251" s="25"/>
      <c r="R251" s="5"/>
    </row>
    <row r="252" spans="1:18" ht="15.6" x14ac:dyDescent="0.3">
      <c r="A252" s="24"/>
      <c r="B252" s="54" t="s">
        <v>229</v>
      </c>
      <c r="C252" s="93"/>
      <c r="D252" s="25"/>
      <c r="E252" s="94"/>
      <c r="F252" s="93"/>
      <c r="G252" s="93"/>
      <c r="H252" s="93"/>
      <c r="I252" s="93"/>
      <c r="J252" s="93"/>
      <c r="K252" s="93"/>
      <c r="L252" s="54">
        <v>0</v>
      </c>
      <c r="M252" s="136">
        <v>0</v>
      </c>
      <c r="N252" s="53">
        <v>0</v>
      </c>
      <c r="O252" s="136">
        <v>0</v>
      </c>
      <c r="P252" s="25"/>
      <c r="Q252" s="25"/>
      <c r="R252" s="5"/>
    </row>
    <row r="253" spans="1:18" ht="15.6" x14ac:dyDescent="0.3">
      <c r="A253" s="24"/>
      <c r="B253" s="54" t="s">
        <v>230</v>
      </c>
      <c r="C253" s="93"/>
      <c r="D253" s="25"/>
      <c r="E253" s="94"/>
      <c r="F253" s="93"/>
      <c r="G253" s="93"/>
      <c r="H253" s="93"/>
      <c r="I253" s="93"/>
      <c r="J253" s="93"/>
      <c r="K253" s="93"/>
      <c r="L253" s="54">
        <v>0</v>
      </c>
      <c r="M253" s="136">
        <v>0</v>
      </c>
      <c r="N253" s="53">
        <v>0</v>
      </c>
      <c r="O253" s="136">
        <v>0</v>
      </c>
      <c r="P253" s="25"/>
      <c r="Q253" s="25"/>
      <c r="R253" s="5"/>
    </row>
    <row r="254" spans="1:18" ht="15.6" x14ac:dyDescent="0.3">
      <c r="A254" s="24"/>
      <c r="B254" s="54" t="s">
        <v>231</v>
      </c>
      <c r="C254" s="93"/>
      <c r="D254" s="25"/>
      <c r="E254" s="94"/>
      <c r="F254" s="93"/>
      <c r="G254" s="93"/>
      <c r="H254" s="93"/>
      <c r="I254" s="93"/>
      <c r="J254" s="93"/>
      <c r="K254" s="93"/>
      <c r="L254" s="54">
        <v>0</v>
      </c>
      <c r="M254" s="136">
        <v>0</v>
      </c>
      <c r="N254" s="53">
        <v>0</v>
      </c>
      <c r="O254" s="136">
        <v>0</v>
      </c>
      <c r="P254" s="25"/>
      <c r="Q254" s="25"/>
      <c r="R254" s="5"/>
    </row>
    <row r="255" spans="1:18" ht="15.6" x14ac:dyDescent="0.3">
      <c r="A255" s="24"/>
      <c r="B255" s="25" t="s">
        <v>129</v>
      </c>
      <c r="C255" s="25"/>
      <c r="D255" s="25"/>
      <c r="E255" s="25"/>
      <c r="F255" s="95"/>
      <c r="G255" s="95"/>
      <c r="H255" s="95"/>
      <c r="I255" s="95"/>
      <c r="J255" s="95"/>
      <c r="K255" s="95"/>
      <c r="L255" s="34">
        <f>SUM(L247:L254)</f>
        <v>0</v>
      </c>
      <c r="M255" s="136">
        <v>0</v>
      </c>
      <c r="N255" s="53">
        <f>SUM(N247:N254)</f>
        <v>0</v>
      </c>
      <c r="O255" s="136">
        <v>0</v>
      </c>
      <c r="P255" s="25"/>
      <c r="Q255" s="25"/>
      <c r="R255" s="5"/>
    </row>
    <row r="256" spans="1:18" ht="15.6" x14ac:dyDescent="0.3">
      <c r="A256" s="24"/>
      <c r="B256" s="25"/>
      <c r="C256" s="25"/>
      <c r="D256" s="25"/>
      <c r="E256" s="25"/>
      <c r="F256" s="95"/>
      <c r="G256" s="95"/>
      <c r="H256" s="95"/>
      <c r="I256" s="95"/>
      <c r="J256" s="95"/>
      <c r="K256" s="95"/>
      <c r="L256" s="34"/>
      <c r="M256" s="136"/>
      <c r="N256" s="53"/>
      <c r="O256" s="136"/>
      <c r="P256" s="25"/>
      <c r="Q256" s="25"/>
      <c r="R256" s="5"/>
    </row>
    <row r="257" spans="1:18" ht="15.6" x14ac:dyDescent="0.3">
      <c r="A257" s="24"/>
      <c r="B257" s="152" t="s">
        <v>240</v>
      </c>
      <c r="C257" s="25"/>
      <c r="D257" s="25"/>
      <c r="E257" s="25"/>
      <c r="F257" s="95"/>
      <c r="G257" s="95"/>
      <c r="H257" s="95"/>
      <c r="I257" s="95"/>
      <c r="J257" s="95"/>
      <c r="K257" s="95"/>
      <c r="L257" s="173">
        <f>+L233+L244+L255</f>
        <v>3691</v>
      </c>
      <c r="M257" s="136"/>
      <c r="N257" s="175">
        <f>+N255+N244+N233</f>
        <v>411668</v>
      </c>
      <c r="O257" s="136"/>
      <c r="P257" s="25"/>
      <c r="Q257" s="25"/>
      <c r="R257" s="5"/>
    </row>
    <row r="258" spans="1:18" ht="15.6" x14ac:dyDescent="0.3">
      <c r="A258" s="24"/>
      <c r="B258" s="25"/>
      <c r="C258" s="25"/>
      <c r="D258" s="25"/>
      <c r="E258" s="25"/>
      <c r="F258" s="95"/>
      <c r="G258" s="95"/>
      <c r="H258" s="95"/>
      <c r="I258" s="95"/>
      <c r="J258" s="95"/>
      <c r="K258" s="95"/>
      <c r="L258" s="95"/>
      <c r="M258" s="95"/>
      <c r="N258" s="53"/>
      <c r="O258" s="95"/>
      <c r="P258" s="25"/>
      <c r="Q258" s="25"/>
      <c r="R258" s="5"/>
    </row>
    <row r="259" spans="1:18" ht="15.6" x14ac:dyDescent="0.3">
      <c r="A259" s="6"/>
      <c r="B259" s="8"/>
      <c r="C259" s="8"/>
      <c r="D259" s="8"/>
      <c r="E259" s="8"/>
      <c r="F259" s="96"/>
      <c r="G259" s="96"/>
      <c r="H259" s="96"/>
      <c r="I259" s="96"/>
      <c r="J259" s="96"/>
      <c r="K259" s="96"/>
      <c r="L259" s="96"/>
      <c r="M259" s="96"/>
      <c r="N259" s="97"/>
      <c r="O259" s="96"/>
      <c r="P259" s="8"/>
      <c r="Q259" s="8"/>
      <c r="R259" s="5"/>
    </row>
    <row r="260" spans="1:18" ht="15.6" x14ac:dyDescent="0.3">
      <c r="A260" s="145"/>
      <c r="B260" s="14" t="s">
        <v>102</v>
      </c>
      <c r="C260" s="15"/>
      <c r="D260" s="15"/>
      <c r="E260" s="15"/>
      <c r="F260" s="17" t="s">
        <v>108</v>
      </c>
      <c r="G260" s="15"/>
      <c r="H260" s="14" t="s">
        <v>110</v>
      </c>
      <c r="I260" s="140"/>
      <c r="J260" s="140"/>
      <c r="K260" s="140"/>
      <c r="L260" s="140"/>
      <c r="M260" s="140"/>
      <c r="N260" s="140"/>
      <c r="O260" s="140"/>
      <c r="P260" s="140"/>
      <c r="Q260" s="140"/>
      <c r="R260" s="5"/>
    </row>
    <row r="261" spans="1:18" ht="15.6" x14ac:dyDescent="0.3">
      <c r="A261" s="145"/>
      <c r="B261" s="140"/>
      <c r="C261" s="8"/>
      <c r="D261" s="8"/>
      <c r="E261" s="8"/>
      <c r="F261" s="8"/>
      <c r="G261" s="8"/>
      <c r="H261" s="8"/>
      <c r="I261" s="140"/>
      <c r="J261" s="140"/>
      <c r="K261" s="140"/>
      <c r="L261" s="140"/>
      <c r="M261" s="140"/>
      <c r="N261" s="140"/>
      <c r="O261" s="140"/>
      <c r="P261" s="140"/>
      <c r="Q261" s="140"/>
      <c r="R261" s="5"/>
    </row>
    <row r="262" spans="1:18" ht="15.6" x14ac:dyDescent="0.3">
      <c r="A262" s="145"/>
      <c r="B262" s="13" t="s">
        <v>103</v>
      </c>
      <c r="C262" s="13"/>
      <c r="D262" s="13"/>
      <c r="E262" s="13"/>
      <c r="F262" s="134" t="s">
        <v>212</v>
      </c>
      <c r="G262" s="13"/>
      <c r="H262" s="13" t="s">
        <v>222</v>
      </c>
      <c r="I262" s="140"/>
      <c r="J262" s="140"/>
      <c r="K262" s="140"/>
      <c r="L262" s="140"/>
      <c r="M262" s="140"/>
      <c r="N262" s="140"/>
      <c r="O262" s="140"/>
      <c r="P262" s="140"/>
      <c r="Q262" s="140"/>
      <c r="R262" s="5"/>
    </row>
    <row r="263" spans="1:18" ht="15.6" x14ac:dyDescent="0.3">
      <c r="A263" s="145"/>
      <c r="B263" s="13" t="s">
        <v>263</v>
      </c>
      <c r="C263" s="13"/>
      <c r="D263" s="13"/>
      <c r="E263" s="13"/>
      <c r="F263" s="134" t="s">
        <v>264</v>
      </c>
      <c r="G263" s="13"/>
      <c r="H263" s="13" t="s">
        <v>265</v>
      </c>
      <c r="I263" s="140"/>
      <c r="J263" s="140"/>
      <c r="K263" s="140"/>
      <c r="L263" s="140"/>
      <c r="M263" s="140"/>
      <c r="N263" s="140"/>
      <c r="O263" s="140"/>
      <c r="P263" s="140"/>
      <c r="Q263" s="140"/>
      <c r="R263" s="5"/>
    </row>
    <row r="264" spans="1:18" ht="15.6" x14ac:dyDescent="0.3">
      <c r="A264" s="145"/>
      <c r="B264" s="13" t="s">
        <v>104</v>
      </c>
      <c r="C264" s="13"/>
      <c r="D264" s="13"/>
      <c r="E264" s="13"/>
      <c r="F264" s="134" t="s">
        <v>211</v>
      </c>
      <c r="G264" s="13"/>
      <c r="H264" s="13" t="s">
        <v>223</v>
      </c>
      <c r="I264" s="140"/>
      <c r="J264" s="140"/>
      <c r="K264" s="140"/>
      <c r="L264" s="140"/>
      <c r="M264" s="140"/>
      <c r="N264" s="140"/>
      <c r="O264" s="140"/>
      <c r="P264" s="140"/>
      <c r="Q264" s="140"/>
      <c r="R264" s="5"/>
    </row>
    <row r="265" spans="1:18" ht="15.6" x14ac:dyDescent="0.3">
      <c r="A265" s="145"/>
      <c r="B265" s="13"/>
      <c r="C265" s="13"/>
      <c r="D265" s="13"/>
      <c r="E265" s="99"/>
      <c r="F265" s="140"/>
      <c r="G265" s="140"/>
      <c r="H265" s="140"/>
      <c r="I265" s="140"/>
      <c r="J265" s="140"/>
      <c r="K265" s="140"/>
      <c r="L265" s="140"/>
      <c r="M265" s="140"/>
      <c r="N265" s="140"/>
      <c r="O265" s="140"/>
      <c r="P265" s="140"/>
      <c r="Q265" s="140"/>
      <c r="R265" s="5"/>
    </row>
    <row r="266" spans="1:18" ht="15.6" x14ac:dyDescent="0.3">
      <c r="A266" s="145"/>
      <c r="B266" s="13"/>
      <c r="C266" s="13"/>
      <c r="D266" s="13"/>
      <c r="E266" s="99"/>
      <c r="F266" s="140"/>
      <c r="G266" s="140"/>
      <c r="H266" s="140"/>
      <c r="I266" s="140"/>
      <c r="J266" s="140"/>
      <c r="K266" s="140"/>
      <c r="L266" s="140"/>
      <c r="M266" s="140"/>
      <c r="N266" s="140"/>
      <c r="O266" s="140"/>
      <c r="P266" s="140"/>
      <c r="Q266" s="140"/>
      <c r="R266" s="5"/>
    </row>
    <row r="267" spans="1:18" ht="18" thickBot="1" x14ac:dyDescent="0.35">
      <c r="A267" s="145"/>
      <c r="B267" s="49" t="str">
        <f>B185</f>
        <v>PM7 INVESTOR REPORT QUARTER ENDING APRIL 2010</v>
      </c>
      <c r="C267" s="13"/>
      <c r="D267" s="13"/>
      <c r="E267" s="99"/>
      <c r="F267" s="140"/>
      <c r="G267" s="140"/>
      <c r="H267" s="140"/>
      <c r="I267" s="140"/>
      <c r="J267" s="140"/>
      <c r="K267" s="140"/>
      <c r="L267" s="140"/>
      <c r="M267" s="140"/>
      <c r="N267" s="140"/>
      <c r="O267" s="140"/>
      <c r="P267" s="140"/>
      <c r="Q267" s="140"/>
      <c r="R267" s="5"/>
    </row>
    <row r="268" spans="1:18" x14ac:dyDescent="0.25">
      <c r="A268" s="100"/>
      <c r="B268" s="100"/>
      <c r="C268" s="100"/>
      <c r="D268" s="100"/>
      <c r="E268" s="100"/>
      <c r="F268" s="100"/>
      <c r="G268" s="100"/>
      <c r="H268" s="100"/>
      <c r="I268" s="100"/>
      <c r="J268" s="100"/>
      <c r="K268" s="100"/>
      <c r="L268" s="100"/>
      <c r="M268" s="100"/>
      <c r="N268" s="100"/>
      <c r="O268" s="100"/>
      <c r="P268" s="100"/>
      <c r="Q268" s="100"/>
    </row>
  </sheetData>
  <phoneticPr fontId="0" type="noConversion"/>
  <hyperlinks>
    <hyperlink ref="H9" r:id="rId1"/>
    <hyperlink ref="J222"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3" max="14" man="1"/>
    <brk id="185" max="14"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0.95669999999999999</v>
      </c>
      <c r="N17" s="246" t="s">
        <v>173</v>
      </c>
      <c r="O17" s="245">
        <v>4.3299999999999998E-2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40407</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4"/>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267"/>
      <c r="D27" s="267" t="s">
        <v>175</v>
      </c>
      <c r="E27" s="267"/>
      <c r="F27" s="267" t="s">
        <v>175</v>
      </c>
      <c r="G27" s="267"/>
      <c r="H27" s="267" t="s">
        <v>175</v>
      </c>
      <c r="I27" s="267"/>
      <c r="J27" s="267" t="s">
        <v>176</v>
      </c>
      <c r="K27" s="267"/>
      <c r="L27" s="267" t="s">
        <v>176</v>
      </c>
      <c r="M27" s="267"/>
      <c r="N27" s="262"/>
      <c r="O27" s="263"/>
      <c r="P27" s="263"/>
      <c r="Q27" s="264"/>
      <c r="R27" s="5"/>
    </row>
    <row r="28" spans="1:19" ht="15.6" x14ac:dyDescent="0.3">
      <c r="A28" s="265"/>
      <c r="B28" s="266" t="s">
        <v>10</v>
      </c>
      <c r="C28" s="267"/>
      <c r="D28" s="267" t="s">
        <v>177</v>
      </c>
      <c r="E28" s="267"/>
      <c r="F28" s="267" t="s">
        <v>177</v>
      </c>
      <c r="G28" s="267"/>
      <c r="H28" s="267" t="s">
        <v>177</v>
      </c>
      <c r="I28" s="267"/>
      <c r="J28" s="267" t="s">
        <v>262</v>
      </c>
      <c r="K28" s="267"/>
      <c r="L28" s="267" t="s">
        <v>262</v>
      </c>
      <c r="M28" s="267"/>
      <c r="N28" s="262"/>
      <c r="O28" s="263"/>
      <c r="P28" s="263"/>
      <c r="Q28" s="264"/>
      <c r="R28" s="5"/>
    </row>
    <row r="29" spans="1:19" ht="15.6" x14ac:dyDescent="0.3">
      <c r="A29" s="265"/>
      <c r="B29" s="266" t="s">
        <v>136</v>
      </c>
      <c r="C29" s="267"/>
      <c r="D29" s="267" t="s">
        <v>177</v>
      </c>
      <c r="E29" s="267"/>
      <c r="F29" s="267" t="s">
        <v>177</v>
      </c>
      <c r="G29" s="267"/>
      <c r="H29" s="267" t="s">
        <v>177</v>
      </c>
      <c r="I29" s="267"/>
      <c r="J29" s="267" t="s">
        <v>178</v>
      </c>
      <c r="K29" s="267"/>
      <c r="L29" s="267" t="s">
        <v>178</v>
      </c>
      <c r="M29" s="267"/>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182779.875</v>
      </c>
      <c r="E34" s="271"/>
      <c r="F34" s="272">
        <f>+F33*F40</f>
        <v>89333.024000000005</v>
      </c>
      <c r="G34" s="271"/>
      <c r="H34" s="273">
        <f>+H33*H40</f>
        <v>203101.75</v>
      </c>
      <c r="I34" s="271"/>
      <c r="J34" s="270">
        <f>J33*J40</f>
        <v>75414.42975000001</v>
      </c>
      <c r="K34" s="271"/>
      <c r="L34" s="273">
        <f>L33*L40</f>
        <v>59417.416499999999</v>
      </c>
      <c r="M34" s="271"/>
      <c r="N34" s="271"/>
      <c r="O34" s="274"/>
      <c r="P34" s="271"/>
      <c r="Q34" s="275"/>
      <c r="R34" s="5"/>
    </row>
    <row r="35" spans="1:19" ht="15.6" x14ac:dyDescent="0.3">
      <c r="A35" s="265"/>
      <c r="B35" s="266" t="s">
        <v>158</v>
      </c>
      <c r="C35" s="276"/>
      <c r="D35" s="277">
        <f>+D33*D39</f>
        <v>181016.50499999998</v>
      </c>
      <c r="E35" s="278"/>
      <c r="F35" s="279">
        <f>+F33*F39</f>
        <v>88471.195999999996</v>
      </c>
      <c r="G35" s="278"/>
      <c r="H35" s="280">
        <f>+H33*H39</f>
        <v>201142.35</v>
      </c>
      <c r="I35" s="278"/>
      <c r="J35" s="277">
        <f>J33*J39</f>
        <v>74686.870500000005</v>
      </c>
      <c r="K35" s="278"/>
      <c r="L35" s="280">
        <f>L33*L39</f>
        <v>58844.181499999999</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102743.04384485667</v>
      </c>
      <c r="E37" s="271"/>
      <c r="F37" s="271">
        <f>+F34</f>
        <v>89333.024000000005</v>
      </c>
      <c r="G37" s="271"/>
      <c r="H37" s="271">
        <f>+H34/1.481481</f>
        <v>137093.72580546088</v>
      </c>
      <c r="I37" s="271"/>
      <c r="J37" s="271">
        <f>J36*J40</f>
        <v>42391.136548200004</v>
      </c>
      <c r="K37" s="271"/>
      <c r="L37" s="271">
        <f>L36*L40</f>
        <v>40106.7561375</v>
      </c>
      <c r="M37" s="271"/>
      <c r="N37" s="271"/>
      <c r="O37" s="274"/>
      <c r="P37" s="271">
        <f>SUM(C37:L37)</f>
        <v>411667.68633601756</v>
      </c>
      <c r="Q37" s="275"/>
      <c r="R37" s="5"/>
      <c r="S37" s="154"/>
    </row>
    <row r="38" spans="1:19" ht="15.6" x14ac:dyDescent="0.3">
      <c r="A38" s="265"/>
      <c r="B38" s="266" t="s">
        <v>281</v>
      </c>
      <c r="C38" s="276"/>
      <c r="D38" s="278">
        <f>D35/1.779</f>
        <v>101751.82967959526</v>
      </c>
      <c r="E38" s="278"/>
      <c r="F38" s="278">
        <f>+F35</f>
        <v>88471.195999999996</v>
      </c>
      <c r="G38" s="278"/>
      <c r="H38" s="278">
        <f>H35/1.481481</f>
        <v>135771.13037561736</v>
      </c>
      <c r="I38" s="278"/>
      <c r="J38" s="278">
        <f>J36*J39</f>
        <v>41982.168879600002</v>
      </c>
      <c r="K38" s="278"/>
      <c r="L38" s="278">
        <f>L36*L39</f>
        <v>39719.822512500003</v>
      </c>
      <c r="M38" s="278"/>
      <c r="N38" s="278"/>
      <c r="O38" s="281"/>
      <c r="P38" s="278">
        <f>SUM(D38:L38)</f>
        <v>407696.1474473126</v>
      </c>
      <c r="Q38" s="275"/>
      <c r="R38" s="5"/>
      <c r="S38" s="176"/>
    </row>
    <row r="39" spans="1:19" ht="15.6" x14ac:dyDescent="0.3">
      <c r="A39" s="265"/>
      <c r="B39" s="282" t="s">
        <v>154</v>
      </c>
      <c r="C39" s="283"/>
      <c r="D39" s="284">
        <v>0.40225889999999997</v>
      </c>
      <c r="E39" s="284"/>
      <c r="F39" s="284">
        <v>0.40214179999999999</v>
      </c>
      <c r="G39" s="284"/>
      <c r="H39" s="284">
        <v>0.4022847</v>
      </c>
      <c r="I39" s="284"/>
      <c r="J39" s="284">
        <v>0.90529539999999997</v>
      </c>
      <c r="K39" s="284"/>
      <c r="L39" s="284">
        <v>0.90529510000000002</v>
      </c>
      <c r="M39" s="285"/>
      <c r="N39" s="285"/>
      <c r="O39" s="286"/>
      <c r="P39" s="285"/>
      <c r="Q39" s="287"/>
      <c r="R39" s="5"/>
    </row>
    <row r="40" spans="1:19" ht="15.6" x14ac:dyDescent="0.3">
      <c r="A40" s="265"/>
      <c r="B40" s="282" t="s">
        <v>155</v>
      </c>
      <c r="C40" s="283"/>
      <c r="D40" s="284">
        <v>0.40617750000000002</v>
      </c>
      <c r="E40" s="284"/>
      <c r="F40" s="284">
        <v>0.40605920000000001</v>
      </c>
      <c r="G40" s="284"/>
      <c r="H40" s="284">
        <v>0.4062035</v>
      </c>
      <c r="I40" s="284"/>
      <c r="J40" s="284">
        <v>0.91411430000000005</v>
      </c>
      <c r="K40" s="284"/>
      <c r="L40" s="284">
        <v>0.91411410000000004</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8.5588000000000001E-3</v>
      </c>
      <c r="E42" s="290"/>
      <c r="F42" s="289">
        <v>1.1162500000000001E-2</v>
      </c>
      <c r="G42" s="290"/>
      <c r="H42" s="289">
        <v>1.103E-2</v>
      </c>
      <c r="I42" s="290"/>
      <c r="J42" s="289">
        <v>1.9358799999999999E-2</v>
      </c>
      <c r="K42" s="290"/>
      <c r="L42" s="289">
        <v>2.1829999999999999E-2</v>
      </c>
      <c r="M42" s="290"/>
      <c r="N42" s="289"/>
      <c r="O42" s="263"/>
      <c r="P42" s="290"/>
      <c r="Q42" s="264"/>
      <c r="R42" s="5"/>
    </row>
    <row r="43" spans="1:19" ht="15.6" x14ac:dyDescent="0.3">
      <c r="A43" s="260"/>
      <c r="B43" s="261" t="s">
        <v>14</v>
      </c>
      <c r="C43" s="261"/>
      <c r="D43" s="289">
        <v>4.5999999999999999E-3</v>
      </c>
      <c r="E43" s="290"/>
      <c r="F43" s="289">
        <v>8.5124999999999992E-3</v>
      </c>
      <c r="G43" s="290"/>
      <c r="H43" s="289">
        <v>8.7299999999999999E-3</v>
      </c>
      <c r="I43" s="290"/>
      <c r="J43" s="289">
        <v>0.01</v>
      </c>
      <c r="K43" s="290"/>
      <c r="L43" s="289">
        <v>1.413E-2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1.30525E-2</v>
      </c>
      <c r="E45" s="290"/>
      <c r="F45" s="289">
        <f>+F42</f>
        <v>1.1162500000000001E-2</v>
      </c>
      <c r="G45" s="290"/>
      <c r="H45" s="289">
        <v>1.2812499999999999E-2</v>
      </c>
      <c r="I45" s="290"/>
      <c r="J45" s="289">
        <v>2.5312500000000002E-2</v>
      </c>
      <c r="K45" s="290"/>
      <c r="L45" s="289">
        <v>2.5312500000000002E-2</v>
      </c>
      <c r="M45" s="290"/>
      <c r="N45" s="289"/>
      <c r="O45" s="263"/>
      <c r="P45" s="290">
        <f>SUMPRODUCT(D45:L45,D37:L37)/P37</f>
        <v>1.5019334613568578E-2</v>
      </c>
      <c r="Q45" s="264"/>
      <c r="R45" s="5"/>
    </row>
    <row r="46" spans="1:19" ht="15.6" x14ac:dyDescent="0.3">
      <c r="A46" s="260"/>
      <c r="B46" s="261" t="s">
        <v>283</v>
      </c>
      <c r="C46" s="261"/>
      <c r="D46" s="289">
        <v>9.4575000000000006E-3</v>
      </c>
      <c r="E46" s="290"/>
      <c r="F46" s="289">
        <f>+F43</f>
        <v>8.5124999999999992E-3</v>
      </c>
      <c r="G46" s="290"/>
      <c r="H46" s="289">
        <v>9.3375000000000003E-3</v>
      </c>
      <c r="I46" s="290"/>
      <c r="J46" s="289">
        <v>1.5587500000000001E-2</v>
      </c>
      <c r="K46" s="290"/>
      <c r="L46" s="289">
        <v>1.5587500000000001E-2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0.25062409823770704</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40406</v>
      </c>
      <c r="Q57" s="264"/>
      <c r="R57" s="5"/>
    </row>
    <row r="58" spans="1:18" ht="15.6" x14ac:dyDescent="0.3">
      <c r="A58" s="260"/>
      <c r="B58" s="261" t="s">
        <v>142</v>
      </c>
      <c r="C58" s="261"/>
      <c r="D58" s="261"/>
      <c r="E58" s="261"/>
      <c r="F58" s="297"/>
      <c r="G58" s="297"/>
      <c r="H58" s="297"/>
      <c r="I58" s="297"/>
      <c r="J58" s="297"/>
      <c r="K58" s="297"/>
      <c r="L58" s="261">
        <f>+P58-N58+1</f>
        <v>90</v>
      </c>
      <c r="M58" s="297"/>
      <c r="N58" s="298">
        <v>40225</v>
      </c>
      <c r="O58" s="299"/>
      <c r="P58" s="298">
        <v>40314</v>
      </c>
      <c r="Q58" s="264"/>
      <c r="R58" s="5"/>
    </row>
    <row r="59" spans="1:18" ht="15.6" x14ac:dyDescent="0.3">
      <c r="A59" s="260"/>
      <c r="B59" s="261" t="s">
        <v>143</v>
      </c>
      <c r="C59" s="261"/>
      <c r="D59" s="261"/>
      <c r="E59" s="261"/>
      <c r="F59" s="261"/>
      <c r="G59" s="261"/>
      <c r="H59" s="261"/>
      <c r="I59" s="261"/>
      <c r="J59" s="261"/>
      <c r="K59" s="261"/>
      <c r="L59" s="261">
        <f>+P59-N59+1</f>
        <v>91</v>
      </c>
      <c r="M59" s="261"/>
      <c r="N59" s="298">
        <v>40315</v>
      </c>
      <c r="O59" s="299"/>
      <c r="P59" s="298">
        <v>40405</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40392</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289</v>
      </c>
      <c r="C65" s="240"/>
      <c r="D65" s="240"/>
      <c r="E65" s="240"/>
      <c r="F65" s="240"/>
      <c r="G65" s="240"/>
      <c r="H65" s="240"/>
      <c r="I65" s="240"/>
      <c r="J65" s="240"/>
      <c r="K65" s="240"/>
      <c r="L65" s="240"/>
      <c r="M65" s="240"/>
      <c r="N65" s="240"/>
      <c r="O65" s="240"/>
      <c r="P65" s="241"/>
      <c r="Q65" s="242"/>
      <c r="R65" s="5"/>
    </row>
    <row r="66" spans="1:18" ht="15.6" x14ac:dyDescent="0.3">
      <c r="A66" s="389"/>
      <c r="B66" s="317"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411668</v>
      </c>
      <c r="I69" s="330"/>
      <c r="J69" s="330">
        <f>3972+93+2</f>
        <v>4067</v>
      </c>
      <c r="K69" s="330"/>
      <c r="L69" s="330">
        <f>93+2</f>
        <v>95</v>
      </c>
      <c r="M69" s="330"/>
      <c r="N69" s="330">
        <v>0</v>
      </c>
      <c r="O69" s="330"/>
      <c r="P69" s="331">
        <f>+H69-J69+L69-N69</f>
        <v>407696</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411668</v>
      </c>
      <c r="I72" s="330"/>
      <c r="J72" s="330">
        <f>SUM(J69:J71)</f>
        <v>4067</v>
      </c>
      <c r="K72" s="330"/>
      <c r="L72" s="330">
        <f>SUM(L69:L71)</f>
        <v>95</v>
      </c>
      <c r="M72" s="330"/>
      <c r="N72" s="330">
        <f>SUM(N69:N71)</f>
        <v>0</v>
      </c>
      <c r="O72" s="330"/>
      <c r="P72" s="330">
        <f>SUM(P69:P71)</f>
        <v>407696</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+N129</f>
        <v>0</v>
      </c>
      <c r="Q85" s="264"/>
      <c r="R85" s="5"/>
    </row>
    <row r="86" spans="1:18" ht="15.6" x14ac:dyDescent="0.3">
      <c r="A86" s="260"/>
      <c r="B86" s="261" t="s">
        <v>30</v>
      </c>
      <c r="C86" s="330"/>
      <c r="D86" s="330"/>
      <c r="E86" s="330"/>
      <c r="F86" s="330">
        <f>SUM(F72:F85)</f>
        <v>900700</v>
      </c>
      <c r="G86" s="330"/>
      <c r="H86" s="330">
        <f>SUM(H72:H85)</f>
        <v>411668</v>
      </c>
      <c r="I86" s="330"/>
      <c r="J86" s="330">
        <f>SUM(J72:J85)</f>
        <v>4067</v>
      </c>
      <c r="K86" s="330"/>
      <c r="L86" s="330">
        <f>SUM(L72:L85)</f>
        <v>95</v>
      </c>
      <c r="M86" s="330"/>
      <c r="N86" s="330"/>
      <c r="O86" s="330"/>
      <c r="P86" s="330">
        <f>SUM(P72:P85)</f>
        <v>407696</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17" t="s">
        <v>31</v>
      </c>
      <c r="C89" s="317"/>
      <c r="D89" s="317"/>
      <c r="E89" s="317"/>
      <c r="F89" s="387" t="s">
        <v>106</v>
      </c>
      <c r="G89" s="318"/>
      <c r="H89" s="388">
        <v>40389</v>
      </c>
      <c r="I89" s="318"/>
      <c r="J89" s="318"/>
      <c r="K89" s="318"/>
      <c r="L89" s="318"/>
      <c r="M89" s="318"/>
      <c r="N89" s="318" t="s">
        <v>119</v>
      </c>
      <c r="O89" s="318"/>
      <c r="P89" s="318"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4067-287</f>
        <v>3780</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3279+165-635-47+41</f>
        <v>2803</v>
      </c>
      <c r="Q92" s="264"/>
      <c r="R92" s="5"/>
    </row>
    <row r="93" spans="1:18" ht="15.6" x14ac:dyDescent="0.3">
      <c r="A93" s="260"/>
      <c r="B93" s="261" t="s">
        <v>249</v>
      </c>
      <c r="C93" s="261"/>
      <c r="D93" s="261"/>
      <c r="E93" s="261"/>
      <c r="F93" s="292"/>
      <c r="G93" s="332"/>
      <c r="H93" s="333"/>
      <c r="I93" s="261"/>
      <c r="J93" s="261"/>
      <c r="K93" s="261"/>
      <c r="L93" s="261"/>
      <c r="M93" s="261"/>
      <c r="N93" s="330"/>
      <c r="O93" s="261"/>
      <c r="P93" s="331">
        <f>67</f>
        <v>67</v>
      </c>
      <c r="Q93" s="264"/>
      <c r="R93" s="5"/>
    </row>
    <row r="94" spans="1:18" ht="15.6" x14ac:dyDescent="0.3">
      <c r="A94" s="260"/>
      <c r="B94" s="261" t="s">
        <v>250</v>
      </c>
      <c r="C94" s="261"/>
      <c r="D94" s="261"/>
      <c r="E94" s="261"/>
      <c r="F94" s="292"/>
      <c r="G94" s="332"/>
      <c r="H94" s="333"/>
      <c r="I94" s="261"/>
      <c r="J94" s="261"/>
      <c r="K94" s="261"/>
      <c r="L94" s="261"/>
      <c r="M94" s="261"/>
      <c r="N94" s="330"/>
      <c r="O94" s="261"/>
      <c r="P94" s="331">
        <v>28</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199</v>
      </c>
      <c r="Q97" s="264"/>
      <c r="R97" s="5"/>
    </row>
    <row r="98" spans="1:19" ht="15.6" x14ac:dyDescent="0.3">
      <c r="A98" s="260"/>
      <c r="B98" s="261" t="s">
        <v>35</v>
      </c>
      <c r="C98" s="261"/>
      <c r="D98" s="261"/>
      <c r="E98" s="261"/>
      <c r="F98" s="261"/>
      <c r="G98" s="261"/>
      <c r="H98" s="261"/>
      <c r="I98" s="261"/>
      <c r="J98" s="261"/>
      <c r="K98" s="261"/>
      <c r="L98" s="261"/>
      <c r="M98" s="261"/>
      <c r="N98" s="330">
        <f>SUM(N90:N97)</f>
        <v>3780</v>
      </c>
      <c r="O98" s="261"/>
      <c r="P98" s="330">
        <f>SUM(P90:P97)</f>
        <v>3097</v>
      </c>
      <c r="Q98" s="264"/>
      <c r="R98" s="5"/>
    </row>
    <row r="99" spans="1:19" ht="15.6" x14ac:dyDescent="0.3">
      <c r="A99" s="260"/>
      <c r="B99" s="261" t="s">
        <v>237</v>
      </c>
      <c r="C99" s="261"/>
      <c r="D99" s="261"/>
      <c r="E99" s="261"/>
      <c r="F99" s="261"/>
      <c r="G99" s="261"/>
      <c r="H99" s="261"/>
      <c r="I99" s="261"/>
      <c r="J99" s="261"/>
      <c r="K99" s="261"/>
      <c r="L99" s="261"/>
      <c r="M99" s="261"/>
      <c r="N99" s="330">
        <v>-1</v>
      </c>
      <c r="O99" s="261"/>
      <c r="P99" s="330">
        <f>-N99</f>
        <v>1</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86</v>
      </c>
      <c r="Q101" s="264"/>
      <c r="R101" s="5"/>
    </row>
    <row r="102" spans="1:19" ht="15.6" x14ac:dyDescent="0.3">
      <c r="A102" s="260"/>
      <c r="B102" s="261" t="s">
        <v>37</v>
      </c>
      <c r="C102" s="261"/>
      <c r="D102" s="261"/>
      <c r="E102" s="261"/>
      <c r="F102" s="261"/>
      <c r="G102" s="261"/>
      <c r="H102" s="261"/>
      <c r="I102" s="261"/>
      <c r="J102" s="261"/>
      <c r="K102" s="261"/>
      <c r="L102" s="261"/>
      <c r="M102" s="261"/>
      <c r="N102" s="330">
        <f>N98+N100+N99</f>
        <v>3779</v>
      </c>
      <c r="O102" s="261"/>
      <c r="P102" s="330">
        <f>P98+P100+P99+P101</f>
        <v>3184</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40</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226</v>
      </c>
      <c r="C106" s="261"/>
      <c r="D106" s="261"/>
      <c r="E106" s="261"/>
      <c r="F106" s="261"/>
      <c r="G106" s="261"/>
      <c r="H106" s="261"/>
      <c r="I106" s="261"/>
      <c r="J106" s="261"/>
      <c r="K106" s="261"/>
      <c r="L106" s="261"/>
      <c r="M106" s="261"/>
      <c r="N106" s="261"/>
      <c r="O106" s="261"/>
      <c r="P106" s="331">
        <f>-104-90-5</f>
        <v>-199</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-266</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-334</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-249</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-438</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-268</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-253</v>
      </c>
      <c r="Q112" s="264"/>
      <c r="R112" s="5"/>
      <c r="S112" s="109"/>
    </row>
    <row r="113" spans="1:18" ht="15.6" x14ac:dyDescent="0.3">
      <c r="A113" s="339">
        <v>6</v>
      </c>
      <c r="B113" s="261" t="s">
        <v>41</v>
      </c>
      <c r="C113" s="261"/>
      <c r="D113" s="261"/>
      <c r="E113" s="261"/>
      <c r="F113" s="261"/>
      <c r="G113" s="261"/>
      <c r="H113" s="261"/>
      <c r="I113" s="261"/>
      <c r="J113" s="261"/>
      <c r="K113" s="261"/>
      <c r="L113" s="261"/>
      <c r="M113" s="261"/>
      <c r="N113" s="261"/>
      <c r="O113" s="261"/>
      <c r="P113" s="331">
        <v>-10</v>
      </c>
      <c r="Q113" s="264"/>
      <c r="R113" s="5"/>
    </row>
    <row r="114" spans="1:18" ht="15.6" x14ac:dyDescent="0.3">
      <c r="A114" s="339">
        <f t="shared" ref="A114:A119" si="0">+A113+1</f>
        <v>7</v>
      </c>
      <c r="B114" s="261" t="s">
        <v>53</v>
      </c>
      <c r="C114" s="261"/>
      <c r="D114" s="261"/>
      <c r="E114" s="261"/>
      <c r="F114" s="261"/>
      <c r="G114" s="261"/>
      <c r="H114" s="261"/>
      <c r="I114" s="261"/>
      <c r="J114" s="261"/>
      <c r="K114" s="261"/>
      <c r="L114" s="261"/>
      <c r="M114" s="261"/>
      <c r="N114" s="330">
        <f>-P114</f>
        <v>287</v>
      </c>
      <c r="O114" s="261"/>
      <c r="P114" s="331">
        <v>-287</v>
      </c>
      <c r="Q114" s="264"/>
      <c r="R114" s="5"/>
    </row>
    <row r="115" spans="1:18" ht="15.6" x14ac:dyDescent="0.3">
      <c r="A115" s="339">
        <f t="shared" si="0"/>
        <v>8</v>
      </c>
      <c r="B115" s="261" t="s">
        <v>149</v>
      </c>
      <c r="C115" s="261"/>
      <c r="D115" s="261"/>
      <c r="E115" s="261"/>
      <c r="F115" s="261"/>
      <c r="G115" s="261"/>
      <c r="H115" s="261"/>
      <c r="I115" s="261"/>
      <c r="J115" s="261"/>
      <c r="K115" s="261"/>
      <c r="L115" s="261"/>
      <c r="M115" s="261"/>
      <c r="N115" s="261"/>
      <c r="O115" s="261"/>
      <c r="P115" s="331">
        <v>0</v>
      </c>
      <c r="Q115" s="264"/>
      <c r="R115" s="5"/>
    </row>
    <row r="116" spans="1:18" ht="15.6" x14ac:dyDescent="0.3">
      <c r="A116" s="339">
        <f t="shared" si="0"/>
        <v>9</v>
      </c>
      <c r="B116" s="261" t="s">
        <v>42</v>
      </c>
      <c r="C116" s="261"/>
      <c r="D116" s="261"/>
      <c r="E116" s="261"/>
      <c r="F116" s="261"/>
      <c r="G116" s="261"/>
      <c r="H116" s="261"/>
      <c r="I116" s="261"/>
      <c r="J116" s="261"/>
      <c r="K116" s="261"/>
      <c r="L116" s="261"/>
      <c r="M116" s="261"/>
      <c r="N116" s="261"/>
      <c r="O116" s="261"/>
      <c r="P116" s="331">
        <v>0</v>
      </c>
      <c r="Q116" s="264"/>
      <c r="R116" s="5"/>
    </row>
    <row r="117" spans="1:18" ht="15.6" x14ac:dyDescent="0.3">
      <c r="A117" s="339">
        <f t="shared" si="0"/>
        <v>10</v>
      </c>
      <c r="B117" s="261" t="s">
        <v>43</v>
      </c>
      <c r="C117" s="261"/>
      <c r="D117" s="261"/>
      <c r="E117" s="261"/>
      <c r="F117" s="261"/>
      <c r="G117" s="261"/>
      <c r="H117" s="261"/>
      <c r="I117" s="261"/>
      <c r="J117" s="261"/>
      <c r="K117" s="261"/>
      <c r="L117" s="261"/>
      <c r="M117" s="261"/>
      <c r="N117" s="261"/>
      <c r="O117" s="261"/>
      <c r="P117" s="331">
        <v>0</v>
      </c>
      <c r="Q117" s="264"/>
      <c r="R117" s="5"/>
    </row>
    <row r="118" spans="1:18" ht="15.6" x14ac:dyDescent="0.3">
      <c r="A118" s="339">
        <f t="shared" si="0"/>
        <v>11</v>
      </c>
      <c r="B118" s="261" t="s">
        <v>215</v>
      </c>
      <c r="C118" s="261"/>
      <c r="D118" s="261"/>
      <c r="E118" s="261"/>
      <c r="F118" s="261"/>
      <c r="G118" s="261"/>
      <c r="H118" s="261"/>
      <c r="I118" s="261"/>
      <c r="J118" s="261"/>
      <c r="K118" s="261"/>
      <c r="L118" s="261"/>
      <c r="M118" s="261"/>
      <c r="N118" s="261"/>
      <c r="O118" s="261"/>
      <c r="P118" s="331">
        <v>-211</v>
      </c>
      <c r="Q118" s="264"/>
      <c r="R118" s="5"/>
    </row>
    <row r="119" spans="1:18" ht="15.6" x14ac:dyDescent="0.3">
      <c r="A119" s="339">
        <f t="shared" si="0"/>
        <v>12</v>
      </c>
      <c r="B119" s="261" t="s">
        <v>150</v>
      </c>
      <c r="C119" s="261"/>
      <c r="D119" s="261"/>
      <c r="E119" s="261"/>
      <c r="F119" s="261"/>
      <c r="G119" s="261"/>
      <c r="H119" s="261"/>
      <c r="I119" s="261"/>
      <c r="J119" s="261"/>
      <c r="K119" s="261"/>
      <c r="L119" s="261"/>
      <c r="M119" s="261"/>
      <c r="N119" s="261"/>
      <c r="O119" s="261"/>
      <c r="P119" s="331">
        <f>-P102-SUM(P104:P118)</f>
        <v>-667</v>
      </c>
      <c r="Q119" s="264"/>
      <c r="R119" s="5"/>
    </row>
    <row r="120" spans="1:18" ht="15.6" x14ac:dyDescent="0.3">
      <c r="A120" s="260"/>
      <c r="B120" s="334" t="s">
        <v>44</v>
      </c>
      <c r="C120" s="335"/>
      <c r="D120" s="335"/>
      <c r="E120" s="335"/>
      <c r="F120" s="335"/>
      <c r="G120" s="335"/>
      <c r="H120" s="335"/>
      <c r="I120" s="335"/>
      <c r="J120" s="335"/>
      <c r="K120" s="335"/>
      <c r="L120" s="335"/>
      <c r="M120" s="335"/>
      <c r="N120" s="335"/>
      <c r="O120" s="335"/>
      <c r="P120" s="340"/>
      <c r="Q120" s="338"/>
      <c r="R120" s="5"/>
    </row>
    <row r="121" spans="1:18" ht="15.6" x14ac:dyDescent="0.3">
      <c r="A121" s="339"/>
      <c r="B121" s="261" t="s">
        <v>45</v>
      </c>
      <c r="C121" s="261"/>
      <c r="D121" s="261"/>
      <c r="E121" s="261"/>
      <c r="F121" s="261"/>
      <c r="G121" s="261"/>
      <c r="H121" s="261"/>
      <c r="I121" s="261"/>
      <c r="J121" s="261"/>
      <c r="K121" s="261"/>
      <c r="L121" s="261"/>
      <c r="M121" s="261"/>
      <c r="N121" s="330">
        <v>0</v>
      </c>
      <c r="O121" s="330"/>
      <c r="P121" s="331"/>
      <c r="Q121" s="264"/>
      <c r="R121" s="5"/>
    </row>
    <row r="122" spans="1:18" ht="15.6" x14ac:dyDescent="0.3">
      <c r="A122" s="339"/>
      <c r="B122" s="261" t="s">
        <v>46</v>
      </c>
      <c r="C122" s="261"/>
      <c r="D122" s="261"/>
      <c r="E122" s="261"/>
      <c r="F122" s="261"/>
      <c r="G122" s="261"/>
      <c r="H122" s="261"/>
      <c r="I122" s="261"/>
      <c r="J122" s="261"/>
      <c r="K122" s="261"/>
      <c r="L122" s="261"/>
      <c r="M122" s="261"/>
      <c r="N122" s="330">
        <f>-M171</f>
        <v>-94</v>
      </c>
      <c r="O122" s="330"/>
      <c r="P122" s="331"/>
      <c r="Q122" s="264"/>
      <c r="R122" s="5"/>
    </row>
    <row r="123" spans="1:18" ht="15.6" x14ac:dyDescent="0.3">
      <c r="A123" s="339"/>
      <c r="B123" s="261" t="s">
        <v>199</v>
      </c>
      <c r="C123" s="261"/>
      <c r="D123" s="261"/>
      <c r="E123" s="261"/>
      <c r="F123" s="261"/>
      <c r="G123" s="261"/>
      <c r="H123" s="261"/>
      <c r="I123" s="261"/>
      <c r="J123" s="261"/>
      <c r="K123" s="261"/>
      <c r="L123" s="261"/>
      <c r="M123" s="261"/>
      <c r="N123" s="330">
        <v>-991</v>
      </c>
      <c r="O123" s="330"/>
      <c r="P123" s="331"/>
      <c r="Q123" s="264"/>
      <c r="R123" s="5"/>
    </row>
    <row r="124" spans="1:18" ht="15.6" x14ac:dyDescent="0.3">
      <c r="A124" s="339"/>
      <c r="B124" s="261" t="s">
        <v>200</v>
      </c>
      <c r="C124" s="261"/>
      <c r="D124" s="261"/>
      <c r="E124" s="261"/>
      <c r="F124" s="261"/>
      <c r="G124" s="261"/>
      <c r="H124" s="261"/>
      <c r="I124" s="261"/>
      <c r="J124" s="261"/>
      <c r="K124" s="261"/>
      <c r="L124" s="261"/>
      <c r="M124" s="261"/>
      <c r="N124" s="330">
        <v>-862</v>
      </c>
      <c r="O124" s="330"/>
      <c r="P124" s="331"/>
      <c r="Q124" s="264"/>
      <c r="R124" s="5"/>
    </row>
    <row r="125" spans="1:18" ht="15.6" x14ac:dyDescent="0.3">
      <c r="A125" s="339"/>
      <c r="B125" s="261" t="s">
        <v>201</v>
      </c>
      <c r="C125" s="261"/>
      <c r="D125" s="261"/>
      <c r="E125" s="261"/>
      <c r="F125" s="261"/>
      <c r="G125" s="261"/>
      <c r="H125" s="261"/>
      <c r="I125" s="261"/>
      <c r="J125" s="261"/>
      <c r="K125" s="261"/>
      <c r="L125" s="261"/>
      <c r="M125" s="261"/>
      <c r="N125" s="330">
        <v>-1323</v>
      </c>
      <c r="O125" s="330"/>
      <c r="P125" s="331"/>
      <c r="Q125" s="264"/>
      <c r="R125" s="5"/>
    </row>
    <row r="126" spans="1:18" ht="15.6" x14ac:dyDescent="0.3">
      <c r="A126" s="339"/>
      <c r="B126" s="261" t="s">
        <v>159</v>
      </c>
      <c r="C126" s="261"/>
      <c r="D126" s="261"/>
      <c r="E126" s="261"/>
      <c r="F126" s="261"/>
      <c r="G126" s="261"/>
      <c r="H126" s="261"/>
      <c r="I126" s="261"/>
      <c r="J126" s="261"/>
      <c r="K126" s="261"/>
      <c r="L126" s="261"/>
      <c r="M126" s="261"/>
      <c r="N126" s="330">
        <v>-409</v>
      </c>
      <c r="O126" s="330"/>
      <c r="P126" s="331"/>
      <c r="Q126" s="264"/>
      <c r="R126" s="5"/>
    </row>
    <row r="127" spans="1:18" ht="15.6" x14ac:dyDescent="0.3">
      <c r="A127" s="339"/>
      <c r="B127" s="261" t="s">
        <v>214</v>
      </c>
      <c r="C127" s="261"/>
      <c r="D127" s="261"/>
      <c r="E127" s="261"/>
      <c r="F127" s="261"/>
      <c r="G127" s="261"/>
      <c r="H127" s="261"/>
      <c r="I127" s="261"/>
      <c r="J127" s="261"/>
      <c r="K127" s="261"/>
      <c r="L127" s="261"/>
      <c r="M127" s="261"/>
      <c r="N127" s="330">
        <v>-387</v>
      </c>
      <c r="O127" s="330"/>
      <c r="P127" s="331"/>
      <c r="Q127" s="264"/>
      <c r="R127" s="5"/>
    </row>
    <row r="128" spans="1:18" ht="15.6" x14ac:dyDescent="0.3">
      <c r="A128" s="339"/>
      <c r="B128" s="261" t="s">
        <v>47</v>
      </c>
      <c r="C128" s="261"/>
      <c r="D128" s="261"/>
      <c r="E128" s="261"/>
      <c r="F128" s="261"/>
      <c r="G128" s="261"/>
      <c r="H128" s="261"/>
      <c r="I128" s="261"/>
      <c r="J128" s="261"/>
      <c r="K128" s="261"/>
      <c r="L128" s="261"/>
      <c r="M128" s="261"/>
      <c r="N128" s="330">
        <f>SUM(N121:N127)</f>
        <v>-4066</v>
      </c>
      <c r="O128" s="330"/>
      <c r="P128" s="330">
        <f>SUM(P103:P127)</f>
        <v>-3184</v>
      </c>
      <c r="Q128" s="264"/>
      <c r="R128" s="5"/>
    </row>
    <row r="129" spans="1:19" ht="15.6" x14ac:dyDescent="0.3">
      <c r="A129" s="339"/>
      <c r="B129" s="261" t="s">
        <v>48</v>
      </c>
      <c r="C129" s="261"/>
      <c r="D129" s="261"/>
      <c r="E129" s="261"/>
      <c r="F129" s="261"/>
      <c r="G129" s="261"/>
      <c r="H129" s="261"/>
      <c r="I129" s="261"/>
      <c r="J129" s="261"/>
      <c r="K129" s="261"/>
      <c r="L129" s="261"/>
      <c r="M129" s="261"/>
      <c r="N129" s="330">
        <f>N102+N128+N114</f>
        <v>0</v>
      </c>
      <c r="O129" s="330"/>
      <c r="P129" s="330">
        <f>P102+P128</f>
        <v>0</v>
      </c>
      <c r="Q129" s="264"/>
      <c r="R129" s="5"/>
    </row>
    <row r="130" spans="1:19" ht="15.6" x14ac:dyDescent="0.3">
      <c r="A130" s="301"/>
      <c r="B130" s="257"/>
      <c r="C130" s="257"/>
      <c r="D130" s="257"/>
      <c r="E130" s="257"/>
      <c r="F130" s="257"/>
      <c r="G130" s="257"/>
      <c r="H130" s="257"/>
      <c r="I130" s="257"/>
      <c r="J130" s="257"/>
      <c r="K130" s="257"/>
      <c r="L130" s="257"/>
      <c r="M130" s="257"/>
      <c r="N130" s="302"/>
      <c r="O130" s="302"/>
      <c r="P130" s="302"/>
      <c r="Q130" s="257"/>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8" thickBot="1" x14ac:dyDescent="0.35">
      <c r="A132" s="303"/>
      <c r="B132" s="239" t="str">
        <f>B65</f>
        <v>PM7 INVESTOR REPORT QUARTER ENDING JULY 2010</v>
      </c>
      <c r="C132" s="240"/>
      <c r="D132" s="240"/>
      <c r="E132" s="240"/>
      <c r="F132" s="240"/>
      <c r="G132" s="240"/>
      <c r="H132" s="240"/>
      <c r="I132" s="240"/>
      <c r="J132" s="240"/>
      <c r="K132" s="240"/>
      <c r="L132" s="240"/>
      <c r="M132" s="240"/>
      <c r="N132" s="240"/>
      <c r="O132" s="240"/>
      <c r="P132" s="304"/>
      <c r="Q132" s="242"/>
      <c r="R132" s="5"/>
    </row>
    <row r="133" spans="1:19" ht="15.6" x14ac:dyDescent="0.3">
      <c r="A133" s="323"/>
      <c r="B133" s="327" t="s">
        <v>49</v>
      </c>
      <c r="C133" s="326"/>
      <c r="D133" s="326"/>
      <c r="E133" s="326"/>
      <c r="F133" s="326"/>
      <c r="G133" s="326"/>
      <c r="H133" s="326"/>
      <c r="I133" s="326"/>
      <c r="J133" s="326"/>
      <c r="K133" s="326"/>
      <c r="L133" s="326"/>
      <c r="M133" s="326"/>
      <c r="N133" s="326"/>
      <c r="O133" s="326"/>
      <c r="P133" s="328"/>
      <c r="Q133" s="326"/>
      <c r="R133" s="5"/>
    </row>
    <row r="134" spans="1:19" ht="15.6" x14ac:dyDescent="0.3">
      <c r="A134" s="183"/>
      <c r="B134" s="196"/>
      <c r="C134" s="185"/>
      <c r="D134" s="185"/>
      <c r="E134" s="185"/>
      <c r="F134" s="185"/>
      <c r="G134" s="185"/>
      <c r="H134" s="185"/>
      <c r="I134" s="185"/>
      <c r="J134" s="185"/>
      <c r="K134" s="185"/>
      <c r="L134" s="185"/>
      <c r="M134" s="185"/>
      <c r="N134" s="185"/>
      <c r="O134" s="185"/>
      <c r="P134" s="201"/>
      <c r="Q134" s="185"/>
      <c r="R134" s="5"/>
    </row>
    <row r="135" spans="1:19" ht="15.6" x14ac:dyDescent="0.3">
      <c r="A135" s="183"/>
      <c r="B135" s="209" t="s">
        <v>50</v>
      </c>
      <c r="C135" s="185"/>
      <c r="D135" s="185"/>
      <c r="E135" s="185"/>
      <c r="F135" s="185"/>
      <c r="G135" s="185"/>
      <c r="H135" s="185"/>
      <c r="I135" s="185"/>
      <c r="J135" s="185"/>
      <c r="K135" s="185"/>
      <c r="L135" s="185"/>
      <c r="M135" s="185"/>
      <c r="N135" s="185"/>
      <c r="O135" s="185"/>
      <c r="P135" s="201"/>
      <c r="Q135" s="185"/>
      <c r="R135" s="5"/>
    </row>
    <row r="136" spans="1:19" ht="15.6" x14ac:dyDescent="0.3">
      <c r="A136" s="260"/>
      <c r="B136" s="261" t="s">
        <v>51</v>
      </c>
      <c r="C136" s="261"/>
      <c r="D136" s="261"/>
      <c r="E136" s="261"/>
      <c r="F136" s="261"/>
      <c r="G136" s="261"/>
      <c r="H136" s="261"/>
      <c r="I136" s="261"/>
      <c r="J136" s="261"/>
      <c r="K136" s="261"/>
      <c r="L136" s="261"/>
      <c r="M136" s="261"/>
      <c r="N136" s="261"/>
      <c r="O136" s="261"/>
      <c r="P136" s="331">
        <f>+P36*0.022</f>
        <v>19815.399999999998</v>
      </c>
      <c r="Q136" s="264"/>
      <c r="R136" s="5"/>
    </row>
    <row r="137" spans="1:19" ht="15.6" x14ac:dyDescent="0.3">
      <c r="A137" s="260"/>
      <c r="B137" s="261" t="s">
        <v>52</v>
      </c>
      <c r="C137" s="261"/>
      <c r="D137" s="261"/>
      <c r="E137" s="261"/>
      <c r="F137" s="261"/>
      <c r="G137" s="261"/>
      <c r="H137" s="261"/>
      <c r="I137" s="261"/>
      <c r="J137" s="261"/>
      <c r="K137" s="261"/>
      <c r="L137" s="261"/>
      <c r="M137" s="261"/>
      <c r="N137" s="261"/>
      <c r="O137" s="261"/>
      <c r="P137" s="331">
        <v>19815</v>
      </c>
      <c r="Q137" s="264"/>
      <c r="R137" s="5"/>
    </row>
    <row r="138" spans="1:19" ht="15.6" x14ac:dyDescent="0.3">
      <c r="A138" s="260"/>
      <c r="B138" s="261" t="s">
        <v>161</v>
      </c>
      <c r="C138" s="261"/>
      <c r="D138" s="261"/>
      <c r="E138" s="261"/>
      <c r="F138" s="261"/>
      <c r="G138" s="261"/>
      <c r="H138" s="261"/>
      <c r="I138" s="261"/>
      <c r="J138" s="261"/>
      <c r="K138" s="261"/>
      <c r="L138" s="261"/>
      <c r="M138" s="261"/>
      <c r="N138" s="261"/>
      <c r="O138" s="261"/>
      <c r="P138" s="331">
        <v>0</v>
      </c>
      <c r="Q138" s="264"/>
      <c r="R138" s="5"/>
    </row>
    <row r="139" spans="1:19" ht="15.6" x14ac:dyDescent="0.3">
      <c r="A139" s="260"/>
      <c r="B139" s="261" t="s">
        <v>144</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145</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53</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153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202</v>
      </c>
      <c r="C143" s="261"/>
      <c r="D143" s="261"/>
      <c r="E143" s="261"/>
      <c r="F143" s="261"/>
      <c r="G143" s="261"/>
      <c r="H143" s="261"/>
      <c r="I143" s="261"/>
      <c r="J143" s="261"/>
      <c r="K143" s="261"/>
      <c r="L143" s="261"/>
      <c r="M143" s="261"/>
      <c r="N143" s="261"/>
      <c r="O143" s="261"/>
      <c r="P143" s="331">
        <v>0</v>
      </c>
      <c r="Q143" s="264"/>
      <c r="R143" s="5"/>
      <c r="S143" s="109"/>
    </row>
    <row r="144" spans="1:19" ht="15.6" x14ac:dyDescent="0.3">
      <c r="A144" s="260"/>
      <c r="B144" s="261" t="s">
        <v>54</v>
      </c>
      <c r="C144" s="261"/>
      <c r="D144" s="261"/>
      <c r="E144" s="261"/>
      <c r="F144" s="261"/>
      <c r="G144" s="261"/>
      <c r="H144" s="261"/>
      <c r="I144" s="261"/>
      <c r="J144" s="261"/>
      <c r="K144" s="261"/>
      <c r="L144" s="261"/>
      <c r="M144" s="261"/>
      <c r="N144" s="261"/>
      <c r="O144" s="261"/>
      <c r="P144" s="331">
        <f>SUM(P137:P143)</f>
        <v>19815</v>
      </c>
      <c r="Q144" s="264"/>
      <c r="R144" s="5"/>
    </row>
    <row r="145" spans="1:18" ht="15.6" x14ac:dyDescent="0.3">
      <c r="A145" s="183"/>
      <c r="B145" s="190"/>
      <c r="C145" s="190"/>
      <c r="D145" s="190"/>
      <c r="E145" s="190"/>
      <c r="F145" s="190"/>
      <c r="G145" s="190"/>
      <c r="H145" s="190"/>
      <c r="I145" s="190"/>
      <c r="J145" s="190"/>
      <c r="K145" s="190"/>
      <c r="L145" s="190"/>
      <c r="M145" s="190"/>
      <c r="N145" s="190"/>
      <c r="O145" s="190"/>
      <c r="P145" s="341"/>
      <c r="Q145" s="190"/>
      <c r="R145" s="5"/>
    </row>
    <row r="146" spans="1:18" ht="15.6" x14ac:dyDescent="0.3">
      <c r="A146" s="183"/>
      <c r="B146" s="209" t="s">
        <v>28</v>
      </c>
      <c r="C146" s="185"/>
      <c r="D146" s="185"/>
      <c r="E146" s="185"/>
      <c r="F146" s="185"/>
      <c r="G146" s="185"/>
      <c r="H146" s="185"/>
      <c r="I146" s="185"/>
      <c r="J146" s="185"/>
      <c r="K146" s="185"/>
      <c r="L146" s="185"/>
      <c r="M146" s="185"/>
      <c r="N146" s="185"/>
      <c r="O146" s="185"/>
      <c r="P146" s="201"/>
      <c r="Q146" s="185"/>
      <c r="R146" s="5"/>
    </row>
    <row r="147" spans="1:18" ht="15.6" x14ac:dyDescent="0.3">
      <c r="A147" s="260"/>
      <c r="B147" s="261" t="s">
        <v>55</v>
      </c>
      <c r="C147" s="261"/>
      <c r="D147" s="261"/>
      <c r="E147" s="261"/>
      <c r="F147" s="261"/>
      <c r="G147" s="261"/>
      <c r="H147" s="261"/>
      <c r="I147" s="261"/>
      <c r="J147" s="261"/>
      <c r="K147" s="261"/>
      <c r="L147" s="261"/>
      <c r="M147" s="261"/>
      <c r="N147" s="261"/>
      <c r="O147" s="261"/>
      <c r="P147" s="342" t="s">
        <v>137</v>
      </c>
      <c r="Q147" s="338"/>
      <c r="R147" s="5"/>
    </row>
    <row r="148" spans="1:18" ht="15.6" x14ac:dyDescent="0.3">
      <c r="A148" s="260"/>
      <c r="B148" s="261" t="s">
        <v>56</v>
      </c>
      <c r="C148" s="263"/>
      <c r="D148" s="263"/>
      <c r="E148" s="263"/>
      <c r="F148" s="263"/>
      <c r="G148" s="263"/>
      <c r="H148" s="263"/>
      <c r="I148" s="263"/>
      <c r="J148" s="263"/>
      <c r="K148" s="263"/>
      <c r="L148" s="263"/>
      <c r="M148" s="263"/>
      <c r="N148" s="263"/>
      <c r="O148" s="263"/>
      <c r="P148" s="342" t="s">
        <v>137</v>
      </c>
      <c r="Q148" s="338"/>
      <c r="R148" s="5"/>
    </row>
    <row r="149" spans="1:18" ht="15.6" x14ac:dyDescent="0.3">
      <c r="A149" s="260"/>
      <c r="B149" s="261" t="s">
        <v>57</v>
      </c>
      <c r="C149" s="261"/>
      <c r="D149" s="261"/>
      <c r="E149" s="261"/>
      <c r="F149" s="261"/>
      <c r="G149" s="261"/>
      <c r="H149" s="261"/>
      <c r="I149" s="261"/>
      <c r="J149" s="261"/>
      <c r="K149" s="261"/>
      <c r="L149" s="261"/>
      <c r="M149" s="261"/>
      <c r="N149" s="261"/>
      <c r="O149" s="261"/>
      <c r="P149" s="342" t="s">
        <v>137</v>
      </c>
      <c r="Q149" s="338"/>
      <c r="R149" s="5"/>
    </row>
    <row r="150" spans="1:18" ht="15.6" x14ac:dyDescent="0.3">
      <c r="A150" s="260"/>
      <c r="B150" s="261" t="s">
        <v>58</v>
      </c>
      <c r="C150" s="261"/>
      <c r="D150" s="261"/>
      <c r="E150" s="261"/>
      <c r="F150" s="261"/>
      <c r="G150" s="261"/>
      <c r="H150" s="261"/>
      <c r="I150" s="261"/>
      <c r="J150" s="261"/>
      <c r="K150" s="261"/>
      <c r="L150" s="261"/>
      <c r="M150" s="261"/>
      <c r="N150" s="261"/>
      <c r="O150" s="261"/>
      <c r="P150" s="342" t="s">
        <v>137</v>
      </c>
      <c r="Q150" s="338"/>
      <c r="R150" s="5"/>
    </row>
    <row r="151" spans="1:18" ht="15.6" x14ac:dyDescent="0.3">
      <c r="A151" s="183"/>
      <c r="B151" s="190"/>
      <c r="C151" s="190"/>
      <c r="D151" s="190"/>
      <c r="E151" s="190"/>
      <c r="F151" s="190"/>
      <c r="G151" s="190"/>
      <c r="H151" s="190"/>
      <c r="I151" s="190"/>
      <c r="J151" s="190"/>
      <c r="K151" s="190"/>
      <c r="L151" s="190"/>
      <c r="M151" s="190"/>
      <c r="N151" s="190"/>
      <c r="O151" s="190"/>
      <c r="P151" s="341"/>
      <c r="Q151" s="190"/>
      <c r="R151" s="5"/>
    </row>
    <row r="152" spans="1:18" ht="15.6" x14ac:dyDescent="0.3">
      <c r="A152" s="183"/>
      <c r="B152" s="209" t="s">
        <v>59</v>
      </c>
      <c r="C152" s="185"/>
      <c r="D152" s="185"/>
      <c r="E152" s="185"/>
      <c r="F152" s="185"/>
      <c r="G152" s="185"/>
      <c r="H152" s="185"/>
      <c r="I152" s="185"/>
      <c r="J152" s="185"/>
      <c r="K152" s="185"/>
      <c r="L152" s="185"/>
      <c r="M152" s="185"/>
      <c r="N152" s="185"/>
      <c r="O152" s="185"/>
      <c r="P152" s="210"/>
      <c r="Q152" s="185"/>
      <c r="R152" s="5"/>
    </row>
    <row r="153" spans="1:18" ht="15.6" x14ac:dyDescent="0.3">
      <c r="A153" s="260"/>
      <c r="B153" s="261" t="s">
        <v>60</v>
      </c>
      <c r="C153" s="261"/>
      <c r="D153" s="261"/>
      <c r="E153" s="261"/>
      <c r="F153" s="261"/>
      <c r="G153" s="261"/>
      <c r="H153" s="261"/>
      <c r="I153" s="261"/>
      <c r="J153" s="261"/>
      <c r="K153" s="261"/>
      <c r="L153" s="261"/>
      <c r="M153" s="261"/>
      <c r="N153" s="261"/>
      <c r="O153" s="261"/>
      <c r="P153" s="331">
        <v>0</v>
      </c>
      <c r="Q153" s="264"/>
      <c r="R153" s="5"/>
    </row>
    <row r="154" spans="1:18" ht="15.6" x14ac:dyDescent="0.3">
      <c r="A154" s="260"/>
      <c r="B154" s="261" t="s">
        <v>61</v>
      </c>
      <c r="C154" s="261"/>
      <c r="D154" s="261"/>
      <c r="E154" s="261"/>
      <c r="F154" s="261"/>
      <c r="G154" s="261"/>
      <c r="H154" s="261"/>
      <c r="I154" s="261"/>
      <c r="J154" s="261"/>
      <c r="K154" s="261"/>
      <c r="L154" s="261"/>
      <c r="M154" s="261"/>
      <c r="N154" s="261"/>
      <c r="O154" s="261"/>
      <c r="P154" s="331">
        <f>-P114</f>
        <v>287</v>
      </c>
      <c r="Q154" s="264"/>
      <c r="R154" s="5"/>
    </row>
    <row r="155" spans="1:18" ht="15.6" x14ac:dyDescent="0.3">
      <c r="A155" s="260"/>
      <c r="B155" s="261" t="s">
        <v>62</v>
      </c>
      <c r="C155" s="261"/>
      <c r="D155" s="261"/>
      <c r="E155" s="261"/>
      <c r="F155" s="261"/>
      <c r="G155" s="261"/>
      <c r="H155" s="261"/>
      <c r="I155" s="261"/>
      <c r="J155" s="261"/>
      <c r="K155" s="261"/>
      <c r="L155" s="261"/>
      <c r="M155" s="261"/>
      <c r="N155" s="261"/>
      <c r="O155" s="261"/>
      <c r="P155" s="331">
        <f>P154+P153</f>
        <v>287</v>
      </c>
      <c r="Q155" s="264"/>
      <c r="R155" s="5"/>
    </row>
    <row r="156" spans="1:18" ht="15.6" x14ac:dyDescent="0.3">
      <c r="A156" s="260"/>
      <c r="B156" s="402" t="s">
        <v>297</v>
      </c>
      <c r="C156" s="261"/>
      <c r="D156" s="261"/>
      <c r="E156" s="261"/>
      <c r="F156" s="261"/>
      <c r="G156" s="261"/>
      <c r="H156" s="261"/>
      <c r="I156" s="261"/>
      <c r="J156" s="261"/>
      <c r="K156" s="261"/>
      <c r="L156" s="261"/>
      <c r="M156" s="261"/>
      <c r="N156" s="261"/>
      <c r="O156" s="261"/>
      <c r="P156" s="331">
        <f>P114</f>
        <v>-287</v>
      </c>
      <c r="Q156" s="264"/>
      <c r="R156" s="5"/>
    </row>
    <row r="157" spans="1:18" ht="15.6" x14ac:dyDescent="0.3">
      <c r="A157" s="260"/>
      <c r="B157" s="261" t="s">
        <v>63</v>
      </c>
      <c r="C157" s="261"/>
      <c r="D157" s="261"/>
      <c r="E157" s="261"/>
      <c r="F157" s="261"/>
      <c r="G157" s="261"/>
      <c r="H157" s="261"/>
      <c r="I157" s="261"/>
      <c r="J157" s="261"/>
      <c r="K157" s="261"/>
      <c r="L157" s="261"/>
      <c r="M157" s="261"/>
      <c r="N157" s="261"/>
      <c r="O157" s="261"/>
      <c r="P157" s="331">
        <f>P155+P156</f>
        <v>0</v>
      </c>
      <c r="Q157" s="264"/>
      <c r="R157" s="5"/>
    </row>
    <row r="158" spans="1:18" ht="15.6" x14ac:dyDescent="0.3">
      <c r="A158" s="260"/>
      <c r="B158" s="261" t="s">
        <v>268</v>
      </c>
      <c r="C158" s="261"/>
      <c r="D158" s="261"/>
      <c r="E158" s="261"/>
      <c r="F158" s="261"/>
      <c r="G158" s="261"/>
      <c r="H158" s="261"/>
      <c r="I158" s="261"/>
      <c r="J158" s="261"/>
      <c r="K158" s="261"/>
      <c r="L158" s="261"/>
      <c r="M158" s="261"/>
      <c r="N158" s="261"/>
      <c r="O158" s="261"/>
      <c r="P158" s="331">
        <v>0</v>
      </c>
      <c r="Q158" s="264"/>
      <c r="R158" s="5"/>
    </row>
    <row r="159" spans="1:18" ht="16.2" thickBot="1" x14ac:dyDescent="0.35">
      <c r="A159" s="183"/>
      <c r="B159" s="190"/>
      <c r="C159" s="190"/>
      <c r="D159" s="190"/>
      <c r="E159" s="190"/>
      <c r="F159" s="190"/>
      <c r="G159" s="190"/>
      <c r="H159" s="190"/>
      <c r="I159" s="190"/>
      <c r="J159" s="190"/>
      <c r="K159" s="190"/>
      <c r="L159" s="190"/>
      <c r="M159" s="190"/>
      <c r="N159" s="190"/>
      <c r="O159" s="190"/>
      <c r="P159" s="341"/>
      <c r="Q159" s="190"/>
      <c r="R159" s="5"/>
    </row>
    <row r="160" spans="1:18" ht="15.6" x14ac:dyDescent="0.3">
      <c r="A160" s="180"/>
      <c r="B160" s="181"/>
      <c r="C160" s="181"/>
      <c r="D160" s="181"/>
      <c r="E160" s="181"/>
      <c r="F160" s="181"/>
      <c r="G160" s="181"/>
      <c r="H160" s="181"/>
      <c r="I160" s="181"/>
      <c r="J160" s="181"/>
      <c r="K160" s="181"/>
      <c r="L160" s="181"/>
      <c r="M160" s="181"/>
      <c r="N160" s="181"/>
      <c r="O160" s="181"/>
      <c r="P160" s="200"/>
      <c r="Q160" s="181"/>
      <c r="R160" s="5"/>
    </row>
    <row r="161" spans="1:19" ht="15.6" x14ac:dyDescent="0.3">
      <c r="A161" s="183"/>
      <c r="B161" s="209" t="s">
        <v>64</v>
      </c>
      <c r="C161" s="185"/>
      <c r="D161" s="185"/>
      <c r="E161" s="185"/>
      <c r="F161" s="185"/>
      <c r="G161" s="185"/>
      <c r="H161" s="185"/>
      <c r="I161" s="185"/>
      <c r="J161" s="185"/>
      <c r="K161" s="185"/>
      <c r="L161" s="185"/>
      <c r="M161" s="185"/>
      <c r="N161" s="185"/>
      <c r="O161" s="185"/>
      <c r="P161" s="201"/>
      <c r="Q161" s="185"/>
      <c r="R161" s="5"/>
    </row>
    <row r="162" spans="1:19" ht="15.6" x14ac:dyDescent="0.3">
      <c r="A162" s="183"/>
      <c r="B162" s="196"/>
      <c r="C162" s="185"/>
      <c r="D162" s="185"/>
      <c r="E162" s="185"/>
      <c r="F162" s="185"/>
      <c r="G162" s="185"/>
      <c r="H162" s="185"/>
      <c r="I162" s="185"/>
      <c r="J162" s="185"/>
      <c r="K162" s="185"/>
      <c r="L162" s="185"/>
      <c r="M162" s="185"/>
      <c r="N162" s="185"/>
      <c r="O162" s="185"/>
      <c r="P162" s="201"/>
      <c r="Q162" s="185"/>
      <c r="R162" s="5"/>
    </row>
    <row r="163" spans="1:19" ht="15.6" x14ac:dyDescent="0.3">
      <c r="A163" s="260"/>
      <c r="B163" s="261" t="s">
        <v>221</v>
      </c>
      <c r="C163" s="261"/>
      <c r="D163" s="261"/>
      <c r="E163" s="261"/>
      <c r="F163" s="261"/>
      <c r="G163" s="261"/>
      <c r="H163" s="261"/>
      <c r="I163" s="261"/>
      <c r="J163" s="261"/>
      <c r="K163" s="261"/>
      <c r="L163" s="261"/>
      <c r="M163" s="261"/>
      <c r="N163" s="261"/>
      <c r="O163" s="261"/>
      <c r="P163" s="331">
        <f>P72</f>
        <v>407696</v>
      </c>
      <c r="Q163" s="264"/>
      <c r="R163" s="5"/>
    </row>
    <row r="164" spans="1:19" ht="15.6" x14ac:dyDescent="0.3">
      <c r="A164" s="260"/>
      <c r="B164" s="261" t="s">
        <v>273</v>
      </c>
      <c r="C164" s="261"/>
      <c r="D164" s="261"/>
      <c r="E164" s="261"/>
      <c r="F164" s="261"/>
      <c r="G164" s="261"/>
      <c r="H164" s="261"/>
      <c r="I164" s="261"/>
      <c r="J164" s="261"/>
      <c r="K164" s="261"/>
      <c r="L164" s="261"/>
      <c r="M164" s="261"/>
      <c r="N164" s="261"/>
      <c r="O164" s="261"/>
      <c r="P164" s="331">
        <f>+P85</f>
        <v>0</v>
      </c>
      <c r="Q164" s="264"/>
      <c r="R164" s="5"/>
    </row>
    <row r="165" spans="1:19" ht="15.6" x14ac:dyDescent="0.3">
      <c r="A165" s="260"/>
      <c r="B165" s="261" t="s">
        <v>65</v>
      </c>
      <c r="C165" s="261"/>
      <c r="D165" s="261"/>
      <c r="E165" s="261"/>
      <c r="F165" s="261"/>
      <c r="G165" s="261"/>
      <c r="H165" s="261"/>
      <c r="I165" s="261"/>
      <c r="J165" s="261"/>
      <c r="K165" s="261"/>
      <c r="L165" s="261"/>
      <c r="M165" s="261"/>
      <c r="N165" s="261"/>
      <c r="O165" s="261"/>
      <c r="P165" s="331">
        <f>P38</f>
        <v>407696.1474473126</v>
      </c>
      <c r="Q165" s="264"/>
      <c r="R165" s="5"/>
      <c r="S165" s="109"/>
    </row>
    <row r="166" spans="1:19" ht="16.2" thickBot="1" x14ac:dyDescent="0.35">
      <c r="A166" s="183"/>
      <c r="B166" s="190"/>
      <c r="C166" s="190"/>
      <c r="D166" s="190"/>
      <c r="E166" s="190"/>
      <c r="F166" s="190"/>
      <c r="G166" s="190"/>
      <c r="H166" s="190"/>
      <c r="I166" s="190"/>
      <c r="J166" s="190"/>
      <c r="K166" s="190"/>
      <c r="L166" s="190"/>
      <c r="M166" s="190"/>
      <c r="N166" s="190"/>
      <c r="O166" s="190"/>
      <c r="P166" s="341"/>
      <c r="Q166" s="190"/>
      <c r="R166" s="5"/>
    </row>
    <row r="167" spans="1:19" ht="15.6" x14ac:dyDescent="0.3">
      <c r="A167" s="180"/>
      <c r="B167" s="181"/>
      <c r="C167" s="181"/>
      <c r="D167" s="181"/>
      <c r="E167" s="181"/>
      <c r="F167" s="181"/>
      <c r="G167" s="181"/>
      <c r="H167" s="181"/>
      <c r="I167" s="181"/>
      <c r="J167" s="181"/>
      <c r="K167" s="181"/>
      <c r="L167" s="181"/>
      <c r="M167" s="181"/>
      <c r="N167" s="181"/>
      <c r="O167" s="181"/>
      <c r="P167" s="200"/>
      <c r="Q167" s="181"/>
      <c r="R167" s="5"/>
    </row>
    <row r="168" spans="1:19" ht="15.6" x14ac:dyDescent="0.3">
      <c r="A168" s="183"/>
      <c r="B168" s="209" t="s">
        <v>66</v>
      </c>
      <c r="C168" s="205"/>
      <c r="D168" s="205"/>
      <c r="E168" s="205"/>
      <c r="F168" s="211"/>
      <c r="G168" s="211"/>
      <c r="H168" s="211"/>
      <c r="I168" s="211"/>
      <c r="J168" s="211"/>
      <c r="K168" s="211"/>
      <c r="L168" s="211"/>
      <c r="M168" s="211" t="s">
        <v>112</v>
      </c>
      <c r="N168" s="211" t="s">
        <v>120</v>
      </c>
      <c r="O168" s="187"/>
      <c r="P168" s="212" t="s">
        <v>129</v>
      </c>
      <c r="Q168" s="213"/>
      <c r="R168" s="5"/>
    </row>
    <row r="169" spans="1:19" ht="15.6" x14ac:dyDescent="0.3">
      <c r="A169" s="260"/>
      <c r="B169" s="261" t="s">
        <v>67</v>
      </c>
      <c r="C169" s="261"/>
      <c r="D169" s="261"/>
      <c r="E169" s="261"/>
      <c r="F169" s="261"/>
      <c r="G169" s="261"/>
      <c r="H169" s="261"/>
      <c r="I169" s="261"/>
      <c r="J169" s="261"/>
      <c r="K169" s="261"/>
      <c r="L169" s="261"/>
      <c r="M169" s="331">
        <v>144000</v>
      </c>
      <c r="N169" s="292">
        <v>0</v>
      </c>
      <c r="O169" s="261"/>
      <c r="P169" s="331"/>
      <c r="Q169" s="264"/>
      <c r="R169" s="5"/>
    </row>
    <row r="170" spans="1:19" ht="15.6" x14ac:dyDescent="0.3">
      <c r="A170" s="260"/>
      <c r="B170" s="261" t="s">
        <v>68</v>
      </c>
      <c r="C170" s="261"/>
      <c r="D170" s="261"/>
      <c r="E170" s="261"/>
      <c r="F170" s="261"/>
      <c r="G170" s="261"/>
      <c r="H170" s="261"/>
      <c r="I170" s="261"/>
      <c r="J170" s="261"/>
      <c r="K170" s="261"/>
      <c r="L170" s="261"/>
      <c r="M170" s="331">
        <f>+'April 10'!M173</f>
        <v>86336</v>
      </c>
      <c r="N170" s="331">
        <f>+'April 10'!N173</f>
        <v>10203</v>
      </c>
      <c r="O170" s="261"/>
      <c r="P170" s="331">
        <f>M170+N170</f>
        <v>96539</v>
      </c>
      <c r="Q170" s="264"/>
      <c r="R170" s="5"/>
    </row>
    <row r="171" spans="1:19" ht="15.6" x14ac:dyDescent="0.3">
      <c r="A171" s="260"/>
      <c r="B171" s="261" t="s">
        <v>69</v>
      </c>
      <c r="C171" s="261"/>
      <c r="D171" s="261"/>
      <c r="E171" s="261"/>
      <c r="F171" s="261"/>
      <c r="G171" s="261"/>
      <c r="H171" s="261"/>
      <c r="I171" s="261"/>
      <c r="J171" s="261"/>
      <c r="K171" s="261"/>
      <c r="L171" s="261"/>
      <c r="M171" s="330">
        <v>94</v>
      </c>
      <c r="N171" s="330">
        <f>-N99-N121</f>
        <v>1</v>
      </c>
      <c r="O171" s="261"/>
      <c r="P171" s="331">
        <f>M171+N171</f>
        <v>95</v>
      </c>
      <c r="Q171" s="264"/>
      <c r="R171" s="5"/>
    </row>
    <row r="172" spans="1:19" ht="15.6" x14ac:dyDescent="0.3">
      <c r="A172" s="260"/>
      <c r="B172" s="261" t="s">
        <v>70</v>
      </c>
      <c r="C172" s="261"/>
      <c r="D172" s="261"/>
      <c r="E172" s="261"/>
      <c r="F172" s="261"/>
      <c r="G172" s="261"/>
      <c r="H172" s="261"/>
      <c r="I172" s="261"/>
      <c r="J172" s="261"/>
      <c r="K172" s="261"/>
      <c r="L172" s="261"/>
      <c r="M172" s="331">
        <f>M170+M171</f>
        <v>86430</v>
      </c>
      <c r="N172" s="331">
        <f>N171+N170</f>
        <v>10204</v>
      </c>
      <c r="O172" s="261"/>
      <c r="P172" s="331">
        <f>M172+N172</f>
        <v>96634</v>
      </c>
      <c r="Q172" s="264"/>
      <c r="R172" s="5"/>
    </row>
    <row r="173" spans="1:19" ht="15.6" x14ac:dyDescent="0.3">
      <c r="A173" s="260"/>
      <c r="B173" s="261" t="s">
        <v>71</v>
      </c>
      <c r="C173" s="261"/>
      <c r="D173" s="261"/>
      <c r="E173" s="261"/>
      <c r="F173" s="261"/>
      <c r="G173" s="261"/>
      <c r="H173" s="261"/>
      <c r="I173" s="261"/>
      <c r="J173" s="261"/>
      <c r="K173" s="261"/>
      <c r="L173" s="261"/>
      <c r="M173" s="331">
        <f>M169-M172-N172</f>
        <v>47366</v>
      </c>
      <c r="N173" s="292"/>
      <c r="O173" s="261"/>
      <c r="P173" s="331"/>
      <c r="Q173" s="264"/>
      <c r="R173" s="5"/>
    </row>
    <row r="174" spans="1:19" ht="16.2" thickBot="1" x14ac:dyDescent="0.35">
      <c r="A174" s="183"/>
      <c r="B174" s="190"/>
      <c r="C174" s="190"/>
      <c r="D174" s="190"/>
      <c r="E174" s="190"/>
      <c r="F174" s="190"/>
      <c r="G174" s="190"/>
      <c r="H174" s="190"/>
      <c r="I174" s="190"/>
      <c r="J174" s="190"/>
      <c r="K174" s="190"/>
      <c r="L174" s="190"/>
      <c r="M174" s="190"/>
      <c r="N174" s="190"/>
      <c r="O174" s="190"/>
      <c r="P174" s="341"/>
      <c r="Q174" s="190"/>
      <c r="R174" s="5"/>
    </row>
    <row r="175" spans="1:19" ht="15.6" x14ac:dyDescent="0.3">
      <c r="A175" s="180"/>
      <c r="B175" s="181"/>
      <c r="C175" s="181"/>
      <c r="D175" s="181"/>
      <c r="E175" s="181"/>
      <c r="F175" s="181"/>
      <c r="G175" s="181"/>
      <c r="H175" s="181"/>
      <c r="I175" s="181"/>
      <c r="J175" s="181"/>
      <c r="K175" s="181"/>
      <c r="L175" s="181"/>
      <c r="M175" s="181"/>
      <c r="N175" s="181"/>
      <c r="O175" s="181"/>
      <c r="P175" s="200"/>
      <c r="Q175" s="181"/>
      <c r="R175" s="5"/>
    </row>
    <row r="176" spans="1:19" ht="15.6" x14ac:dyDescent="0.3">
      <c r="A176" s="183"/>
      <c r="B176" s="209" t="s">
        <v>72</v>
      </c>
      <c r="C176" s="185"/>
      <c r="D176" s="185"/>
      <c r="E176" s="185"/>
      <c r="F176" s="185"/>
      <c r="G176" s="185"/>
      <c r="H176" s="185"/>
      <c r="I176" s="185"/>
      <c r="J176" s="185"/>
      <c r="K176" s="185"/>
      <c r="L176" s="185"/>
      <c r="M176" s="185"/>
      <c r="N176" s="185"/>
      <c r="O176" s="185"/>
      <c r="P176" s="214"/>
      <c r="Q176" s="185"/>
      <c r="R176" s="5"/>
    </row>
    <row r="177" spans="1:18" ht="15.6" x14ac:dyDescent="0.3">
      <c r="A177" s="260"/>
      <c r="B177" s="261" t="s">
        <v>73</v>
      </c>
      <c r="C177" s="261"/>
      <c r="D177" s="261"/>
      <c r="E177" s="261"/>
      <c r="F177" s="261"/>
      <c r="G177" s="261"/>
      <c r="H177" s="261"/>
      <c r="I177" s="261"/>
      <c r="J177" s="261"/>
      <c r="K177" s="261"/>
      <c r="L177" s="261"/>
      <c r="M177" s="261"/>
      <c r="N177" s="261"/>
      <c r="O177" s="261"/>
      <c r="P177" s="343">
        <f>(P102+P104+P105+P106+P107)/-(P108+P109+P110)</f>
        <v>2.6611165523996081</v>
      </c>
      <c r="Q177" s="264" t="s">
        <v>130</v>
      </c>
      <c r="R177" s="5"/>
    </row>
    <row r="178" spans="1:18" ht="15.6" x14ac:dyDescent="0.3">
      <c r="A178" s="260"/>
      <c r="B178" s="261" t="s">
        <v>74</v>
      </c>
      <c r="C178" s="261"/>
      <c r="D178" s="261"/>
      <c r="E178" s="261"/>
      <c r="F178" s="261"/>
      <c r="G178" s="261"/>
      <c r="H178" s="261"/>
      <c r="I178" s="261"/>
      <c r="J178" s="261"/>
      <c r="K178" s="261"/>
      <c r="L178" s="261"/>
      <c r="M178" s="261"/>
      <c r="N178" s="261"/>
      <c r="O178" s="261"/>
      <c r="P178" s="343">
        <v>1.45</v>
      </c>
      <c r="Q178" s="264" t="s">
        <v>130</v>
      </c>
      <c r="R178" s="5"/>
    </row>
    <row r="179" spans="1:18" ht="15.6" x14ac:dyDescent="0.3">
      <c r="A179" s="260"/>
      <c r="B179" s="261" t="s">
        <v>75</v>
      </c>
      <c r="C179" s="261"/>
      <c r="D179" s="261"/>
      <c r="E179" s="261"/>
      <c r="F179" s="261"/>
      <c r="G179" s="261"/>
      <c r="H179" s="261"/>
      <c r="I179" s="261"/>
      <c r="J179" s="261"/>
      <c r="K179" s="261"/>
      <c r="L179" s="261"/>
      <c r="M179" s="261"/>
      <c r="N179" s="261"/>
      <c r="O179" s="261"/>
      <c r="P179" s="342">
        <f>(P102+P104+P105+P106+P107+P108+P109+P110)/-(P111+P112)</f>
        <v>3.2552783109404992</v>
      </c>
      <c r="Q179" s="264" t="s">
        <v>130</v>
      </c>
      <c r="R179" s="5"/>
    </row>
    <row r="180" spans="1:18" ht="15.6" x14ac:dyDescent="0.3">
      <c r="A180" s="260"/>
      <c r="B180" s="261" t="s">
        <v>76</v>
      </c>
      <c r="C180" s="261"/>
      <c r="D180" s="261"/>
      <c r="E180" s="261"/>
      <c r="F180" s="261"/>
      <c r="G180" s="261"/>
      <c r="H180" s="261"/>
      <c r="I180" s="261"/>
      <c r="J180" s="261"/>
      <c r="K180" s="261"/>
      <c r="L180" s="261"/>
      <c r="M180" s="261"/>
      <c r="N180" s="261"/>
      <c r="O180" s="261"/>
      <c r="P180" s="343">
        <v>2.42</v>
      </c>
      <c r="Q180" s="264" t="s">
        <v>130</v>
      </c>
      <c r="R180" s="5"/>
    </row>
    <row r="181" spans="1:18" ht="15.6" x14ac:dyDescent="0.3">
      <c r="A181" s="260"/>
      <c r="B181" s="335"/>
      <c r="C181" s="335"/>
      <c r="D181" s="335"/>
      <c r="E181" s="335"/>
      <c r="F181" s="335"/>
      <c r="G181" s="335"/>
      <c r="H181" s="335"/>
      <c r="I181" s="335"/>
      <c r="J181" s="335"/>
      <c r="K181" s="335"/>
      <c r="L181" s="335"/>
      <c r="M181" s="335"/>
      <c r="N181" s="335"/>
      <c r="O181" s="335"/>
      <c r="P181" s="335"/>
      <c r="Q181" s="338"/>
      <c r="R181" s="5"/>
    </row>
    <row r="182" spans="1:18" ht="15.6" x14ac:dyDescent="0.3">
      <c r="A182" s="183"/>
      <c r="B182" s="190"/>
      <c r="C182" s="190"/>
      <c r="D182" s="190"/>
      <c r="E182" s="190"/>
      <c r="F182" s="190"/>
      <c r="G182" s="190"/>
      <c r="H182" s="190"/>
      <c r="I182" s="190"/>
      <c r="J182" s="190"/>
      <c r="K182" s="190"/>
      <c r="L182" s="190"/>
      <c r="M182" s="190"/>
      <c r="N182" s="190"/>
      <c r="O182" s="190"/>
      <c r="P182" s="190"/>
      <c r="Q182" s="190"/>
      <c r="R182" s="5"/>
    </row>
    <row r="183" spans="1:18" ht="15.6" x14ac:dyDescent="0.3">
      <c r="A183" s="183"/>
      <c r="B183" s="185"/>
      <c r="C183" s="185"/>
      <c r="D183" s="185"/>
      <c r="E183" s="185"/>
      <c r="F183" s="185"/>
      <c r="G183" s="185"/>
      <c r="H183" s="185"/>
      <c r="I183" s="185"/>
      <c r="J183" s="185"/>
      <c r="K183" s="185"/>
      <c r="L183" s="185"/>
      <c r="M183" s="185"/>
      <c r="N183" s="185"/>
      <c r="O183" s="185"/>
      <c r="P183" s="185"/>
      <c r="Q183" s="185"/>
      <c r="R183" s="5"/>
    </row>
    <row r="184" spans="1:18" ht="18" thickBot="1" x14ac:dyDescent="0.35">
      <c r="A184" s="199"/>
      <c r="B184" s="239" t="str">
        <f>B132</f>
        <v>PM7 INVESTOR REPORT QUARTER ENDING JULY 2010</v>
      </c>
      <c r="C184" s="215"/>
      <c r="D184" s="215"/>
      <c r="E184" s="215"/>
      <c r="F184" s="215"/>
      <c r="G184" s="215"/>
      <c r="H184" s="215"/>
      <c r="I184" s="215"/>
      <c r="J184" s="215"/>
      <c r="K184" s="215"/>
      <c r="L184" s="215"/>
      <c r="M184" s="215"/>
      <c r="N184" s="215"/>
      <c r="O184" s="215"/>
      <c r="P184" s="215"/>
      <c r="Q184" s="216"/>
      <c r="R184" s="5"/>
    </row>
    <row r="185" spans="1:18" ht="15.6" x14ac:dyDescent="0.3">
      <c r="A185" s="323"/>
      <c r="B185" s="327" t="s">
        <v>77</v>
      </c>
      <c r="C185" s="324"/>
      <c r="D185" s="324"/>
      <c r="E185" s="325"/>
      <c r="F185" s="325"/>
      <c r="G185" s="325"/>
      <c r="H185" s="325"/>
      <c r="I185" s="325"/>
      <c r="J185" s="325"/>
      <c r="K185" s="325"/>
      <c r="L185" s="325"/>
      <c r="M185" s="325"/>
      <c r="N185" s="325">
        <f>H89</f>
        <v>40389</v>
      </c>
      <c r="O185" s="326"/>
      <c r="P185" s="326"/>
      <c r="Q185" s="326"/>
      <c r="R185" s="5"/>
    </row>
    <row r="186" spans="1:18" ht="15.6" x14ac:dyDescent="0.3">
      <c r="A186" s="217"/>
      <c r="B186" s="218"/>
      <c r="C186" s="219"/>
      <c r="D186" s="219"/>
      <c r="E186" s="220"/>
      <c r="F186" s="220"/>
      <c r="G186" s="220"/>
      <c r="H186" s="220"/>
      <c r="I186" s="220"/>
      <c r="J186" s="220"/>
      <c r="K186" s="220"/>
      <c r="L186" s="220"/>
      <c r="M186" s="220"/>
      <c r="N186" s="220"/>
      <c r="O186" s="185"/>
      <c r="P186" s="185"/>
      <c r="Q186" s="185"/>
      <c r="R186" s="5"/>
    </row>
    <row r="187" spans="1:18" ht="15.6" x14ac:dyDescent="0.3">
      <c r="A187" s="345"/>
      <c r="B187" s="261" t="s">
        <v>78</v>
      </c>
      <c r="C187" s="346"/>
      <c r="D187" s="346"/>
      <c r="E187" s="295"/>
      <c r="F187" s="295"/>
      <c r="G187" s="295"/>
      <c r="H187" s="295"/>
      <c r="I187" s="295"/>
      <c r="J187" s="295"/>
      <c r="K187" s="295"/>
      <c r="L187" s="295"/>
      <c r="M187" s="295"/>
      <c r="N187" s="290">
        <v>5.8069999999999997E-2</v>
      </c>
      <c r="O187" s="261"/>
      <c r="P187" s="261"/>
      <c r="Q187" s="264"/>
      <c r="R187" s="5"/>
    </row>
    <row r="188" spans="1:18" ht="15.6" x14ac:dyDescent="0.3">
      <c r="A188" s="345"/>
      <c r="B188" s="261" t="s">
        <v>219</v>
      </c>
      <c r="C188" s="346"/>
      <c r="D188" s="346"/>
      <c r="E188" s="295"/>
      <c r="F188" s="295"/>
      <c r="G188" s="295"/>
      <c r="H188" s="295"/>
      <c r="I188" s="295"/>
      <c r="J188" s="295"/>
      <c r="K188" s="295"/>
      <c r="L188" s="295"/>
      <c r="M188" s="295"/>
      <c r="N188" s="290">
        <v>5.1499999999999997E-2</v>
      </c>
      <c r="O188" s="261"/>
      <c r="P188" s="261"/>
      <c r="Q188" s="264"/>
      <c r="R188" s="5"/>
    </row>
    <row r="189" spans="1:18" ht="15.6" x14ac:dyDescent="0.3">
      <c r="A189" s="345"/>
      <c r="B189" s="261" t="s">
        <v>79</v>
      </c>
      <c r="C189" s="346"/>
      <c r="D189" s="346"/>
      <c r="E189" s="295"/>
      <c r="F189" s="295"/>
      <c r="G189" s="295"/>
      <c r="H189" s="295"/>
      <c r="I189" s="295"/>
      <c r="J189" s="295"/>
      <c r="K189" s="295"/>
      <c r="L189" s="295"/>
      <c r="M189" s="295"/>
      <c r="N189" s="290">
        <f>N187-N188</f>
        <v>6.5699999999999995E-3</v>
      </c>
      <c r="O189" s="261"/>
      <c r="P189" s="261"/>
      <c r="Q189" s="264"/>
      <c r="R189" s="5"/>
    </row>
    <row r="190" spans="1:18" ht="15.6" x14ac:dyDescent="0.3">
      <c r="A190" s="345"/>
      <c r="B190" s="261" t="s">
        <v>80</v>
      </c>
      <c r="C190" s="346"/>
      <c r="D190" s="346"/>
      <c r="E190" s="295"/>
      <c r="F190" s="295"/>
      <c r="G190" s="295"/>
      <c r="H190" s="295"/>
      <c r="I190" s="295"/>
      <c r="J190" s="295"/>
      <c r="K190" s="295"/>
      <c r="L190" s="295"/>
      <c r="M190" s="295"/>
      <c r="N190" s="290">
        <v>2.7310000000000001E-2</v>
      </c>
      <c r="O190" s="261"/>
      <c r="P190" s="261"/>
      <c r="Q190" s="264"/>
      <c r="R190" s="5"/>
    </row>
    <row r="191" spans="1:18" ht="15.6" x14ac:dyDescent="0.3">
      <c r="A191" s="345"/>
      <c r="B191" s="261" t="s">
        <v>241</v>
      </c>
      <c r="C191" s="346"/>
      <c r="D191" s="346"/>
      <c r="E191" s="295"/>
      <c r="F191" s="295"/>
      <c r="G191" s="295"/>
      <c r="H191" s="295"/>
      <c r="I191" s="295"/>
      <c r="J191" s="295"/>
      <c r="K191" s="295"/>
      <c r="L191" s="295"/>
      <c r="M191" s="295"/>
      <c r="N191" s="290">
        <f>+P45</f>
        <v>1.5019334613568578E-2</v>
      </c>
      <c r="O191" s="261"/>
      <c r="P191" s="261"/>
      <c r="Q191" s="264"/>
      <c r="R191" s="5"/>
    </row>
    <row r="192" spans="1:18" ht="15.6" x14ac:dyDescent="0.3">
      <c r="A192" s="345"/>
      <c r="B192" s="261" t="s">
        <v>81</v>
      </c>
      <c r="C192" s="346"/>
      <c r="D192" s="346"/>
      <c r="E192" s="295"/>
      <c r="F192" s="295"/>
      <c r="G192" s="295"/>
      <c r="H192" s="295"/>
      <c r="I192" s="295"/>
      <c r="J192" s="295"/>
      <c r="K192" s="295"/>
      <c r="L192" s="295"/>
      <c r="M192" s="295"/>
      <c r="N192" s="290">
        <f>N190-N191</f>
        <v>1.2290665386431423E-2</v>
      </c>
      <c r="O192" s="261"/>
      <c r="P192" s="261"/>
      <c r="Q192" s="264"/>
      <c r="R192" s="5"/>
    </row>
    <row r="193" spans="1:18" ht="15.6" x14ac:dyDescent="0.3">
      <c r="A193" s="345"/>
      <c r="B193" s="261" t="s">
        <v>257</v>
      </c>
      <c r="C193" s="346"/>
      <c r="D193" s="346"/>
      <c r="E193" s="295"/>
      <c r="F193" s="295"/>
      <c r="G193" s="295"/>
      <c r="H193" s="295"/>
      <c r="I193" s="295"/>
      <c r="J193" s="295"/>
      <c r="K193" s="295"/>
      <c r="L193" s="295"/>
      <c r="M193" s="295"/>
      <c r="N193" s="290">
        <f>+P102/H72</f>
        <v>7.7343879048165027E-3</v>
      </c>
      <c r="O193" s="261"/>
      <c r="P193" s="261"/>
      <c r="Q193" s="264"/>
      <c r="R193" s="5"/>
    </row>
    <row r="194" spans="1:18" ht="15.6" x14ac:dyDescent="0.3">
      <c r="A194" s="345"/>
      <c r="B194" s="261" t="s">
        <v>170</v>
      </c>
      <c r="C194" s="346"/>
      <c r="D194" s="346"/>
      <c r="E194" s="295"/>
      <c r="F194" s="295"/>
      <c r="G194" s="295"/>
      <c r="H194" s="295"/>
      <c r="I194" s="295"/>
      <c r="J194" s="295"/>
      <c r="K194" s="295"/>
      <c r="L194" s="295"/>
      <c r="M194" s="295"/>
      <c r="N194" s="347">
        <v>49065</v>
      </c>
      <c r="O194" s="261"/>
      <c r="P194" s="261"/>
      <c r="Q194" s="264"/>
      <c r="R194" s="5"/>
    </row>
    <row r="195" spans="1:18" ht="15.6" x14ac:dyDescent="0.3">
      <c r="A195" s="345"/>
      <c r="B195" s="261" t="s">
        <v>171</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172</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138</v>
      </c>
      <c r="C197" s="346"/>
      <c r="D197" s="346"/>
      <c r="E197" s="295"/>
      <c r="F197" s="295"/>
      <c r="G197" s="295"/>
      <c r="H197" s="295"/>
      <c r="I197" s="295"/>
      <c r="J197" s="295"/>
      <c r="K197" s="295"/>
      <c r="L197" s="295"/>
      <c r="M197" s="295"/>
      <c r="N197" s="347">
        <v>52352</v>
      </c>
      <c r="O197" s="261"/>
      <c r="P197" s="261"/>
      <c r="Q197" s="264"/>
      <c r="R197" s="5"/>
    </row>
    <row r="198" spans="1:18" ht="15.6" x14ac:dyDescent="0.3">
      <c r="A198" s="345"/>
      <c r="B198" s="261" t="s">
        <v>139</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82</v>
      </c>
      <c r="C199" s="346"/>
      <c r="D199" s="346"/>
      <c r="E199" s="295"/>
      <c r="F199" s="295"/>
      <c r="G199" s="295"/>
      <c r="H199" s="295"/>
      <c r="I199" s="295"/>
      <c r="J199" s="295"/>
      <c r="K199" s="295"/>
      <c r="L199" s="295"/>
      <c r="M199" s="295"/>
      <c r="N199" s="294">
        <v>20.45</v>
      </c>
      <c r="O199" s="261" t="s">
        <v>125</v>
      </c>
      <c r="P199" s="261"/>
      <c r="Q199" s="264"/>
      <c r="R199" s="5"/>
    </row>
    <row r="200" spans="1:18" ht="15.6" x14ac:dyDescent="0.3">
      <c r="A200" s="345"/>
      <c r="B200" s="261" t="s">
        <v>83</v>
      </c>
      <c r="C200" s="346"/>
      <c r="D200" s="346"/>
      <c r="E200" s="295"/>
      <c r="F200" s="295"/>
      <c r="G200" s="295"/>
      <c r="H200" s="295"/>
      <c r="I200" s="295"/>
      <c r="J200" s="295"/>
      <c r="K200" s="295"/>
      <c r="L200" s="295"/>
      <c r="M200" s="295"/>
      <c r="N200" s="294">
        <v>15.85</v>
      </c>
      <c r="O200" s="261" t="s">
        <v>125</v>
      </c>
      <c r="P200" s="261"/>
      <c r="Q200" s="264"/>
      <c r="R200" s="5"/>
    </row>
    <row r="201" spans="1:18" ht="15.6" x14ac:dyDescent="0.3">
      <c r="A201" s="345"/>
      <c r="B201" s="261" t="s">
        <v>84</v>
      </c>
      <c r="C201" s="346"/>
      <c r="D201" s="346"/>
      <c r="E201" s="295"/>
      <c r="F201" s="295"/>
      <c r="G201" s="295"/>
      <c r="H201" s="295"/>
      <c r="I201" s="295"/>
      <c r="J201" s="295"/>
      <c r="K201" s="295"/>
      <c r="L201" s="295"/>
      <c r="M201" s="295"/>
      <c r="N201" s="290">
        <f>J69/H69</f>
        <v>9.8793202289223347E-3</v>
      </c>
      <c r="O201" s="261"/>
      <c r="P201" s="261"/>
      <c r="Q201" s="264"/>
      <c r="R201" s="5"/>
    </row>
    <row r="202" spans="1:18" ht="15.6" x14ac:dyDescent="0.3">
      <c r="A202" s="345"/>
      <c r="B202" s="261" t="s">
        <v>85</v>
      </c>
      <c r="C202" s="346"/>
      <c r="D202" s="346"/>
      <c r="E202" s="295"/>
      <c r="F202" s="295"/>
      <c r="G202" s="295"/>
      <c r="H202" s="295"/>
      <c r="I202" s="295"/>
      <c r="J202" s="295"/>
      <c r="K202" s="295"/>
      <c r="L202" s="295"/>
      <c r="M202" s="295"/>
      <c r="N202" s="290">
        <v>0.1424</v>
      </c>
      <c r="O202" s="261"/>
      <c r="P202" s="261"/>
      <c r="Q202" s="264"/>
      <c r="R202" s="5"/>
    </row>
    <row r="203" spans="1:18" ht="15.6" x14ac:dyDescent="0.3">
      <c r="A203" s="217"/>
      <c r="B203" s="222"/>
      <c r="C203" s="222"/>
      <c r="D203" s="222"/>
      <c r="E203" s="190"/>
      <c r="F203" s="190"/>
      <c r="G203" s="190"/>
      <c r="H203" s="190"/>
      <c r="I203" s="190"/>
      <c r="J203" s="190"/>
      <c r="K203" s="190"/>
      <c r="L203" s="190"/>
      <c r="M203" s="190"/>
      <c r="N203" s="341"/>
      <c r="O203" s="190"/>
      <c r="P203" s="344"/>
      <c r="Q203" s="190"/>
      <c r="R203" s="5"/>
    </row>
    <row r="204" spans="1:18" ht="15.6" x14ac:dyDescent="0.3">
      <c r="A204" s="322"/>
      <c r="B204" s="317" t="s">
        <v>86</v>
      </c>
      <c r="C204" s="318"/>
      <c r="D204" s="319"/>
      <c r="E204" s="318"/>
      <c r="F204" s="318"/>
      <c r="G204" s="318"/>
      <c r="H204" s="318"/>
      <c r="I204" s="318"/>
      <c r="J204" s="318"/>
      <c r="K204" s="318"/>
      <c r="L204" s="318"/>
      <c r="M204" s="318" t="s">
        <v>113</v>
      </c>
      <c r="N204" s="319" t="s">
        <v>121</v>
      </c>
      <c r="O204" s="252"/>
      <c r="P204" s="252"/>
      <c r="Q204" s="252"/>
      <c r="R204" s="5"/>
    </row>
    <row r="205" spans="1:18" ht="15.6" x14ac:dyDescent="0.3">
      <c r="A205" s="221"/>
      <c r="B205" s="230" t="s">
        <v>87</v>
      </c>
      <c r="C205" s="235"/>
      <c r="D205" s="230"/>
      <c r="E205" s="230"/>
      <c r="F205" s="234"/>
      <c r="G205" s="234"/>
      <c r="H205" s="234"/>
      <c r="I205" s="234"/>
      <c r="J205" s="234"/>
      <c r="K205" s="234"/>
      <c r="L205" s="234"/>
      <c r="M205" s="234">
        <v>4</v>
      </c>
      <c r="N205" s="305">
        <v>387</v>
      </c>
      <c r="O205" s="230"/>
      <c r="P205" s="306"/>
      <c r="Q205" s="307"/>
      <c r="R205" s="5"/>
    </row>
    <row r="206" spans="1:18" ht="15.6" x14ac:dyDescent="0.3">
      <c r="A206" s="351"/>
      <c r="B206" s="261" t="s">
        <v>203</v>
      </c>
      <c r="C206" s="330"/>
      <c r="D206" s="261"/>
      <c r="E206" s="261"/>
      <c r="F206" s="268"/>
      <c r="G206" s="268"/>
      <c r="H206" s="268"/>
      <c r="I206" s="268"/>
      <c r="J206" s="268"/>
      <c r="K206" s="268"/>
      <c r="L206" s="268"/>
      <c r="M206" s="352">
        <f>+L254</f>
        <v>76</v>
      </c>
      <c r="N206" s="353">
        <f>+N254</f>
        <v>11820</v>
      </c>
      <c r="O206" s="261"/>
      <c r="P206" s="354"/>
      <c r="Q206" s="355"/>
      <c r="R206" s="5"/>
    </row>
    <row r="207" spans="1:18" ht="15.6" x14ac:dyDescent="0.3">
      <c r="A207" s="351"/>
      <c r="B207" s="261" t="s">
        <v>88</v>
      </c>
      <c r="C207" s="330"/>
      <c r="D207" s="261"/>
      <c r="E207" s="261"/>
      <c r="F207" s="268"/>
      <c r="G207" s="268"/>
      <c r="H207" s="268"/>
      <c r="I207" s="268"/>
      <c r="J207" s="268"/>
      <c r="K207" s="268"/>
      <c r="L207" s="268"/>
      <c r="M207" s="352">
        <f>+L265</f>
        <v>0</v>
      </c>
      <c r="N207" s="353">
        <f>+N265</f>
        <v>0</v>
      </c>
      <c r="O207" s="261"/>
      <c r="P207" s="354"/>
      <c r="Q207" s="355"/>
      <c r="R207" s="5"/>
    </row>
    <row r="208" spans="1:18" ht="15.6" x14ac:dyDescent="0.3">
      <c r="A208" s="351"/>
      <c r="B208" s="282" t="s">
        <v>89</v>
      </c>
      <c r="C208" s="356"/>
      <c r="D208" s="335"/>
      <c r="E208" s="335"/>
      <c r="F208" s="335"/>
      <c r="G208" s="335"/>
      <c r="H208" s="335"/>
      <c r="I208" s="335"/>
      <c r="J208" s="335"/>
      <c r="K208" s="335"/>
      <c r="L208" s="335"/>
      <c r="M208" s="335"/>
      <c r="N208" s="353">
        <v>0</v>
      </c>
      <c r="O208" s="335"/>
      <c r="P208" s="358"/>
      <c r="Q208" s="359"/>
      <c r="R208" s="5"/>
    </row>
    <row r="209" spans="1:18" ht="15.6" x14ac:dyDescent="0.3">
      <c r="A209" s="351"/>
      <c r="B209" s="282" t="s">
        <v>90</v>
      </c>
      <c r="C209" s="356"/>
      <c r="D209" s="335"/>
      <c r="E209" s="335"/>
      <c r="F209" s="335"/>
      <c r="G209" s="335"/>
      <c r="H209" s="335"/>
      <c r="I209" s="335"/>
      <c r="J209" s="335"/>
      <c r="K209" s="335"/>
      <c r="L209" s="335"/>
      <c r="M209" s="335"/>
      <c r="N209" s="369" t="s">
        <v>122</v>
      </c>
      <c r="O209" s="335"/>
      <c r="P209" s="358"/>
      <c r="Q209" s="359"/>
      <c r="R209" s="5"/>
    </row>
    <row r="210" spans="1:18" ht="15.6" x14ac:dyDescent="0.3">
      <c r="A210" s="360"/>
      <c r="B210" s="282" t="s">
        <v>91</v>
      </c>
      <c r="C210" s="361"/>
      <c r="D210" s="361"/>
      <c r="E210" s="335"/>
      <c r="F210" s="335"/>
      <c r="G210" s="335"/>
      <c r="H210" s="335"/>
      <c r="I210" s="335"/>
      <c r="J210" s="362"/>
      <c r="K210" s="335"/>
      <c r="L210" s="335"/>
      <c r="M210" s="335"/>
      <c r="N210" s="357"/>
      <c r="O210" s="335"/>
      <c r="P210" s="358"/>
      <c r="Q210" s="363"/>
      <c r="R210" s="5"/>
    </row>
    <row r="211" spans="1:18" ht="15.6" x14ac:dyDescent="0.3">
      <c r="A211" s="360"/>
      <c r="B211" s="364" t="s">
        <v>92</v>
      </c>
      <c r="C211" s="364"/>
      <c r="D211" s="364"/>
      <c r="E211" s="364"/>
      <c r="F211" s="364"/>
      <c r="G211" s="364"/>
      <c r="H211" s="364"/>
      <c r="I211" s="364"/>
      <c r="J211" s="364"/>
      <c r="K211" s="364"/>
      <c r="L211" s="364"/>
      <c r="M211" s="364"/>
      <c r="N211" s="365">
        <f>P154</f>
        <v>287</v>
      </c>
      <c r="O211" s="364"/>
      <c r="P211" s="366"/>
      <c r="Q211" s="363"/>
      <c r="R211" s="5"/>
    </row>
    <row r="212" spans="1:18" ht="15.6" x14ac:dyDescent="0.3">
      <c r="A212" s="351"/>
      <c r="B212" s="364" t="s">
        <v>93</v>
      </c>
      <c r="C212" s="367"/>
      <c r="D212" s="367"/>
      <c r="E212" s="364"/>
      <c r="F212" s="364"/>
      <c r="G212" s="364"/>
      <c r="H212" s="364"/>
      <c r="I212" s="364"/>
      <c r="J212" s="364"/>
      <c r="K212" s="364"/>
      <c r="L212" s="364"/>
      <c r="M212" s="364"/>
      <c r="N212" s="365">
        <f>'April 10'!N213+'July 10'!N211</f>
        <v>3217</v>
      </c>
      <c r="O212" s="364"/>
      <c r="P212" s="366"/>
      <c r="Q212" s="363"/>
      <c r="R212" s="5"/>
    </row>
    <row r="213" spans="1:18" ht="15.6" x14ac:dyDescent="0.3">
      <c r="A213" s="360"/>
      <c r="B213" s="282" t="s">
        <v>278</v>
      </c>
      <c r="C213" s="361"/>
      <c r="D213" s="361"/>
      <c r="E213" s="335"/>
      <c r="F213" s="335"/>
      <c r="G213" s="335"/>
      <c r="H213" s="335"/>
      <c r="I213" s="335"/>
      <c r="J213" s="335"/>
      <c r="K213" s="335"/>
      <c r="L213" s="335"/>
      <c r="M213" s="335"/>
      <c r="N213" s="357"/>
      <c r="O213" s="335"/>
      <c r="P213" s="358"/>
      <c r="Q213" s="363"/>
      <c r="R213" s="5"/>
    </row>
    <row r="214" spans="1:18" ht="15.6" x14ac:dyDescent="0.3">
      <c r="A214" s="360"/>
      <c r="B214" s="261" t="s">
        <v>276</v>
      </c>
      <c r="C214" s="261"/>
      <c r="D214" s="261"/>
      <c r="E214" s="261"/>
      <c r="F214" s="261"/>
      <c r="G214" s="261"/>
      <c r="H214" s="261"/>
      <c r="I214" s="261"/>
      <c r="J214" s="261"/>
      <c r="K214" s="261"/>
      <c r="L214" s="261"/>
      <c r="M214" s="268">
        <v>0</v>
      </c>
      <c r="N214" s="353">
        <v>0</v>
      </c>
      <c r="O214" s="261"/>
      <c r="P214" s="354"/>
      <c r="Q214" s="363"/>
      <c r="R214" s="5"/>
    </row>
    <row r="215" spans="1:18" ht="15.6" x14ac:dyDescent="0.3">
      <c r="A215" s="351"/>
      <c r="B215" s="261" t="s">
        <v>95</v>
      </c>
      <c r="C215" s="292"/>
      <c r="D215" s="368"/>
      <c r="E215" s="261"/>
      <c r="F215" s="261"/>
      <c r="G215" s="261"/>
      <c r="H215" s="261"/>
      <c r="I215" s="261"/>
      <c r="J215" s="261"/>
      <c r="K215" s="261"/>
      <c r="L215" s="261"/>
      <c r="M215" s="261"/>
      <c r="N215" s="369">
        <v>0</v>
      </c>
      <c r="O215" s="261"/>
      <c r="P215" s="354"/>
      <c r="Q215" s="363"/>
      <c r="R215" s="5"/>
    </row>
    <row r="216" spans="1:18" ht="15.6" x14ac:dyDescent="0.3">
      <c r="A216" s="351"/>
      <c r="B216" s="261" t="s">
        <v>96</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82" t="s">
        <v>251</v>
      </c>
      <c r="C217" s="370"/>
      <c r="D217" s="371"/>
      <c r="E217" s="335"/>
      <c r="F217" s="335"/>
      <c r="G217" s="335"/>
      <c r="H217" s="335"/>
      <c r="I217" s="335"/>
      <c r="J217" s="335"/>
      <c r="K217" s="335"/>
      <c r="L217" s="335"/>
      <c r="M217" s="335"/>
      <c r="N217" s="372"/>
      <c r="O217" s="335"/>
      <c r="P217" s="358"/>
      <c r="Q217" s="363"/>
      <c r="R217" s="5"/>
    </row>
    <row r="218" spans="1:18" ht="15.6" x14ac:dyDescent="0.3">
      <c r="A218" s="351"/>
      <c r="B218" s="261" t="s">
        <v>276</v>
      </c>
      <c r="C218" s="292"/>
      <c r="D218" s="368"/>
      <c r="E218" s="261"/>
      <c r="F218" s="261"/>
      <c r="G218" s="261"/>
      <c r="H218" s="261"/>
      <c r="I218" s="261"/>
      <c r="J218" s="261"/>
      <c r="K218" s="261"/>
      <c r="L218" s="261"/>
      <c r="M218" s="268">
        <v>8</v>
      </c>
      <c r="N218" s="353">
        <v>1119</v>
      </c>
      <c r="O218" s="261"/>
      <c r="P218" s="354"/>
      <c r="Q218" s="373"/>
      <c r="R218" s="308"/>
    </row>
    <row r="219" spans="1:18" ht="15.6" x14ac:dyDescent="0.3">
      <c r="A219" s="351"/>
      <c r="B219" s="261" t="s">
        <v>252</v>
      </c>
      <c r="C219" s="292"/>
      <c r="D219" s="368"/>
      <c r="E219" s="261"/>
      <c r="F219" s="261"/>
      <c r="G219" s="261"/>
      <c r="H219" s="261"/>
      <c r="I219" s="261"/>
      <c r="J219" s="261"/>
      <c r="K219" s="261"/>
      <c r="L219" s="261"/>
      <c r="M219" s="261"/>
      <c r="N219" s="369">
        <v>5.46</v>
      </c>
      <c r="O219" s="261"/>
      <c r="P219" s="354"/>
      <c r="Q219" s="373"/>
      <c r="R219" s="308"/>
    </row>
    <row r="220" spans="1:18" ht="15.6" x14ac:dyDescent="0.3">
      <c r="A220" s="351"/>
      <c r="B220" s="361"/>
      <c r="C220" s="370"/>
      <c r="D220" s="371"/>
      <c r="E220" s="335"/>
      <c r="F220" s="335"/>
      <c r="G220" s="335"/>
      <c r="H220" s="335"/>
      <c r="I220" s="335"/>
      <c r="J220" s="335"/>
      <c r="K220" s="335"/>
      <c r="L220" s="335"/>
      <c r="M220" s="335"/>
      <c r="N220" s="374"/>
      <c r="O220" s="335"/>
      <c r="P220" s="358"/>
      <c r="Q220" s="363"/>
      <c r="R220" s="5"/>
    </row>
    <row r="221" spans="1:18" ht="17.399999999999999" x14ac:dyDescent="0.3">
      <c r="A221" s="351"/>
      <c r="B221" s="375" t="s">
        <v>244</v>
      </c>
      <c r="C221" s="370"/>
      <c r="D221" s="371"/>
      <c r="E221" s="335"/>
      <c r="F221" s="335"/>
      <c r="G221" s="335"/>
      <c r="H221" s="335"/>
      <c r="I221" s="376"/>
      <c r="J221" s="377" t="s">
        <v>243</v>
      </c>
      <c r="K221" s="335"/>
      <c r="L221" s="335"/>
      <c r="M221" s="335"/>
      <c r="N221" s="374"/>
      <c r="O221" s="335"/>
      <c r="P221" s="358"/>
      <c r="Q221" s="363"/>
      <c r="R221" s="5"/>
    </row>
    <row r="222" spans="1:18" ht="15.6" x14ac:dyDescent="0.3">
      <c r="A222" s="348"/>
      <c r="B222" s="222"/>
      <c r="C222" s="223"/>
      <c r="D222" s="224"/>
      <c r="E222" s="190"/>
      <c r="F222" s="190"/>
      <c r="G222" s="190"/>
      <c r="H222" s="190"/>
      <c r="I222" s="190"/>
      <c r="J222" s="190"/>
      <c r="K222" s="190"/>
      <c r="L222" s="190"/>
      <c r="M222" s="190"/>
      <c r="N222" s="349"/>
      <c r="O222" s="190"/>
      <c r="P222" s="344"/>
      <c r="Q222" s="350"/>
      <c r="R222" s="5"/>
    </row>
    <row r="223" spans="1:18" ht="15.6" x14ac:dyDescent="0.3">
      <c r="A223" s="251"/>
      <c r="B223" s="317" t="s">
        <v>290</v>
      </c>
      <c r="C223" s="318"/>
      <c r="D223" s="319"/>
      <c r="E223" s="318"/>
      <c r="F223" s="318"/>
      <c r="G223" s="318"/>
      <c r="H223" s="318"/>
      <c r="I223" s="318"/>
      <c r="J223" s="318"/>
      <c r="K223" s="318"/>
      <c r="L223" s="319" t="s">
        <v>113</v>
      </c>
      <c r="M223" s="318" t="s">
        <v>114</v>
      </c>
      <c r="N223" s="319" t="s">
        <v>123</v>
      </c>
      <c r="O223" s="318" t="s">
        <v>114</v>
      </c>
      <c r="P223" s="252"/>
      <c r="Q223" s="317"/>
      <c r="R223" s="5"/>
    </row>
    <row r="224" spans="1:18" ht="15.6" x14ac:dyDescent="0.3">
      <c r="A224" s="198"/>
      <c r="B224" s="235" t="s">
        <v>98</v>
      </c>
      <c r="C224" s="309"/>
      <c r="D224" s="230"/>
      <c r="E224" s="309"/>
      <c r="F224" s="309"/>
      <c r="G224" s="309"/>
      <c r="H224" s="309"/>
      <c r="I224" s="309"/>
      <c r="J224" s="309"/>
      <c r="K224" s="309"/>
      <c r="L224" s="330">
        <f>+L235+L246+L257</f>
        <v>3559</v>
      </c>
      <c r="M224" s="382">
        <f>L224/$L$232</f>
        <v>0.97640603566529494</v>
      </c>
      <c r="N224" s="331">
        <f>+N235+N246+N257</f>
        <v>398488</v>
      </c>
      <c r="O224" s="382">
        <f>N224/$N$232</f>
        <v>0.97741454417016604</v>
      </c>
      <c r="P224" s="306"/>
      <c r="Q224" s="233"/>
      <c r="R224" s="5"/>
    </row>
    <row r="225" spans="1:18" ht="15.6" x14ac:dyDescent="0.3">
      <c r="A225" s="260"/>
      <c r="B225" s="330" t="s">
        <v>99</v>
      </c>
      <c r="C225" s="381"/>
      <c r="D225" s="261"/>
      <c r="E225" s="382"/>
      <c r="F225" s="381"/>
      <c r="G225" s="381"/>
      <c r="H225" s="381"/>
      <c r="I225" s="381"/>
      <c r="J225" s="381"/>
      <c r="K225" s="381"/>
      <c r="L225" s="330">
        <f t="shared" ref="L225:L231" si="1">+L236+L247+L258</f>
        <v>38</v>
      </c>
      <c r="M225" s="382">
        <f t="shared" ref="M225:M231" si="2">L225/$L$232</f>
        <v>1.0425240054869684E-2</v>
      </c>
      <c r="N225" s="331">
        <f t="shared" ref="N225:N231" si="3">+N236+N247+N258</f>
        <v>3071</v>
      </c>
      <c r="O225" s="382">
        <f t="shared" ref="O225:O231" si="4">N225/$N$232</f>
        <v>7.53257328990228E-3</v>
      </c>
      <c r="P225" s="354"/>
      <c r="Q225" s="373"/>
      <c r="R225" s="5"/>
    </row>
    <row r="226" spans="1:18" ht="15.6" x14ac:dyDescent="0.3">
      <c r="A226" s="260"/>
      <c r="B226" s="330" t="s">
        <v>100</v>
      </c>
      <c r="C226" s="381"/>
      <c r="D226" s="261"/>
      <c r="E226" s="382"/>
      <c r="F226" s="381"/>
      <c r="G226" s="381"/>
      <c r="H226" s="381"/>
      <c r="I226" s="381"/>
      <c r="J226" s="381"/>
      <c r="K226" s="381"/>
      <c r="L226" s="330">
        <f t="shared" si="1"/>
        <v>19</v>
      </c>
      <c r="M226" s="382">
        <f t="shared" si="2"/>
        <v>5.212620027434842E-3</v>
      </c>
      <c r="N226" s="331">
        <f t="shared" si="3"/>
        <v>1576</v>
      </c>
      <c r="O226" s="382">
        <f t="shared" si="4"/>
        <v>3.8656253679211963E-3</v>
      </c>
      <c r="P226" s="354"/>
      <c r="Q226" s="373"/>
      <c r="R226" s="5"/>
    </row>
    <row r="227" spans="1:18" ht="15.6" x14ac:dyDescent="0.3">
      <c r="A227" s="260"/>
      <c r="B227" s="330" t="s">
        <v>227</v>
      </c>
      <c r="C227" s="381"/>
      <c r="D227" s="261"/>
      <c r="E227" s="382"/>
      <c r="F227" s="381"/>
      <c r="G227" s="381"/>
      <c r="H227" s="381"/>
      <c r="I227" s="381"/>
      <c r="J227" s="381"/>
      <c r="K227" s="381"/>
      <c r="L227" s="330">
        <f t="shared" si="1"/>
        <v>5</v>
      </c>
      <c r="M227" s="382">
        <f t="shared" si="2"/>
        <v>1.3717421124828531E-3</v>
      </c>
      <c r="N227" s="331">
        <f t="shared" si="3"/>
        <v>598</v>
      </c>
      <c r="O227" s="382">
        <f t="shared" si="4"/>
        <v>1.4667791687924337E-3</v>
      </c>
      <c r="P227" s="354"/>
      <c r="Q227" s="373"/>
      <c r="R227" s="5"/>
    </row>
    <row r="228" spans="1:18" ht="15.6" x14ac:dyDescent="0.3">
      <c r="A228" s="260"/>
      <c r="B228" s="330" t="s">
        <v>228</v>
      </c>
      <c r="C228" s="381"/>
      <c r="D228" s="261"/>
      <c r="E228" s="382"/>
      <c r="F228" s="381"/>
      <c r="G228" s="381"/>
      <c r="H228" s="381"/>
      <c r="I228" s="381"/>
      <c r="J228" s="381"/>
      <c r="K228" s="381"/>
      <c r="L228" s="330">
        <f t="shared" si="1"/>
        <v>1</v>
      </c>
      <c r="M228" s="382">
        <f t="shared" si="2"/>
        <v>2.7434842249657066E-4</v>
      </c>
      <c r="N228" s="331">
        <f t="shared" si="3"/>
        <v>47</v>
      </c>
      <c r="O228" s="382">
        <f t="shared" si="4"/>
        <v>1.1528197480475648E-4</v>
      </c>
      <c r="P228" s="354"/>
      <c r="Q228" s="373"/>
      <c r="R228" s="5"/>
    </row>
    <row r="229" spans="1:18" ht="15.6" x14ac:dyDescent="0.3">
      <c r="A229" s="260"/>
      <c r="B229" s="330" t="s">
        <v>229</v>
      </c>
      <c r="C229" s="381"/>
      <c r="D229" s="261"/>
      <c r="E229" s="382"/>
      <c r="F229" s="381"/>
      <c r="G229" s="381"/>
      <c r="H229" s="381"/>
      <c r="I229" s="381"/>
      <c r="J229" s="381"/>
      <c r="K229" s="381"/>
      <c r="L229" s="330">
        <f t="shared" si="1"/>
        <v>2</v>
      </c>
      <c r="M229" s="382">
        <f t="shared" si="2"/>
        <v>5.4869684499314131E-4</v>
      </c>
      <c r="N229" s="331">
        <f t="shared" si="3"/>
        <v>41</v>
      </c>
      <c r="O229" s="382">
        <f t="shared" si="4"/>
        <v>1.0056512695734077E-4</v>
      </c>
      <c r="P229" s="354"/>
      <c r="Q229" s="373"/>
      <c r="R229" s="5"/>
    </row>
    <row r="230" spans="1:18" ht="15.6" x14ac:dyDescent="0.3">
      <c r="A230" s="260"/>
      <c r="B230" s="330" t="s">
        <v>230</v>
      </c>
      <c r="C230" s="381"/>
      <c r="D230" s="261"/>
      <c r="E230" s="382"/>
      <c r="F230" s="381"/>
      <c r="G230" s="381"/>
      <c r="H230" s="381"/>
      <c r="I230" s="381"/>
      <c r="J230" s="381"/>
      <c r="K230" s="381"/>
      <c r="L230" s="330">
        <f t="shared" si="1"/>
        <v>10</v>
      </c>
      <c r="M230" s="382">
        <f t="shared" si="2"/>
        <v>2.7434842249657062E-3</v>
      </c>
      <c r="N230" s="331">
        <f t="shared" si="3"/>
        <v>1075</v>
      </c>
      <c r="O230" s="382">
        <f t="shared" si="4"/>
        <v>2.6367685726619836E-3</v>
      </c>
      <c r="P230" s="354"/>
      <c r="Q230" s="373"/>
      <c r="R230" s="5"/>
    </row>
    <row r="231" spans="1:18" ht="15.6" x14ac:dyDescent="0.3">
      <c r="A231" s="260"/>
      <c r="B231" s="330" t="s">
        <v>231</v>
      </c>
      <c r="C231" s="381"/>
      <c r="D231" s="261"/>
      <c r="E231" s="382"/>
      <c r="F231" s="381"/>
      <c r="G231" s="381"/>
      <c r="H231" s="381"/>
      <c r="I231" s="381"/>
      <c r="J231" s="381"/>
      <c r="K231" s="381"/>
      <c r="L231" s="330">
        <f t="shared" si="1"/>
        <v>11</v>
      </c>
      <c r="M231" s="382">
        <f t="shared" si="2"/>
        <v>3.0178326474622772E-3</v>
      </c>
      <c r="N231" s="331">
        <f t="shared" si="3"/>
        <v>2800</v>
      </c>
      <c r="O231" s="382">
        <f t="shared" si="4"/>
        <v>6.8678623287940031E-3</v>
      </c>
      <c r="P231" s="354"/>
      <c r="Q231" s="373"/>
      <c r="R231" s="5"/>
    </row>
    <row r="232" spans="1:18" ht="15.6" x14ac:dyDescent="0.3">
      <c r="A232" s="260"/>
      <c r="B232" s="261" t="s">
        <v>129</v>
      </c>
      <c r="C232" s="261"/>
      <c r="D232" s="261"/>
      <c r="E232" s="261"/>
      <c r="F232" s="383"/>
      <c r="G232" s="383"/>
      <c r="H232" s="383"/>
      <c r="I232" s="383"/>
      <c r="J232" s="383"/>
      <c r="K232" s="383"/>
      <c r="L232" s="330">
        <f>SUM(L224:L231)</f>
        <v>3645</v>
      </c>
      <c r="M232" s="382">
        <f>SUM(M224:M231)</f>
        <v>0.99999999999999989</v>
      </c>
      <c r="N232" s="330">
        <f>SUM(N224:N231)</f>
        <v>407696</v>
      </c>
      <c r="O232" s="382">
        <f>SUM(O224:O231)</f>
        <v>1</v>
      </c>
      <c r="P232" s="261"/>
      <c r="Q232" s="264"/>
      <c r="R232" s="5"/>
    </row>
    <row r="233" spans="1:18" ht="15.6" x14ac:dyDescent="0.3">
      <c r="A233" s="348"/>
      <c r="B233" s="222"/>
      <c r="C233" s="223"/>
      <c r="D233" s="224"/>
      <c r="E233" s="190"/>
      <c r="F233" s="190"/>
      <c r="G233" s="190"/>
      <c r="H233" s="190"/>
      <c r="I233" s="190"/>
      <c r="J233" s="190"/>
      <c r="K233" s="190"/>
      <c r="L233" s="190"/>
      <c r="M233" s="190"/>
      <c r="N233" s="349"/>
      <c r="O233" s="190"/>
      <c r="P233" s="344"/>
      <c r="Q233" s="350"/>
      <c r="R233" s="5"/>
    </row>
    <row r="234" spans="1:18" ht="15.6" x14ac:dyDescent="0.3">
      <c r="A234" s="251"/>
      <c r="B234" s="317" t="s">
        <v>236</v>
      </c>
      <c r="C234" s="318"/>
      <c r="D234" s="319"/>
      <c r="E234" s="318"/>
      <c r="F234" s="318"/>
      <c r="G234" s="318"/>
      <c r="H234" s="318"/>
      <c r="I234" s="318"/>
      <c r="J234" s="318"/>
      <c r="K234" s="318"/>
      <c r="L234" s="319" t="s">
        <v>113</v>
      </c>
      <c r="M234" s="318" t="s">
        <v>114</v>
      </c>
      <c r="N234" s="319" t="s">
        <v>123</v>
      </c>
      <c r="O234" s="318" t="s">
        <v>114</v>
      </c>
      <c r="P234" s="252"/>
      <c r="Q234" s="317"/>
      <c r="R234" s="5"/>
    </row>
    <row r="235" spans="1:18" ht="15.6" x14ac:dyDescent="0.3">
      <c r="A235" s="198"/>
      <c r="B235" s="235" t="s">
        <v>98</v>
      </c>
      <c r="C235" s="309"/>
      <c r="D235" s="230"/>
      <c r="E235" s="309"/>
      <c r="F235" s="309"/>
      <c r="G235" s="309"/>
      <c r="H235" s="309"/>
      <c r="I235" s="309"/>
      <c r="J235" s="309"/>
      <c r="K235" s="309"/>
      <c r="L235" s="235">
        <v>3513</v>
      </c>
      <c r="M235" s="310">
        <f t="shared" ref="M235:M242" si="5">L235/$L$243</f>
        <v>0.9843093303446343</v>
      </c>
      <c r="N235" s="300">
        <v>392131</v>
      </c>
      <c r="O235" s="310">
        <f t="shared" ref="O235:O242" si="6">N235/$N$243</f>
        <v>0.9905399670603926</v>
      </c>
      <c r="P235" s="306"/>
      <c r="Q235" s="233"/>
      <c r="R235" s="5"/>
    </row>
    <row r="236" spans="1:18" ht="15.6" x14ac:dyDescent="0.3">
      <c r="A236" s="260"/>
      <c r="B236" s="330" t="s">
        <v>99</v>
      </c>
      <c r="C236" s="381"/>
      <c r="D236" s="261"/>
      <c r="E236" s="382"/>
      <c r="F236" s="381"/>
      <c r="G236" s="381"/>
      <c r="H236" s="381"/>
      <c r="I236" s="381"/>
      <c r="J236" s="381"/>
      <c r="K236" s="381"/>
      <c r="L236" s="330">
        <v>33</v>
      </c>
      <c r="M236" s="382">
        <f t="shared" si="5"/>
        <v>9.2462874754833287E-3</v>
      </c>
      <c r="N236" s="331">
        <v>2656</v>
      </c>
      <c r="O236" s="382">
        <f t="shared" si="6"/>
        <v>6.7091715587709278E-3</v>
      </c>
      <c r="P236" s="354"/>
      <c r="Q236" s="373"/>
      <c r="R236" s="5"/>
    </row>
    <row r="237" spans="1:18" ht="15.6" x14ac:dyDescent="0.3">
      <c r="A237" s="260"/>
      <c r="B237" s="330" t="s">
        <v>100</v>
      </c>
      <c r="C237" s="381"/>
      <c r="D237" s="261"/>
      <c r="E237" s="382"/>
      <c r="F237" s="381"/>
      <c r="G237" s="381"/>
      <c r="H237" s="381"/>
      <c r="I237" s="381"/>
      <c r="J237" s="381"/>
      <c r="K237" s="381"/>
      <c r="L237" s="330">
        <v>13</v>
      </c>
      <c r="M237" s="382">
        <f t="shared" si="5"/>
        <v>3.6424768842813113E-3</v>
      </c>
      <c r="N237" s="331">
        <v>649</v>
      </c>
      <c r="O237" s="382">
        <f t="shared" si="6"/>
        <v>1.6394022370641312E-3</v>
      </c>
      <c r="P237" s="354"/>
      <c r="Q237" s="373"/>
      <c r="R237" s="5"/>
    </row>
    <row r="238" spans="1:18" ht="15.6" x14ac:dyDescent="0.3">
      <c r="A238" s="260"/>
      <c r="B238" s="330" t="s">
        <v>227</v>
      </c>
      <c r="C238" s="381"/>
      <c r="D238" s="261"/>
      <c r="E238" s="382"/>
      <c r="F238" s="381"/>
      <c r="G238" s="381"/>
      <c r="H238" s="381"/>
      <c r="I238" s="381"/>
      <c r="J238" s="381"/>
      <c r="K238" s="381"/>
      <c r="L238" s="330">
        <v>2</v>
      </c>
      <c r="M238" s="382">
        <f t="shared" si="5"/>
        <v>5.6038105912020178E-4</v>
      </c>
      <c r="N238" s="331">
        <v>48</v>
      </c>
      <c r="O238" s="382">
        <f t="shared" si="6"/>
        <v>1.2125008841152281E-4</v>
      </c>
      <c r="P238" s="354"/>
      <c r="Q238" s="373"/>
      <c r="R238" s="5"/>
    </row>
    <row r="239" spans="1:18" ht="15.6" x14ac:dyDescent="0.3">
      <c r="A239" s="260"/>
      <c r="B239" s="330" t="s">
        <v>228</v>
      </c>
      <c r="C239" s="381"/>
      <c r="D239" s="261"/>
      <c r="E239" s="382"/>
      <c r="F239" s="381"/>
      <c r="G239" s="381"/>
      <c r="H239" s="381"/>
      <c r="I239" s="381"/>
      <c r="J239" s="381"/>
      <c r="K239" s="381"/>
      <c r="L239" s="330">
        <v>1</v>
      </c>
      <c r="M239" s="382">
        <f t="shared" si="5"/>
        <v>2.8019052956010089E-4</v>
      </c>
      <c r="N239" s="331">
        <v>47</v>
      </c>
      <c r="O239" s="382">
        <f t="shared" si="6"/>
        <v>1.1872404490294941E-4</v>
      </c>
      <c r="P239" s="354"/>
      <c r="Q239" s="373"/>
      <c r="R239" s="5"/>
    </row>
    <row r="240" spans="1:18" ht="15.6" x14ac:dyDescent="0.3">
      <c r="A240" s="260"/>
      <c r="B240" s="330" t="s">
        <v>229</v>
      </c>
      <c r="C240" s="381"/>
      <c r="D240" s="261"/>
      <c r="E240" s="382"/>
      <c r="F240" s="381"/>
      <c r="G240" s="381"/>
      <c r="H240" s="381"/>
      <c r="I240" s="381"/>
      <c r="J240" s="381"/>
      <c r="K240" s="381"/>
      <c r="L240" s="330">
        <v>2</v>
      </c>
      <c r="M240" s="382">
        <f t="shared" si="5"/>
        <v>5.6038105912020178E-4</v>
      </c>
      <c r="N240" s="331">
        <v>41</v>
      </c>
      <c r="O240" s="382">
        <f t="shared" si="6"/>
        <v>1.0356778385150906E-4</v>
      </c>
      <c r="P240" s="354"/>
      <c r="Q240" s="373"/>
      <c r="R240" s="5"/>
    </row>
    <row r="241" spans="1:18" ht="15.6" x14ac:dyDescent="0.3">
      <c r="A241" s="260"/>
      <c r="B241" s="330" t="s">
        <v>230</v>
      </c>
      <c r="C241" s="381"/>
      <c r="D241" s="261"/>
      <c r="E241" s="382"/>
      <c r="F241" s="381"/>
      <c r="G241" s="381"/>
      <c r="H241" s="381"/>
      <c r="I241" s="381"/>
      <c r="J241" s="381"/>
      <c r="K241" s="381"/>
      <c r="L241" s="330">
        <v>5</v>
      </c>
      <c r="M241" s="382">
        <f t="shared" si="5"/>
        <v>1.4009526478005044E-3</v>
      </c>
      <c r="N241" s="331">
        <v>304</v>
      </c>
      <c r="O241" s="382">
        <f t="shared" si="6"/>
        <v>7.6791722660631109E-4</v>
      </c>
      <c r="P241" s="354"/>
      <c r="Q241" s="373"/>
      <c r="R241" s="5"/>
    </row>
    <row r="242" spans="1:18" ht="15.6" x14ac:dyDescent="0.3">
      <c r="A242" s="260"/>
      <c r="B242" s="330" t="s">
        <v>231</v>
      </c>
      <c r="C242" s="381"/>
      <c r="D242" s="261"/>
      <c r="E242" s="382"/>
      <c r="F242" s="381"/>
      <c r="G242" s="381"/>
      <c r="H242" s="381"/>
      <c r="I242" s="381"/>
      <c r="J242" s="381"/>
      <c r="K242" s="381"/>
      <c r="L242" s="330">
        <v>0</v>
      </c>
      <c r="M242" s="382">
        <f t="shared" si="5"/>
        <v>0</v>
      </c>
      <c r="N242" s="331">
        <v>0</v>
      </c>
      <c r="O242" s="382">
        <f t="shared" si="6"/>
        <v>0</v>
      </c>
      <c r="P242" s="354"/>
      <c r="Q242" s="373"/>
      <c r="R242" s="5"/>
    </row>
    <row r="243" spans="1:18" ht="15.6" x14ac:dyDescent="0.3">
      <c r="A243" s="260"/>
      <c r="B243" s="261" t="s">
        <v>129</v>
      </c>
      <c r="C243" s="261"/>
      <c r="D243" s="261"/>
      <c r="E243" s="261"/>
      <c r="F243" s="383"/>
      <c r="G243" s="383"/>
      <c r="H243" s="383"/>
      <c r="I243" s="383"/>
      <c r="J243" s="383"/>
      <c r="K243" s="383"/>
      <c r="L243" s="330">
        <f>SUM(L235:L242)</f>
        <v>3569</v>
      </c>
      <c r="M243" s="382">
        <f>SUM(M235:M242)</f>
        <v>0.99999999999999978</v>
      </c>
      <c r="N243" s="331">
        <f>SUM(N235:N242)</f>
        <v>395876</v>
      </c>
      <c r="O243" s="382">
        <f>SUM(O235:O242)</f>
        <v>1</v>
      </c>
      <c r="P243" s="261"/>
      <c r="Q243" s="264"/>
      <c r="R243" s="5"/>
    </row>
    <row r="244" spans="1:18" ht="15.6" x14ac:dyDescent="0.3">
      <c r="A244" s="183"/>
      <c r="B244" s="257"/>
      <c r="C244" s="257"/>
      <c r="D244" s="257"/>
      <c r="E244" s="257"/>
      <c r="F244" s="378"/>
      <c r="G244" s="378"/>
      <c r="H244" s="378"/>
      <c r="I244" s="378"/>
      <c r="J244" s="378"/>
      <c r="K244" s="378"/>
      <c r="L244" s="302"/>
      <c r="M244" s="379"/>
      <c r="N244" s="380"/>
      <c r="O244" s="379"/>
      <c r="P244" s="257"/>
      <c r="Q244" s="257"/>
      <c r="R244" s="5"/>
    </row>
    <row r="245" spans="1:18" ht="15.6" x14ac:dyDescent="0.3">
      <c r="A245" s="316"/>
      <c r="B245" s="317" t="s">
        <v>238</v>
      </c>
      <c r="C245" s="318"/>
      <c r="D245" s="319"/>
      <c r="E245" s="318"/>
      <c r="F245" s="318"/>
      <c r="G245" s="318"/>
      <c r="H245" s="318"/>
      <c r="I245" s="318"/>
      <c r="J245" s="318"/>
      <c r="K245" s="318"/>
      <c r="L245" s="319" t="s">
        <v>113</v>
      </c>
      <c r="M245" s="318" t="s">
        <v>114</v>
      </c>
      <c r="N245" s="319" t="s">
        <v>123</v>
      </c>
      <c r="O245" s="318" t="s">
        <v>114</v>
      </c>
      <c r="P245" s="252"/>
      <c r="Q245" s="321"/>
      <c r="R245" s="5"/>
    </row>
    <row r="246" spans="1:18" ht="15.6" x14ac:dyDescent="0.3">
      <c r="A246" s="198"/>
      <c r="B246" s="235" t="s">
        <v>98</v>
      </c>
      <c r="C246" s="309"/>
      <c r="D246" s="230"/>
      <c r="E246" s="309"/>
      <c r="F246" s="309"/>
      <c r="G246" s="309"/>
      <c r="H246" s="309"/>
      <c r="I246" s="309"/>
      <c r="J246" s="309"/>
      <c r="K246" s="309"/>
      <c r="L246" s="235">
        <v>46</v>
      </c>
      <c r="M246" s="310">
        <f t="shared" ref="M246:M253" si="7">L246/$L$254</f>
        <v>0.60526315789473684</v>
      </c>
      <c r="N246" s="300">
        <v>6357</v>
      </c>
      <c r="O246" s="310">
        <f t="shared" ref="O246:O253" si="8">N246/$N$254</f>
        <v>0.53781725888324872</v>
      </c>
      <c r="P246" s="306"/>
      <c r="Q246" s="230"/>
      <c r="R246" s="5"/>
    </row>
    <row r="247" spans="1:18" ht="15.6" x14ac:dyDescent="0.3">
      <c r="A247" s="260"/>
      <c r="B247" s="330" t="s">
        <v>99</v>
      </c>
      <c r="C247" s="381"/>
      <c r="D247" s="261"/>
      <c r="E247" s="382"/>
      <c r="F247" s="381"/>
      <c r="G247" s="381"/>
      <c r="H247" s="381"/>
      <c r="I247" s="381"/>
      <c r="J247" s="381"/>
      <c r="K247" s="381"/>
      <c r="L247" s="330">
        <v>5</v>
      </c>
      <c r="M247" s="382">
        <f t="shared" si="7"/>
        <v>6.5789473684210523E-2</v>
      </c>
      <c r="N247" s="331">
        <v>415</v>
      </c>
      <c r="O247" s="382">
        <f t="shared" si="8"/>
        <v>3.5109983079526223E-2</v>
      </c>
      <c r="P247" s="354"/>
      <c r="Q247" s="264"/>
      <c r="R247" s="5"/>
    </row>
    <row r="248" spans="1:18" ht="15.6" x14ac:dyDescent="0.3">
      <c r="A248" s="260"/>
      <c r="B248" s="330" t="s">
        <v>100</v>
      </c>
      <c r="C248" s="381"/>
      <c r="D248" s="261"/>
      <c r="E248" s="382"/>
      <c r="F248" s="381"/>
      <c r="G248" s="381"/>
      <c r="H248" s="381"/>
      <c r="I248" s="381"/>
      <c r="J248" s="381"/>
      <c r="K248" s="381"/>
      <c r="L248" s="330">
        <v>6</v>
      </c>
      <c r="M248" s="382">
        <f t="shared" si="7"/>
        <v>7.8947368421052627E-2</v>
      </c>
      <c r="N248" s="331">
        <v>927</v>
      </c>
      <c r="O248" s="382">
        <f t="shared" si="8"/>
        <v>7.8426395939086291E-2</v>
      </c>
      <c r="P248" s="354"/>
      <c r="Q248" s="264"/>
      <c r="R248" s="5"/>
    </row>
    <row r="249" spans="1:18" ht="15.6" x14ac:dyDescent="0.3">
      <c r="A249" s="260"/>
      <c r="B249" s="330" t="s">
        <v>227</v>
      </c>
      <c r="C249" s="381"/>
      <c r="D249" s="261"/>
      <c r="E249" s="382"/>
      <c r="F249" s="381"/>
      <c r="G249" s="381"/>
      <c r="H249" s="381"/>
      <c r="I249" s="381"/>
      <c r="J249" s="381"/>
      <c r="K249" s="381"/>
      <c r="L249" s="330">
        <v>3</v>
      </c>
      <c r="M249" s="382">
        <f t="shared" si="7"/>
        <v>3.9473684210526314E-2</v>
      </c>
      <c r="N249" s="331">
        <v>550</v>
      </c>
      <c r="O249" s="382">
        <f t="shared" si="8"/>
        <v>4.6531302876480544E-2</v>
      </c>
      <c r="P249" s="354"/>
      <c r="Q249" s="264"/>
      <c r="R249" s="5"/>
    </row>
    <row r="250" spans="1:18" ht="15.6" x14ac:dyDescent="0.3">
      <c r="A250" s="260"/>
      <c r="B250" s="330" t="s">
        <v>228</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229</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230</v>
      </c>
      <c r="C252" s="381"/>
      <c r="D252" s="261"/>
      <c r="E252" s="382"/>
      <c r="F252" s="381"/>
      <c r="G252" s="381"/>
      <c r="H252" s="381"/>
      <c r="I252" s="381"/>
      <c r="J252" s="381"/>
      <c r="K252" s="381"/>
      <c r="L252" s="330">
        <v>5</v>
      </c>
      <c r="M252" s="382">
        <f t="shared" si="7"/>
        <v>6.5789473684210523E-2</v>
      </c>
      <c r="N252" s="331">
        <v>771</v>
      </c>
      <c r="O252" s="382">
        <f t="shared" si="8"/>
        <v>6.5228426395939093E-2</v>
      </c>
      <c r="P252" s="354"/>
      <c r="Q252" s="264"/>
      <c r="R252" s="5"/>
    </row>
    <row r="253" spans="1:18" ht="15.6" x14ac:dyDescent="0.3">
      <c r="A253" s="260"/>
      <c r="B253" s="330" t="s">
        <v>231</v>
      </c>
      <c r="C253" s="381"/>
      <c r="D253" s="261"/>
      <c r="E253" s="382"/>
      <c r="F253" s="381"/>
      <c r="G253" s="381"/>
      <c r="H253" s="381"/>
      <c r="I253" s="381"/>
      <c r="J253" s="381"/>
      <c r="K253" s="381"/>
      <c r="L253" s="330">
        <v>11</v>
      </c>
      <c r="M253" s="382">
        <f t="shared" si="7"/>
        <v>0.14473684210526316</v>
      </c>
      <c r="N253" s="331">
        <v>2800</v>
      </c>
      <c r="O253" s="382">
        <f t="shared" si="8"/>
        <v>0.23688663282571912</v>
      </c>
      <c r="P253" s="354"/>
      <c r="Q253" s="264"/>
      <c r="R253" s="5"/>
    </row>
    <row r="254" spans="1:18" ht="15.6" x14ac:dyDescent="0.3">
      <c r="A254" s="260"/>
      <c r="B254" s="261" t="s">
        <v>129</v>
      </c>
      <c r="C254" s="261"/>
      <c r="D254" s="261"/>
      <c r="E254" s="261"/>
      <c r="F254" s="383"/>
      <c r="G254" s="383"/>
      <c r="H254" s="383"/>
      <c r="I254" s="383"/>
      <c r="J254" s="383"/>
      <c r="K254" s="383"/>
      <c r="L254" s="330">
        <f>SUM(L246:L253)</f>
        <v>76</v>
      </c>
      <c r="M254" s="382">
        <f>SUM(M246:M253)</f>
        <v>1</v>
      </c>
      <c r="N254" s="331">
        <f>SUM(N246:N253)</f>
        <v>11820</v>
      </c>
      <c r="O254" s="382">
        <f>SUM(O246:O253)</f>
        <v>0.99999999999999989</v>
      </c>
      <c r="P254" s="261"/>
      <c r="Q254" s="264"/>
      <c r="R254" s="5"/>
    </row>
    <row r="255" spans="1:18" ht="15.6" x14ac:dyDescent="0.3">
      <c r="A255" s="183"/>
      <c r="B255" s="257"/>
      <c r="C255" s="257"/>
      <c r="D255" s="257"/>
      <c r="E255" s="257"/>
      <c r="F255" s="378"/>
      <c r="G255" s="378"/>
      <c r="H255" s="378"/>
      <c r="I255" s="378"/>
      <c r="J255" s="378"/>
      <c r="K255" s="378"/>
      <c r="L255" s="302"/>
      <c r="M255" s="379"/>
      <c r="N255" s="380"/>
      <c r="O255" s="379"/>
      <c r="P255" s="257"/>
      <c r="Q255" s="257"/>
      <c r="R255" s="5"/>
    </row>
    <row r="256" spans="1:18" ht="15.6" x14ac:dyDescent="0.3">
      <c r="A256" s="316"/>
      <c r="B256" s="317" t="s">
        <v>239</v>
      </c>
      <c r="C256" s="318"/>
      <c r="D256" s="319"/>
      <c r="E256" s="318"/>
      <c r="F256" s="318"/>
      <c r="G256" s="318"/>
      <c r="H256" s="318"/>
      <c r="I256" s="318"/>
      <c r="J256" s="318"/>
      <c r="K256" s="318"/>
      <c r="L256" s="319" t="s">
        <v>113</v>
      </c>
      <c r="M256" s="318" t="s">
        <v>114</v>
      </c>
      <c r="N256" s="319" t="s">
        <v>123</v>
      </c>
      <c r="O256" s="318" t="s">
        <v>114</v>
      </c>
      <c r="P256" s="320"/>
      <c r="Q256" s="321"/>
      <c r="R256" s="5"/>
    </row>
    <row r="257" spans="1:18" ht="15.6" x14ac:dyDescent="0.3">
      <c r="A257" s="198"/>
      <c r="B257" s="235" t="s">
        <v>98</v>
      </c>
      <c r="C257" s="309"/>
      <c r="D257" s="230"/>
      <c r="E257" s="309"/>
      <c r="F257" s="309"/>
      <c r="G257" s="309"/>
      <c r="H257" s="309"/>
      <c r="I257" s="309"/>
      <c r="J257" s="309"/>
      <c r="K257" s="309"/>
      <c r="L257" s="235">
        <v>0</v>
      </c>
      <c r="M257" s="310">
        <v>0</v>
      </c>
      <c r="N257" s="300">
        <v>0</v>
      </c>
      <c r="O257" s="310">
        <v>0</v>
      </c>
      <c r="P257" s="230"/>
      <c r="Q257" s="230"/>
      <c r="R257" s="5"/>
    </row>
    <row r="258" spans="1:18" ht="15.6" x14ac:dyDescent="0.3">
      <c r="A258" s="260"/>
      <c r="B258" s="330" t="s">
        <v>99</v>
      </c>
      <c r="C258" s="381"/>
      <c r="D258" s="261"/>
      <c r="E258" s="382"/>
      <c r="F258" s="381"/>
      <c r="G258" s="381"/>
      <c r="H258" s="381"/>
      <c r="I258" s="381"/>
      <c r="J258" s="381"/>
      <c r="K258" s="381"/>
      <c r="L258" s="330">
        <v>0</v>
      </c>
      <c r="M258" s="382">
        <v>0</v>
      </c>
      <c r="N258" s="331">
        <v>0</v>
      </c>
      <c r="O258" s="382">
        <v>0</v>
      </c>
      <c r="P258" s="261"/>
      <c r="Q258" s="264"/>
      <c r="R258" s="5"/>
    </row>
    <row r="259" spans="1:18" ht="15.6" x14ac:dyDescent="0.3">
      <c r="A259" s="260"/>
      <c r="B259" s="330" t="s">
        <v>100</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227</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228</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229</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230</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231</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261" t="s">
        <v>129</v>
      </c>
      <c r="C265" s="261"/>
      <c r="D265" s="261"/>
      <c r="E265" s="261"/>
      <c r="F265" s="383"/>
      <c r="G265" s="383"/>
      <c r="H265" s="383"/>
      <c r="I265" s="383"/>
      <c r="J265" s="383"/>
      <c r="K265" s="383"/>
      <c r="L265" s="330">
        <f>SUM(L257:L264)</f>
        <v>0</v>
      </c>
      <c r="M265" s="382">
        <v>0</v>
      </c>
      <c r="N265" s="331">
        <f>SUM(N257:N264)</f>
        <v>0</v>
      </c>
      <c r="O265" s="382">
        <v>0</v>
      </c>
      <c r="P265" s="261"/>
      <c r="Q265" s="264"/>
      <c r="R265" s="5"/>
    </row>
    <row r="266" spans="1:18" ht="15.6" x14ac:dyDescent="0.3">
      <c r="A266" s="260"/>
      <c r="B266" s="261"/>
      <c r="C266" s="261"/>
      <c r="D266" s="261"/>
      <c r="E266" s="261"/>
      <c r="F266" s="383"/>
      <c r="G266" s="383"/>
      <c r="H266" s="383"/>
      <c r="I266" s="383"/>
      <c r="J266" s="383"/>
      <c r="K266" s="383"/>
      <c r="L266" s="330"/>
      <c r="M266" s="382"/>
      <c r="N266" s="331"/>
      <c r="O266" s="382"/>
      <c r="P266" s="261"/>
      <c r="Q266" s="264"/>
      <c r="R266" s="5"/>
    </row>
    <row r="267" spans="1:18" ht="15.6" x14ac:dyDescent="0.3">
      <c r="A267" s="260"/>
      <c r="B267" s="384" t="s">
        <v>240</v>
      </c>
      <c r="C267" s="261"/>
      <c r="D267" s="261"/>
      <c r="E267" s="261"/>
      <c r="F267" s="383"/>
      <c r="G267" s="383"/>
      <c r="H267" s="383"/>
      <c r="I267" s="383"/>
      <c r="J267" s="383"/>
      <c r="K267" s="383"/>
      <c r="L267" s="385">
        <f>+L243+L254+L265</f>
        <v>3645</v>
      </c>
      <c r="M267" s="382"/>
      <c r="N267" s="386">
        <f>+N265+N254+N243</f>
        <v>407696</v>
      </c>
      <c r="O267" s="382"/>
      <c r="P267" s="261"/>
      <c r="Q267" s="264"/>
      <c r="R267" s="5"/>
    </row>
    <row r="268" spans="1:18" ht="15.6" x14ac:dyDescent="0.3">
      <c r="A268" s="183"/>
      <c r="B268" s="257"/>
      <c r="C268" s="257"/>
      <c r="D268" s="257"/>
      <c r="E268" s="257"/>
      <c r="F268" s="378"/>
      <c r="G268" s="378"/>
      <c r="H268" s="378"/>
      <c r="I268" s="378"/>
      <c r="J268" s="378"/>
      <c r="K268" s="378"/>
      <c r="L268" s="378"/>
      <c r="M268" s="378"/>
      <c r="N268" s="380"/>
      <c r="O268" s="378"/>
      <c r="P268" s="257"/>
      <c r="Q268" s="257"/>
      <c r="R268" s="5"/>
    </row>
    <row r="269" spans="1:18" ht="15.6" x14ac:dyDescent="0.3">
      <c r="A269" s="183"/>
      <c r="B269" s="236"/>
      <c r="C269" s="236"/>
      <c r="D269" s="236"/>
      <c r="E269" s="236"/>
      <c r="F269" s="311"/>
      <c r="G269" s="311"/>
      <c r="H269" s="311"/>
      <c r="I269" s="311"/>
      <c r="J269" s="311"/>
      <c r="K269" s="311"/>
      <c r="L269" s="311"/>
      <c r="M269" s="311"/>
      <c r="N269" s="312"/>
      <c r="O269" s="311"/>
      <c r="P269" s="236"/>
      <c r="Q269" s="236"/>
      <c r="R269" s="5"/>
    </row>
    <row r="270" spans="1:18" ht="15.6" x14ac:dyDescent="0.3">
      <c r="A270" s="225"/>
      <c r="B270" s="228" t="s">
        <v>102</v>
      </c>
      <c r="C270" s="236"/>
      <c r="D270" s="236"/>
      <c r="E270" s="236"/>
      <c r="F270" s="246" t="s">
        <v>108</v>
      </c>
      <c r="G270" s="236"/>
      <c r="H270" s="228" t="s">
        <v>110</v>
      </c>
      <c r="I270" s="249"/>
      <c r="J270" s="249"/>
      <c r="K270" s="249"/>
      <c r="L270" s="249"/>
      <c r="M270" s="249"/>
      <c r="N270" s="249"/>
      <c r="O270" s="249"/>
      <c r="P270" s="249"/>
      <c r="Q270" s="249"/>
      <c r="R270" s="5"/>
    </row>
    <row r="271" spans="1:18" ht="15.6" x14ac:dyDescent="0.3">
      <c r="A271" s="225"/>
      <c r="B271" s="249"/>
      <c r="C271" s="236"/>
      <c r="D271" s="236"/>
      <c r="E271" s="236"/>
      <c r="F271" s="236"/>
      <c r="G271" s="236"/>
      <c r="H271" s="236"/>
      <c r="I271" s="249"/>
      <c r="J271" s="249"/>
      <c r="K271" s="249"/>
      <c r="L271" s="249"/>
      <c r="M271" s="249"/>
      <c r="N271" s="249"/>
      <c r="O271" s="249"/>
      <c r="P271" s="249"/>
      <c r="Q271" s="249"/>
      <c r="R271" s="5"/>
    </row>
    <row r="272" spans="1:18" ht="15.6" x14ac:dyDescent="0.3">
      <c r="A272" s="225"/>
      <c r="B272" s="228" t="s">
        <v>103</v>
      </c>
      <c r="C272" s="228"/>
      <c r="D272" s="228"/>
      <c r="E272" s="228"/>
      <c r="F272" s="313" t="s">
        <v>212</v>
      </c>
      <c r="G272" s="228"/>
      <c r="H272" s="228" t="s">
        <v>222</v>
      </c>
      <c r="I272" s="249"/>
      <c r="J272" s="249"/>
      <c r="K272" s="249"/>
      <c r="L272" s="249"/>
      <c r="M272" s="249"/>
      <c r="N272" s="249"/>
      <c r="O272" s="249"/>
      <c r="P272" s="249"/>
      <c r="Q272" s="249"/>
      <c r="R272" s="5"/>
    </row>
    <row r="273" spans="1:18" ht="15.6" x14ac:dyDescent="0.3">
      <c r="A273" s="225"/>
      <c r="B273" s="228" t="s">
        <v>263</v>
      </c>
      <c r="C273" s="228"/>
      <c r="D273" s="228"/>
      <c r="E273" s="228"/>
      <c r="F273" s="313" t="s">
        <v>264</v>
      </c>
      <c r="G273" s="228"/>
      <c r="H273" s="228" t="s">
        <v>265</v>
      </c>
      <c r="I273" s="249"/>
      <c r="J273" s="249"/>
      <c r="K273" s="249"/>
      <c r="L273" s="249"/>
      <c r="M273" s="249"/>
      <c r="N273" s="249"/>
      <c r="O273" s="249"/>
      <c r="P273" s="249"/>
      <c r="Q273" s="249"/>
      <c r="R273" s="5"/>
    </row>
    <row r="274" spans="1:18" ht="15.6" x14ac:dyDescent="0.3">
      <c r="A274" s="225"/>
      <c r="B274" s="228" t="s">
        <v>104</v>
      </c>
      <c r="C274" s="228"/>
      <c r="D274" s="228"/>
      <c r="E274" s="228"/>
      <c r="F274" s="313" t="s">
        <v>211</v>
      </c>
      <c r="G274" s="228"/>
      <c r="H274" s="228" t="s">
        <v>223</v>
      </c>
      <c r="I274" s="249"/>
      <c r="J274" s="249"/>
      <c r="K274" s="249"/>
      <c r="L274" s="249"/>
      <c r="M274" s="249"/>
      <c r="N274" s="249"/>
      <c r="O274" s="249"/>
      <c r="P274" s="249"/>
      <c r="Q274" s="249"/>
      <c r="R274" s="5"/>
    </row>
    <row r="275" spans="1:18" ht="15.6" x14ac:dyDescent="0.3">
      <c r="A275" s="225"/>
      <c r="B275" s="228"/>
      <c r="C275" s="228"/>
      <c r="D275" s="228"/>
      <c r="E275" s="314"/>
      <c r="F275" s="249"/>
      <c r="G275" s="249"/>
      <c r="H275" s="249"/>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8" thickBot="1" x14ac:dyDescent="0.35">
      <c r="A277" s="225"/>
      <c r="B277" s="315" t="str">
        <f>B184</f>
        <v>PM7 INVESTOR REPORT QUARTER ENDING JULY 2010</v>
      </c>
      <c r="C277" s="228"/>
      <c r="D277" s="228"/>
      <c r="E277" s="314"/>
      <c r="F277" s="249"/>
      <c r="G277" s="249"/>
      <c r="H277" s="249"/>
      <c r="I277" s="249"/>
      <c r="J277" s="249"/>
      <c r="K277" s="249"/>
      <c r="L277" s="249"/>
      <c r="M277" s="249"/>
      <c r="N277" s="249"/>
      <c r="O277" s="249"/>
      <c r="P277" s="249"/>
      <c r="Q277" s="24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phoneticPr fontId="0" type="noConversion"/>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7" man="1"/>
    <brk id="132" max="14" man="1"/>
    <brk id="184" max="14"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0.95669999999999999</v>
      </c>
      <c r="N17" s="246" t="s">
        <v>173</v>
      </c>
      <c r="O17" s="245">
        <v>4.3299999999999998E-2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40500</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4"/>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267"/>
      <c r="D27" s="267" t="s">
        <v>175</v>
      </c>
      <c r="E27" s="267"/>
      <c r="F27" s="267" t="s">
        <v>175</v>
      </c>
      <c r="G27" s="267"/>
      <c r="H27" s="267" t="s">
        <v>175</v>
      </c>
      <c r="I27" s="267"/>
      <c r="J27" s="267" t="s">
        <v>176</v>
      </c>
      <c r="K27" s="267"/>
      <c r="L27" s="267" t="s">
        <v>176</v>
      </c>
      <c r="M27" s="267"/>
      <c r="N27" s="262"/>
      <c r="O27" s="263"/>
      <c r="P27" s="263"/>
      <c r="Q27" s="264"/>
      <c r="R27" s="5"/>
    </row>
    <row r="28" spans="1:19" ht="15.6" x14ac:dyDescent="0.3">
      <c r="A28" s="265"/>
      <c r="B28" s="266" t="s">
        <v>10</v>
      </c>
      <c r="C28" s="267"/>
      <c r="D28" s="267" t="s">
        <v>177</v>
      </c>
      <c r="E28" s="267"/>
      <c r="F28" s="267" t="s">
        <v>177</v>
      </c>
      <c r="G28" s="267"/>
      <c r="H28" s="267" t="s">
        <v>177</v>
      </c>
      <c r="I28" s="267"/>
      <c r="J28" s="267" t="s">
        <v>262</v>
      </c>
      <c r="K28" s="267"/>
      <c r="L28" s="267" t="s">
        <v>262</v>
      </c>
      <c r="M28" s="267"/>
      <c r="N28" s="262"/>
      <c r="O28" s="263"/>
      <c r="P28" s="263"/>
      <c r="Q28" s="264"/>
      <c r="R28" s="5"/>
    </row>
    <row r="29" spans="1:19" ht="15.6" x14ac:dyDescent="0.3">
      <c r="A29" s="265"/>
      <c r="B29" s="266" t="s">
        <v>136</v>
      </c>
      <c r="C29" s="267"/>
      <c r="D29" s="267" t="s">
        <v>177</v>
      </c>
      <c r="E29" s="267"/>
      <c r="F29" s="267" t="s">
        <v>177</v>
      </c>
      <c r="G29" s="267"/>
      <c r="H29" s="267" t="s">
        <v>177</v>
      </c>
      <c r="I29" s="267"/>
      <c r="J29" s="267" t="s">
        <v>292</v>
      </c>
      <c r="K29" s="267"/>
      <c r="L29" s="267" t="s">
        <v>292</v>
      </c>
      <c r="M29" s="267"/>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181016.50499999998</v>
      </c>
      <c r="E34" s="271"/>
      <c r="F34" s="272">
        <f>+F33*F40</f>
        <v>88471.195999999996</v>
      </c>
      <c r="G34" s="271"/>
      <c r="H34" s="273">
        <f>+H33*H40</f>
        <v>201142.35</v>
      </c>
      <c r="I34" s="271"/>
      <c r="J34" s="270">
        <f>J33*J40</f>
        <v>74686.870500000005</v>
      </c>
      <c r="K34" s="271"/>
      <c r="L34" s="273">
        <f>L33*L40</f>
        <v>58844.181499999999</v>
      </c>
      <c r="M34" s="271"/>
      <c r="N34" s="271"/>
      <c r="O34" s="274"/>
      <c r="P34" s="271"/>
      <c r="Q34" s="275"/>
      <c r="R34" s="5"/>
    </row>
    <row r="35" spans="1:19" ht="15.6" x14ac:dyDescent="0.3">
      <c r="A35" s="265"/>
      <c r="B35" s="266" t="s">
        <v>158</v>
      </c>
      <c r="C35" s="276"/>
      <c r="D35" s="277">
        <f>+D33*D39</f>
        <v>179513.14499999999</v>
      </c>
      <c r="E35" s="278"/>
      <c r="F35" s="279">
        <f>+F33*F39</f>
        <v>87736.44</v>
      </c>
      <c r="G35" s="278"/>
      <c r="H35" s="280">
        <f>+H33*H39</f>
        <v>199471.80000000002</v>
      </c>
      <c r="I35" s="278"/>
      <c r="J35" s="277">
        <f>J33*J39</f>
        <v>74066.58600000001</v>
      </c>
      <c r="K35" s="278"/>
      <c r="L35" s="280">
        <f>L33*L39</f>
        <v>58355.472499999996</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101751.82967959526</v>
      </c>
      <c r="E37" s="271"/>
      <c r="F37" s="271">
        <f>+F34</f>
        <v>88471.195999999996</v>
      </c>
      <c r="G37" s="271"/>
      <c r="H37" s="271">
        <f>+H34/1.481481</f>
        <v>135771.13037561736</v>
      </c>
      <c r="I37" s="271"/>
      <c r="J37" s="271">
        <f>J36*J40</f>
        <v>41982.168879600002</v>
      </c>
      <c r="K37" s="271"/>
      <c r="L37" s="271">
        <f>L36*L40</f>
        <v>39719.822512500003</v>
      </c>
      <c r="M37" s="271"/>
      <c r="N37" s="271"/>
      <c r="O37" s="274"/>
      <c r="P37" s="271">
        <f>SUM(C37:L37)</f>
        <v>407696.1474473126</v>
      </c>
      <c r="Q37" s="275"/>
      <c r="R37" s="5"/>
      <c r="S37" s="154"/>
    </row>
    <row r="38" spans="1:19" ht="15.6" x14ac:dyDescent="0.3">
      <c r="A38" s="265"/>
      <c r="B38" s="266" t="s">
        <v>281</v>
      </c>
      <c r="C38" s="276"/>
      <c r="D38" s="278">
        <f>D35/1.779</f>
        <v>100906.77065767285</v>
      </c>
      <c r="E38" s="278"/>
      <c r="F38" s="278">
        <f>+F35</f>
        <v>87736.44</v>
      </c>
      <c r="G38" s="278"/>
      <c r="H38" s="278">
        <f>H35/1.481481</f>
        <v>134643.50875914036</v>
      </c>
      <c r="I38" s="278"/>
      <c r="J38" s="278">
        <f>J36*J39</f>
        <v>41633.501323199998</v>
      </c>
      <c r="K38" s="278"/>
      <c r="L38" s="278">
        <f>L36*L39</f>
        <v>39389.9439375</v>
      </c>
      <c r="M38" s="278"/>
      <c r="N38" s="278"/>
      <c r="O38" s="281"/>
      <c r="P38" s="278">
        <f>SUM(D38:L38)</f>
        <v>404310.16467751324</v>
      </c>
      <c r="Q38" s="275"/>
      <c r="R38" s="5"/>
      <c r="S38" s="176"/>
    </row>
    <row r="39" spans="1:19" ht="15.6" x14ac:dyDescent="0.3">
      <c r="A39" s="265"/>
      <c r="B39" s="282" t="s">
        <v>154</v>
      </c>
      <c r="C39" s="283"/>
      <c r="D39" s="284">
        <v>0.3989181</v>
      </c>
      <c r="E39" s="284"/>
      <c r="F39" s="284">
        <v>0.39880199999999999</v>
      </c>
      <c r="G39" s="284"/>
      <c r="H39" s="284">
        <v>0.39894360000000001</v>
      </c>
      <c r="I39" s="284"/>
      <c r="J39" s="284">
        <v>0.89777680000000004</v>
      </c>
      <c r="K39" s="284"/>
      <c r="L39" s="284">
        <v>0.89777649999999998</v>
      </c>
      <c r="M39" s="285"/>
      <c r="N39" s="285"/>
      <c r="O39" s="286"/>
      <c r="P39" s="285"/>
      <c r="Q39" s="287"/>
      <c r="R39" s="5"/>
    </row>
    <row r="40" spans="1:19" ht="15.6" x14ac:dyDescent="0.3">
      <c r="A40" s="265"/>
      <c r="B40" s="282" t="s">
        <v>155</v>
      </c>
      <c r="C40" s="283"/>
      <c r="D40" s="284">
        <v>0.40225889999999997</v>
      </c>
      <c r="E40" s="284"/>
      <c r="F40" s="284">
        <v>0.40214179999999999</v>
      </c>
      <c r="G40" s="284"/>
      <c r="H40" s="284">
        <v>0.4022847</v>
      </c>
      <c r="I40" s="284"/>
      <c r="J40" s="284">
        <v>0.90529539999999997</v>
      </c>
      <c r="K40" s="284"/>
      <c r="L40" s="284">
        <v>0.90529510000000002</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7.9625000000000008E-3</v>
      </c>
      <c r="E42" s="290"/>
      <c r="F42" s="289">
        <v>1.15E-2</v>
      </c>
      <c r="G42" s="290"/>
      <c r="H42" s="289">
        <v>1.319E-2</v>
      </c>
      <c r="I42" s="290"/>
      <c r="J42" s="289">
        <v>1.8762500000000001E-2</v>
      </c>
      <c r="K42" s="290"/>
      <c r="L42" s="289">
        <v>2.3990000000000001E-2</v>
      </c>
      <c r="M42" s="290"/>
      <c r="N42" s="289"/>
      <c r="O42" s="263"/>
      <c r="P42" s="290"/>
      <c r="Q42" s="264"/>
      <c r="R42" s="5"/>
    </row>
    <row r="43" spans="1:19" ht="15.6" x14ac:dyDescent="0.3">
      <c r="A43" s="260"/>
      <c r="B43" s="261" t="s">
        <v>14</v>
      </c>
      <c r="C43" s="261"/>
      <c r="D43" s="289">
        <v>8.5588000000000001E-3</v>
      </c>
      <c r="E43" s="290"/>
      <c r="F43" s="289">
        <v>1.1162500000000001E-2</v>
      </c>
      <c r="G43" s="290"/>
      <c r="H43" s="289">
        <v>1.103E-2</v>
      </c>
      <c r="I43" s="290"/>
      <c r="J43" s="289">
        <v>1.9358799999999999E-2</v>
      </c>
      <c r="K43" s="290"/>
      <c r="L43" s="289">
        <v>2.1829999999999999E-2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1.3390000000000001E-2</v>
      </c>
      <c r="E45" s="290"/>
      <c r="F45" s="289">
        <f>+F42</f>
        <v>1.15E-2</v>
      </c>
      <c r="G45" s="290"/>
      <c r="H45" s="289">
        <v>1.315E-2</v>
      </c>
      <c r="I45" s="290"/>
      <c r="J45" s="289">
        <v>2.5649999999999999E-2</v>
      </c>
      <c r="K45" s="290"/>
      <c r="L45" s="289">
        <v>2.5649999999999999E-2</v>
      </c>
      <c r="M45" s="290"/>
      <c r="N45" s="289"/>
      <c r="O45" s="263"/>
      <c r="P45" s="290">
        <f>SUMPRODUCT(D45:L45,D37:L37)/P37</f>
        <v>1.5356834339146226E-2</v>
      </c>
      <c r="Q45" s="264"/>
      <c r="R45" s="5"/>
    </row>
    <row r="46" spans="1:19" ht="15.6" x14ac:dyDescent="0.3">
      <c r="A46" s="260"/>
      <c r="B46" s="261" t="s">
        <v>283</v>
      </c>
      <c r="C46" s="261"/>
      <c r="D46" s="289">
        <v>1.30525E-2</v>
      </c>
      <c r="E46" s="290"/>
      <c r="F46" s="289">
        <f>+F43</f>
        <v>1.1162500000000001E-2</v>
      </c>
      <c r="G46" s="290"/>
      <c r="H46" s="289">
        <v>1.2812499999999999E-2</v>
      </c>
      <c r="I46" s="290"/>
      <c r="J46" s="289">
        <v>2.5312500000000002E-2</v>
      </c>
      <c r="K46" s="290"/>
      <c r="L46" s="289">
        <v>2.5312500000000002E-2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0.25062410669655921</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40497</v>
      </c>
      <c r="Q57" s="264"/>
      <c r="R57" s="5"/>
    </row>
    <row r="58" spans="1:18" ht="15.6" x14ac:dyDescent="0.3">
      <c r="A58" s="260"/>
      <c r="B58" s="261" t="s">
        <v>142</v>
      </c>
      <c r="C58" s="261"/>
      <c r="D58" s="261"/>
      <c r="E58" s="261"/>
      <c r="F58" s="297"/>
      <c r="G58" s="297"/>
      <c r="H58" s="297"/>
      <c r="I58" s="297"/>
      <c r="J58" s="297"/>
      <c r="K58" s="297"/>
      <c r="L58" s="261">
        <f>+P58-N58+1</f>
        <v>91</v>
      </c>
      <c r="M58" s="297"/>
      <c r="N58" s="298">
        <v>40315</v>
      </c>
      <c r="O58" s="299"/>
      <c r="P58" s="298">
        <v>40405</v>
      </c>
      <c r="Q58" s="264"/>
      <c r="R58" s="5"/>
    </row>
    <row r="59" spans="1:18" ht="15.6" x14ac:dyDescent="0.3">
      <c r="A59" s="260"/>
      <c r="B59" s="261" t="s">
        <v>143</v>
      </c>
      <c r="C59" s="261"/>
      <c r="D59" s="261"/>
      <c r="E59" s="261"/>
      <c r="F59" s="261"/>
      <c r="G59" s="261"/>
      <c r="H59" s="261"/>
      <c r="I59" s="261"/>
      <c r="J59" s="261"/>
      <c r="K59" s="261"/>
      <c r="L59" s="261">
        <f>+P59-N59+1</f>
        <v>91</v>
      </c>
      <c r="M59" s="261"/>
      <c r="N59" s="298">
        <v>40406</v>
      </c>
      <c r="O59" s="299"/>
      <c r="P59" s="298">
        <v>40496</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40483</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291</v>
      </c>
      <c r="C65" s="240"/>
      <c r="D65" s="240"/>
      <c r="E65" s="240"/>
      <c r="F65" s="240"/>
      <c r="G65" s="240"/>
      <c r="H65" s="240"/>
      <c r="I65" s="240"/>
      <c r="J65" s="240"/>
      <c r="K65" s="240"/>
      <c r="L65" s="240"/>
      <c r="M65" s="240"/>
      <c r="N65" s="240"/>
      <c r="O65" s="240"/>
      <c r="P65" s="241"/>
      <c r="Q65" s="242"/>
      <c r="R65" s="5"/>
    </row>
    <row r="66" spans="1:18" ht="15.6" x14ac:dyDescent="0.3">
      <c r="A66" s="389"/>
      <c r="B66" s="317"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407696</v>
      </c>
      <c r="I69" s="330"/>
      <c r="J69" s="330">
        <f>3386+314+38</f>
        <v>3738</v>
      </c>
      <c r="K69" s="330"/>
      <c r="L69" s="330">
        <f>314+38</f>
        <v>352</v>
      </c>
      <c r="M69" s="330"/>
      <c r="N69" s="330">
        <v>0</v>
      </c>
      <c r="O69" s="330"/>
      <c r="P69" s="331">
        <f>+H69-J69+L69-N69</f>
        <v>404310</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407696</v>
      </c>
      <c r="I72" s="330"/>
      <c r="J72" s="330">
        <f>SUM(J69:J71)</f>
        <v>3738</v>
      </c>
      <c r="K72" s="330"/>
      <c r="L72" s="330">
        <f>SUM(L69:L71)</f>
        <v>352</v>
      </c>
      <c r="M72" s="330"/>
      <c r="N72" s="330">
        <f>SUM(N69:N71)</f>
        <v>0</v>
      </c>
      <c r="O72" s="330"/>
      <c r="P72" s="330">
        <f>SUM(P69:P71)</f>
        <v>404310</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+N129</f>
        <v>0</v>
      </c>
      <c r="Q85" s="264"/>
      <c r="R85" s="5"/>
    </row>
    <row r="86" spans="1:18" ht="15.6" x14ac:dyDescent="0.3">
      <c r="A86" s="260"/>
      <c r="B86" s="261" t="s">
        <v>30</v>
      </c>
      <c r="C86" s="330"/>
      <c r="D86" s="330"/>
      <c r="E86" s="330"/>
      <c r="F86" s="330">
        <f>SUM(F72:F85)</f>
        <v>900700</v>
      </c>
      <c r="G86" s="330"/>
      <c r="H86" s="330">
        <f>SUM(H72:H85)</f>
        <v>407696</v>
      </c>
      <c r="I86" s="330"/>
      <c r="J86" s="330">
        <f>SUM(J72:J85)</f>
        <v>3738</v>
      </c>
      <c r="K86" s="330"/>
      <c r="L86" s="330">
        <f>SUM(L72:L85)</f>
        <v>352</v>
      </c>
      <c r="M86" s="330"/>
      <c r="N86" s="330"/>
      <c r="O86" s="330"/>
      <c r="P86" s="330">
        <f>SUM(P72:P85)</f>
        <v>404310</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17" t="s">
        <v>31</v>
      </c>
      <c r="C89" s="317"/>
      <c r="D89" s="317"/>
      <c r="E89" s="317"/>
      <c r="F89" s="387" t="s">
        <v>106</v>
      </c>
      <c r="G89" s="318"/>
      <c r="H89" s="388">
        <v>40480</v>
      </c>
      <c r="I89" s="318"/>
      <c r="J89" s="318"/>
      <c r="K89" s="318"/>
      <c r="L89" s="318"/>
      <c r="M89" s="318"/>
      <c r="N89" s="318" t="s">
        <v>119</v>
      </c>
      <c r="O89" s="318"/>
      <c r="P89" s="318"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3738-119</f>
        <v>3619</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3430+113-765-46+94</f>
        <v>2826</v>
      </c>
      <c r="Q92" s="264"/>
      <c r="R92" s="5"/>
    </row>
    <row r="93" spans="1:18" ht="15.6" x14ac:dyDescent="0.3">
      <c r="A93" s="260"/>
      <c r="B93" s="261" t="s">
        <v>249</v>
      </c>
      <c r="C93" s="261"/>
      <c r="D93" s="261"/>
      <c r="E93" s="261"/>
      <c r="F93" s="292"/>
      <c r="G93" s="332"/>
      <c r="H93" s="333"/>
      <c r="I93" s="261"/>
      <c r="J93" s="261"/>
      <c r="K93" s="261"/>
      <c r="L93" s="261"/>
      <c r="M93" s="261"/>
      <c r="N93" s="330"/>
      <c r="O93" s="261"/>
      <c r="P93" s="331">
        <f>39+4</f>
        <v>43</v>
      </c>
      <c r="Q93" s="264"/>
      <c r="R93" s="5"/>
    </row>
    <row r="94" spans="1:18" ht="15.6" x14ac:dyDescent="0.3">
      <c r="A94" s="260"/>
      <c r="B94" s="261" t="s">
        <v>250</v>
      </c>
      <c r="C94" s="261"/>
      <c r="D94" s="261"/>
      <c r="E94" s="261"/>
      <c r="F94" s="292"/>
      <c r="G94" s="332"/>
      <c r="H94" s="333"/>
      <c r="I94" s="261"/>
      <c r="J94" s="261"/>
      <c r="K94" s="261"/>
      <c r="L94" s="261"/>
      <c r="M94" s="261"/>
      <c r="N94" s="330"/>
      <c r="O94" s="261"/>
      <c r="P94" s="331">
        <v>37</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232</v>
      </c>
      <c r="Q97" s="264"/>
      <c r="R97" s="5"/>
    </row>
    <row r="98" spans="1:19" ht="15.6" x14ac:dyDescent="0.3">
      <c r="A98" s="260"/>
      <c r="B98" s="261" t="s">
        <v>35</v>
      </c>
      <c r="C98" s="261"/>
      <c r="D98" s="261"/>
      <c r="E98" s="261"/>
      <c r="F98" s="261"/>
      <c r="G98" s="261"/>
      <c r="H98" s="261"/>
      <c r="I98" s="261"/>
      <c r="J98" s="261"/>
      <c r="K98" s="261"/>
      <c r="L98" s="261"/>
      <c r="M98" s="261"/>
      <c r="N98" s="330">
        <f>SUM(N90:N97)</f>
        <v>3619</v>
      </c>
      <c r="O98" s="261"/>
      <c r="P98" s="330">
        <f>SUM(P90:P97)</f>
        <v>3138</v>
      </c>
      <c r="Q98" s="264"/>
      <c r="R98" s="5"/>
    </row>
    <row r="99" spans="1:19" ht="15.6" x14ac:dyDescent="0.3">
      <c r="A99" s="260"/>
      <c r="B99" s="261" t="s">
        <v>237</v>
      </c>
      <c r="C99" s="261"/>
      <c r="D99" s="261"/>
      <c r="E99" s="261"/>
      <c r="F99" s="261"/>
      <c r="G99" s="261"/>
      <c r="H99" s="261"/>
      <c r="I99" s="261"/>
      <c r="J99" s="261"/>
      <c r="K99" s="261"/>
      <c r="L99" s="261"/>
      <c r="M99" s="261"/>
      <c r="N99" s="330">
        <v>-2</v>
      </c>
      <c r="O99" s="261"/>
      <c r="P99" s="330">
        <f>-N99</f>
        <v>2</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-278</v>
      </c>
      <c r="Q101" s="264"/>
      <c r="R101" s="5"/>
    </row>
    <row r="102" spans="1:19" ht="15.6" x14ac:dyDescent="0.3">
      <c r="A102" s="260"/>
      <c r="B102" s="261" t="s">
        <v>37</v>
      </c>
      <c r="C102" s="261"/>
      <c r="D102" s="261"/>
      <c r="E102" s="261"/>
      <c r="F102" s="261"/>
      <c r="G102" s="261"/>
      <c r="H102" s="261"/>
      <c r="I102" s="261"/>
      <c r="J102" s="261"/>
      <c r="K102" s="261"/>
      <c r="L102" s="261"/>
      <c r="M102" s="261"/>
      <c r="N102" s="330">
        <f>N98+N100+N99</f>
        <v>3617</v>
      </c>
      <c r="O102" s="261"/>
      <c r="P102" s="330">
        <f>P98+P100+P99+P101</f>
        <v>2862</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40</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226</v>
      </c>
      <c r="C106" s="261"/>
      <c r="D106" s="261"/>
      <c r="E106" s="261"/>
      <c r="F106" s="261"/>
      <c r="G106" s="261"/>
      <c r="H106" s="261"/>
      <c r="I106" s="261"/>
      <c r="J106" s="261"/>
      <c r="K106" s="261"/>
      <c r="L106" s="261"/>
      <c r="M106" s="261"/>
      <c r="N106" s="261"/>
      <c r="O106" s="261"/>
      <c r="P106" s="331">
        <f>-103-147-5</f>
        <v>-255</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-263</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-339</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-254</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-445</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-268</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-254</v>
      </c>
      <c r="Q112" s="264"/>
      <c r="R112" s="5"/>
      <c r="S112" s="109"/>
    </row>
    <row r="113" spans="1:18" ht="15.6" x14ac:dyDescent="0.3">
      <c r="A113" s="339">
        <v>6</v>
      </c>
      <c r="B113" s="261" t="s">
        <v>41</v>
      </c>
      <c r="C113" s="261"/>
      <c r="D113" s="261"/>
      <c r="E113" s="261"/>
      <c r="F113" s="261"/>
      <c r="G113" s="261"/>
      <c r="H113" s="261"/>
      <c r="I113" s="261"/>
      <c r="J113" s="261"/>
      <c r="K113" s="261"/>
      <c r="L113" s="261"/>
      <c r="M113" s="261"/>
      <c r="N113" s="261"/>
      <c r="O113" s="261"/>
      <c r="P113" s="331">
        <v>-10</v>
      </c>
      <c r="Q113" s="264"/>
      <c r="R113" s="5"/>
    </row>
    <row r="114" spans="1:18" ht="15.6" x14ac:dyDescent="0.3">
      <c r="A114" s="339">
        <f t="shared" ref="A114:A119" si="0">+A113+1</f>
        <v>7</v>
      </c>
      <c r="B114" s="261" t="s">
        <v>53</v>
      </c>
      <c r="C114" s="261"/>
      <c r="D114" s="261"/>
      <c r="E114" s="261"/>
      <c r="F114" s="261"/>
      <c r="G114" s="261"/>
      <c r="H114" s="261"/>
      <c r="I114" s="261"/>
      <c r="J114" s="261"/>
      <c r="K114" s="261"/>
      <c r="L114" s="261"/>
      <c r="M114" s="261"/>
      <c r="N114" s="330">
        <f>-P114</f>
        <v>119</v>
      </c>
      <c r="O114" s="261"/>
      <c r="P114" s="331">
        <v>-119</v>
      </c>
      <c r="Q114" s="264"/>
      <c r="R114" s="5"/>
    </row>
    <row r="115" spans="1:18" ht="15.6" x14ac:dyDescent="0.3">
      <c r="A115" s="339">
        <f t="shared" si="0"/>
        <v>8</v>
      </c>
      <c r="B115" s="261" t="s">
        <v>149</v>
      </c>
      <c r="C115" s="261"/>
      <c r="D115" s="261"/>
      <c r="E115" s="261"/>
      <c r="F115" s="261"/>
      <c r="G115" s="261"/>
      <c r="H115" s="261"/>
      <c r="I115" s="261"/>
      <c r="J115" s="261"/>
      <c r="K115" s="261"/>
      <c r="L115" s="261"/>
      <c r="M115" s="261"/>
      <c r="N115" s="261"/>
      <c r="O115" s="261"/>
      <c r="P115" s="331">
        <v>0</v>
      </c>
      <c r="Q115" s="264"/>
      <c r="R115" s="5"/>
    </row>
    <row r="116" spans="1:18" ht="15.6" x14ac:dyDescent="0.3">
      <c r="A116" s="339">
        <f t="shared" si="0"/>
        <v>9</v>
      </c>
      <c r="B116" s="261" t="s">
        <v>42</v>
      </c>
      <c r="C116" s="261"/>
      <c r="D116" s="261"/>
      <c r="E116" s="261"/>
      <c r="F116" s="261"/>
      <c r="G116" s="261"/>
      <c r="H116" s="261"/>
      <c r="I116" s="261"/>
      <c r="J116" s="261"/>
      <c r="K116" s="261"/>
      <c r="L116" s="261"/>
      <c r="M116" s="261"/>
      <c r="N116" s="261"/>
      <c r="O116" s="261"/>
      <c r="P116" s="331">
        <v>0</v>
      </c>
      <c r="Q116" s="264"/>
      <c r="R116" s="5"/>
    </row>
    <row r="117" spans="1:18" ht="15.6" x14ac:dyDescent="0.3">
      <c r="A117" s="339">
        <f t="shared" si="0"/>
        <v>10</v>
      </c>
      <c r="B117" s="261" t="s">
        <v>43</v>
      </c>
      <c r="C117" s="261"/>
      <c r="D117" s="261"/>
      <c r="E117" s="261"/>
      <c r="F117" s="261"/>
      <c r="G117" s="261"/>
      <c r="H117" s="261"/>
      <c r="I117" s="261"/>
      <c r="J117" s="261"/>
      <c r="K117" s="261"/>
      <c r="L117" s="261"/>
      <c r="M117" s="261"/>
      <c r="N117" s="261"/>
      <c r="O117" s="261"/>
      <c r="P117" s="331">
        <v>0</v>
      </c>
      <c r="Q117" s="264"/>
      <c r="R117" s="5"/>
    </row>
    <row r="118" spans="1:18" ht="15.6" x14ac:dyDescent="0.3">
      <c r="A118" s="339">
        <f t="shared" si="0"/>
        <v>11</v>
      </c>
      <c r="B118" s="261" t="s">
        <v>215</v>
      </c>
      <c r="C118" s="261"/>
      <c r="D118" s="261"/>
      <c r="E118" s="261"/>
      <c r="F118" s="261"/>
      <c r="G118" s="261"/>
      <c r="H118" s="261"/>
      <c r="I118" s="261"/>
      <c r="J118" s="261"/>
      <c r="K118" s="261"/>
      <c r="L118" s="261"/>
      <c r="M118" s="261"/>
      <c r="N118" s="261"/>
      <c r="O118" s="261"/>
      <c r="P118" s="331">
        <v>-209</v>
      </c>
      <c r="Q118" s="264"/>
      <c r="R118" s="5"/>
    </row>
    <row r="119" spans="1:18" ht="15.6" x14ac:dyDescent="0.3">
      <c r="A119" s="339">
        <f t="shared" si="0"/>
        <v>12</v>
      </c>
      <c r="B119" s="261" t="s">
        <v>150</v>
      </c>
      <c r="C119" s="261"/>
      <c r="D119" s="261"/>
      <c r="E119" s="261"/>
      <c r="F119" s="261"/>
      <c r="G119" s="261"/>
      <c r="H119" s="261"/>
      <c r="I119" s="261"/>
      <c r="J119" s="261"/>
      <c r="K119" s="261"/>
      <c r="L119" s="261"/>
      <c r="M119" s="261"/>
      <c r="N119" s="261"/>
      <c r="O119" s="261"/>
      <c r="P119" s="331">
        <f>-P102-SUM(P104:P118)</f>
        <v>-444</v>
      </c>
      <c r="Q119" s="264"/>
      <c r="R119" s="5"/>
    </row>
    <row r="120" spans="1:18" ht="15.6" x14ac:dyDescent="0.3">
      <c r="A120" s="260"/>
      <c r="B120" s="334" t="s">
        <v>44</v>
      </c>
      <c r="C120" s="335"/>
      <c r="D120" s="335"/>
      <c r="E120" s="335"/>
      <c r="F120" s="335"/>
      <c r="G120" s="335"/>
      <c r="H120" s="335"/>
      <c r="I120" s="335"/>
      <c r="J120" s="335"/>
      <c r="K120" s="335"/>
      <c r="L120" s="335"/>
      <c r="M120" s="335"/>
      <c r="N120" s="335"/>
      <c r="O120" s="335"/>
      <c r="P120" s="340"/>
      <c r="Q120" s="338"/>
      <c r="R120" s="5"/>
    </row>
    <row r="121" spans="1:18" ht="15.6" x14ac:dyDescent="0.3">
      <c r="A121" s="339"/>
      <c r="B121" s="261" t="s">
        <v>45</v>
      </c>
      <c r="C121" s="261"/>
      <c r="D121" s="261"/>
      <c r="E121" s="261"/>
      <c r="F121" s="261"/>
      <c r="G121" s="261"/>
      <c r="H121" s="261"/>
      <c r="I121" s="261"/>
      <c r="J121" s="261"/>
      <c r="K121" s="261"/>
      <c r="L121" s="261"/>
      <c r="M121" s="261"/>
      <c r="N121" s="330">
        <v>0</v>
      </c>
      <c r="O121" s="330"/>
      <c r="P121" s="331"/>
      <c r="Q121" s="264"/>
      <c r="R121" s="5"/>
    </row>
    <row r="122" spans="1:18" ht="15.6" x14ac:dyDescent="0.3">
      <c r="A122" s="339"/>
      <c r="B122" s="261" t="s">
        <v>46</v>
      </c>
      <c r="C122" s="261"/>
      <c r="D122" s="261"/>
      <c r="E122" s="261"/>
      <c r="F122" s="261"/>
      <c r="G122" s="261"/>
      <c r="H122" s="261"/>
      <c r="I122" s="261"/>
      <c r="J122" s="261"/>
      <c r="K122" s="261"/>
      <c r="L122" s="261"/>
      <c r="M122" s="261"/>
      <c r="N122" s="330">
        <f>-M171</f>
        <v>-350</v>
      </c>
      <c r="O122" s="330"/>
      <c r="P122" s="331"/>
      <c r="Q122" s="264"/>
      <c r="R122" s="5"/>
    </row>
    <row r="123" spans="1:18" ht="15.6" x14ac:dyDescent="0.3">
      <c r="A123" s="339"/>
      <c r="B123" s="261" t="s">
        <v>199</v>
      </c>
      <c r="C123" s="261"/>
      <c r="D123" s="261"/>
      <c r="E123" s="261"/>
      <c r="F123" s="261"/>
      <c r="G123" s="261"/>
      <c r="H123" s="261"/>
      <c r="I123" s="261"/>
      <c r="J123" s="261"/>
      <c r="K123" s="261"/>
      <c r="L123" s="261"/>
      <c r="M123" s="261"/>
      <c r="N123" s="330">
        <v>-845</v>
      </c>
      <c r="O123" s="330"/>
      <c r="P123" s="331"/>
      <c r="Q123" s="264"/>
      <c r="R123" s="5"/>
    </row>
    <row r="124" spans="1:18" ht="15.6" x14ac:dyDescent="0.3">
      <c r="A124" s="339"/>
      <c r="B124" s="261" t="s">
        <v>200</v>
      </c>
      <c r="C124" s="261"/>
      <c r="D124" s="261"/>
      <c r="E124" s="261"/>
      <c r="F124" s="261"/>
      <c r="G124" s="261"/>
      <c r="H124" s="261"/>
      <c r="I124" s="261"/>
      <c r="J124" s="261"/>
      <c r="K124" s="261"/>
      <c r="L124" s="261"/>
      <c r="M124" s="261"/>
      <c r="N124" s="330">
        <v>-735</v>
      </c>
      <c r="O124" s="330"/>
      <c r="P124" s="331"/>
      <c r="Q124" s="264"/>
      <c r="R124" s="5"/>
    </row>
    <row r="125" spans="1:18" ht="15.6" x14ac:dyDescent="0.3">
      <c r="A125" s="339"/>
      <c r="B125" s="261" t="s">
        <v>201</v>
      </c>
      <c r="C125" s="261"/>
      <c r="D125" s="261"/>
      <c r="E125" s="261"/>
      <c r="F125" s="261"/>
      <c r="G125" s="261"/>
      <c r="H125" s="261"/>
      <c r="I125" s="261"/>
      <c r="J125" s="261"/>
      <c r="K125" s="261"/>
      <c r="L125" s="261"/>
      <c r="M125" s="261"/>
      <c r="N125" s="330">
        <v>-1127</v>
      </c>
      <c r="O125" s="330"/>
      <c r="P125" s="331"/>
      <c r="Q125" s="264"/>
      <c r="R125" s="5"/>
    </row>
    <row r="126" spans="1:18" ht="15.6" x14ac:dyDescent="0.3">
      <c r="A126" s="339"/>
      <c r="B126" s="261" t="s">
        <v>159</v>
      </c>
      <c r="C126" s="261"/>
      <c r="D126" s="261"/>
      <c r="E126" s="261"/>
      <c r="F126" s="261"/>
      <c r="G126" s="261"/>
      <c r="H126" s="261"/>
      <c r="I126" s="261"/>
      <c r="J126" s="261"/>
      <c r="K126" s="261"/>
      <c r="L126" s="261"/>
      <c r="M126" s="261"/>
      <c r="N126" s="330">
        <v>-349</v>
      </c>
      <c r="O126" s="330"/>
      <c r="P126" s="331"/>
      <c r="Q126" s="264"/>
      <c r="R126" s="5"/>
    </row>
    <row r="127" spans="1:18" ht="15.6" x14ac:dyDescent="0.3">
      <c r="A127" s="339"/>
      <c r="B127" s="261" t="s">
        <v>214</v>
      </c>
      <c r="C127" s="261"/>
      <c r="D127" s="261"/>
      <c r="E127" s="261"/>
      <c r="F127" s="261"/>
      <c r="G127" s="261"/>
      <c r="H127" s="261"/>
      <c r="I127" s="261"/>
      <c r="J127" s="261"/>
      <c r="K127" s="261"/>
      <c r="L127" s="261"/>
      <c r="M127" s="261"/>
      <c r="N127" s="330">
        <v>-330</v>
      </c>
      <c r="O127" s="330"/>
      <c r="P127" s="331"/>
      <c r="Q127" s="264"/>
      <c r="R127" s="5"/>
    </row>
    <row r="128" spans="1:18" ht="15.6" x14ac:dyDescent="0.3">
      <c r="A128" s="339"/>
      <c r="B128" s="261" t="s">
        <v>47</v>
      </c>
      <c r="C128" s="261"/>
      <c r="D128" s="261"/>
      <c r="E128" s="261"/>
      <c r="F128" s="261"/>
      <c r="G128" s="261"/>
      <c r="H128" s="261"/>
      <c r="I128" s="261"/>
      <c r="J128" s="261"/>
      <c r="K128" s="261"/>
      <c r="L128" s="261"/>
      <c r="M128" s="261"/>
      <c r="N128" s="330">
        <f>SUM(N121:N127)</f>
        <v>-3736</v>
      </c>
      <c r="O128" s="330"/>
      <c r="P128" s="330">
        <f>SUM(P103:P127)</f>
        <v>-2862</v>
      </c>
      <c r="Q128" s="264"/>
      <c r="R128" s="5"/>
    </row>
    <row r="129" spans="1:19" ht="15.6" x14ac:dyDescent="0.3">
      <c r="A129" s="339"/>
      <c r="B129" s="261" t="s">
        <v>48</v>
      </c>
      <c r="C129" s="261"/>
      <c r="D129" s="261"/>
      <c r="E129" s="261"/>
      <c r="F129" s="261"/>
      <c r="G129" s="261"/>
      <c r="H129" s="261"/>
      <c r="I129" s="261"/>
      <c r="J129" s="261"/>
      <c r="K129" s="261"/>
      <c r="L129" s="261"/>
      <c r="M129" s="261"/>
      <c r="N129" s="330">
        <f>N102+N128+N114</f>
        <v>0</v>
      </c>
      <c r="O129" s="330"/>
      <c r="P129" s="330">
        <f>P102+P128</f>
        <v>0</v>
      </c>
      <c r="Q129" s="264"/>
      <c r="R129" s="5"/>
    </row>
    <row r="130" spans="1:19" ht="15.6" x14ac:dyDescent="0.3">
      <c r="A130" s="301"/>
      <c r="B130" s="257"/>
      <c r="C130" s="257"/>
      <c r="D130" s="257"/>
      <c r="E130" s="257"/>
      <c r="F130" s="257"/>
      <c r="G130" s="257"/>
      <c r="H130" s="257"/>
      <c r="I130" s="257"/>
      <c r="J130" s="257"/>
      <c r="K130" s="257"/>
      <c r="L130" s="257"/>
      <c r="M130" s="257"/>
      <c r="N130" s="302"/>
      <c r="O130" s="302"/>
      <c r="P130" s="302"/>
      <c r="Q130" s="257"/>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8" thickBot="1" x14ac:dyDescent="0.35">
      <c r="A132" s="303"/>
      <c r="B132" s="239" t="str">
        <f>B65</f>
        <v>PM7 INVESTOR REPORT QUARTER ENDING OCTOBER 2010</v>
      </c>
      <c r="C132" s="240"/>
      <c r="D132" s="240"/>
      <c r="E132" s="240"/>
      <c r="F132" s="240"/>
      <c r="G132" s="240"/>
      <c r="H132" s="240"/>
      <c r="I132" s="240"/>
      <c r="J132" s="240"/>
      <c r="K132" s="240"/>
      <c r="L132" s="240"/>
      <c r="M132" s="240"/>
      <c r="N132" s="240"/>
      <c r="O132" s="240"/>
      <c r="P132" s="304"/>
      <c r="Q132" s="242"/>
      <c r="R132" s="5"/>
    </row>
    <row r="133" spans="1:19" ht="15.6" x14ac:dyDescent="0.3">
      <c r="A133" s="323"/>
      <c r="B133" s="327" t="s">
        <v>49</v>
      </c>
      <c r="C133" s="326"/>
      <c r="D133" s="326"/>
      <c r="E133" s="326"/>
      <c r="F133" s="326"/>
      <c r="G133" s="326"/>
      <c r="H133" s="326"/>
      <c r="I133" s="326"/>
      <c r="J133" s="326"/>
      <c r="K133" s="326"/>
      <c r="L133" s="326"/>
      <c r="M133" s="326"/>
      <c r="N133" s="326"/>
      <c r="O133" s="326"/>
      <c r="P133" s="328"/>
      <c r="Q133" s="326"/>
      <c r="R133" s="5"/>
    </row>
    <row r="134" spans="1:19" ht="15.6" x14ac:dyDescent="0.3">
      <c r="A134" s="183"/>
      <c r="B134" s="196"/>
      <c r="C134" s="185"/>
      <c r="D134" s="185"/>
      <c r="E134" s="185"/>
      <c r="F134" s="185"/>
      <c r="G134" s="185"/>
      <c r="H134" s="185"/>
      <c r="I134" s="185"/>
      <c r="J134" s="185"/>
      <c r="K134" s="185"/>
      <c r="L134" s="185"/>
      <c r="M134" s="185"/>
      <c r="N134" s="185"/>
      <c r="O134" s="185"/>
      <c r="P134" s="201"/>
      <c r="Q134" s="185"/>
      <c r="R134" s="5"/>
    </row>
    <row r="135" spans="1:19" ht="15.6" x14ac:dyDescent="0.3">
      <c r="A135" s="183"/>
      <c r="B135" s="209" t="s">
        <v>50</v>
      </c>
      <c r="C135" s="185"/>
      <c r="D135" s="185"/>
      <c r="E135" s="185"/>
      <c r="F135" s="185"/>
      <c r="G135" s="185"/>
      <c r="H135" s="185"/>
      <c r="I135" s="185"/>
      <c r="J135" s="185"/>
      <c r="K135" s="185"/>
      <c r="L135" s="185"/>
      <c r="M135" s="185"/>
      <c r="N135" s="185"/>
      <c r="O135" s="185"/>
      <c r="P135" s="201"/>
      <c r="Q135" s="185"/>
      <c r="R135" s="5"/>
    </row>
    <row r="136" spans="1:19" ht="15.6" x14ac:dyDescent="0.3">
      <c r="A136" s="260"/>
      <c r="B136" s="261" t="s">
        <v>51</v>
      </c>
      <c r="C136" s="261"/>
      <c r="D136" s="261"/>
      <c r="E136" s="261"/>
      <c r="F136" s="261"/>
      <c r="G136" s="261"/>
      <c r="H136" s="261"/>
      <c r="I136" s="261"/>
      <c r="J136" s="261"/>
      <c r="K136" s="261"/>
      <c r="L136" s="261"/>
      <c r="M136" s="261"/>
      <c r="N136" s="261"/>
      <c r="O136" s="261"/>
      <c r="P136" s="331">
        <f>+P36*0.022</f>
        <v>19815.399999999998</v>
      </c>
      <c r="Q136" s="264"/>
      <c r="R136" s="5"/>
    </row>
    <row r="137" spans="1:19" ht="15.6" x14ac:dyDescent="0.3">
      <c r="A137" s="260"/>
      <c r="B137" s="261" t="s">
        <v>52</v>
      </c>
      <c r="C137" s="261"/>
      <c r="D137" s="261"/>
      <c r="E137" s="261"/>
      <c r="F137" s="261"/>
      <c r="G137" s="261"/>
      <c r="H137" s="261"/>
      <c r="I137" s="261"/>
      <c r="J137" s="261"/>
      <c r="K137" s="261"/>
      <c r="L137" s="261"/>
      <c r="M137" s="261"/>
      <c r="N137" s="261"/>
      <c r="O137" s="261"/>
      <c r="P137" s="331">
        <v>19815</v>
      </c>
      <c r="Q137" s="264"/>
      <c r="R137" s="5"/>
    </row>
    <row r="138" spans="1:19" ht="15.6" x14ac:dyDescent="0.3">
      <c r="A138" s="260"/>
      <c r="B138" s="261" t="s">
        <v>161</v>
      </c>
      <c r="C138" s="261"/>
      <c r="D138" s="261"/>
      <c r="E138" s="261"/>
      <c r="F138" s="261"/>
      <c r="G138" s="261"/>
      <c r="H138" s="261"/>
      <c r="I138" s="261"/>
      <c r="J138" s="261"/>
      <c r="K138" s="261"/>
      <c r="L138" s="261"/>
      <c r="M138" s="261"/>
      <c r="N138" s="261"/>
      <c r="O138" s="261"/>
      <c r="P138" s="331">
        <v>0</v>
      </c>
      <c r="Q138" s="264"/>
      <c r="R138" s="5"/>
    </row>
    <row r="139" spans="1:19" ht="15.6" x14ac:dyDescent="0.3">
      <c r="A139" s="260"/>
      <c r="B139" s="261" t="s">
        <v>144</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145</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53</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153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202</v>
      </c>
      <c r="C143" s="261"/>
      <c r="D143" s="261"/>
      <c r="E143" s="261"/>
      <c r="F143" s="261"/>
      <c r="G143" s="261"/>
      <c r="H143" s="261"/>
      <c r="I143" s="261"/>
      <c r="J143" s="261"/>
      <c r="K143" s="261"/>
      <c r="L143" s="261"/>
      <c r="M143" s="261"/>
      <c r="N143" s="261"/>
      <c r="O143" s="261"/>
      <c r="P143" s="331">
        <v>0</v>
      </c>
      <c r="Q143" s="264"/>
      <c r="R143" s="5"/>
      <c r="S143" s="109"/>
    </row>
    <row r="144" spans="1:19" ht="15.6" x14ac:dyDescent="0.3">
      <c r="A144" s="260"/>
      <c r="B144" s="261" t="s">
        <v>54</v>
      </c>
      <c r="C144" s="261"/>
      <c r="D144" s="261"/>
      <c r="E144" s="261"/>
      <c r="F144" s="261"/>
      <c r="G144" s="261"/>
      <c r="H144" s="261"/>
      <c r="I144" s="261"/>
      <c r="J144" s="261"/>
      <c r="K144" s="261"/>
      <c r="L144" s="261"/>
      <c r="M144" s="261"/>
      <c r="N144" s="261"/>
      <c r="O144" s="261"/>
      <c r="P144" s="331">
        <f>SUM(P137:P143)</f>
        <v>19815</v>
      </c>
      <c r="Q144" s="264"/>
      <c r="R144" s="5"/>
    </row>
    <row r="145" spans="1:18" ht="15.6" x14ac:dyDescent="0.3">
      <c r="A145" s="183"/>
      <c r="B145" s="190"/>
      <c r="C145" s="190"/>
      <c r="D145" s="190"/>
      <c r="E145" s="190"/>
      <c r="F145" s="190"/>
      <c r="G145" s="190"/>
      <c r="H145" s="190"/>
      <c r="I145" s="190"/>
      <c r="J145" s="190"/>
      <c r="K145" s="190"/>
      <c r="L145" s="190"/>
      <c r="M145" s="190"/>
      <c r="N145" s="190"/>
      <c r="O145" s="190"/>
      <c r="P145" s="341"/>
      <c r="Q145" s="190"/>
      <c r="R145" s="5"/>
    </row>
    <row r="146" spans="1:18" ht="15.6" x14ac:dyDescent="0.3">
      <c r="A146" s="183"/>
      <c r="B146" s="209" t="s">
        <v>28</v>
      </c>
      <c r="C146" s="185"/>
      <c r="D146" s="185"/>
      <c r="E146" s="185"/>
      <c r="F146" s="185"/>
      <c r="G146" s="185"/>
      <c r="H146" s="185"/>
      <c r="I146" s="185"/>
      <c r="J146" s="185"/>
      <c r="K146" s="185"/>
      <c r="L146" s="185"/>
      <c r="M146" s="185"/>
      <c r="N146" s="185"/>
      <c r="O146" s="185"/>
      <c r="P146" s="201"/>
      <c r="Q146" s="185"/>
      <c r="R146" s="5"/>
    </row>
    <row r="147" spans="1:18" ht="15.6" x14ac:dyDescent="0.3">
      <c r="A147" s="260"/>
      <c r="B147" s="261" t="s">
        <v>55</v>
      </c>
      <c r="C147" s="261"/>
      <c r="D147" s="261"/>
      <c r="E147" s="261"/>
      <c r="F147" s="261"/>
      <c r="G147" s="261"/>
      <c r="H147" s="261"/>
      <c r="I147" s="261"/>
      <c r="J147" s="261"/>
      <c r="K147" s="261"/>
      <c r="L147" s="261"/>
      <c r="M147" s="261"/>
      <c r="N147" s="261"/>
      <c r="O147" s="261"/>
      <c r="P147" s="342" t="s">
        <v>137</v>
      </c>
      <c r="Q147" s="338"/>
      <c r="R147" s="5"/>
    </row>
    <row r="148" spans="1:18" ht="15.6" x14ac:dyDescent="0.3">
      <c r="A148" s="260"/>
      <c r="B148" s="261" t="s">
        <v>56</v>
      </c>
      <c r="C148" s="263"/>
      <c r="D148" s="263"/>
      <c r="E148" s="263"/>
      <c r="F148" s="263"/>
      <c r="G148" s="263"/>
      <c r="H148" s="263"/>
      <c r="I148" s="263"/>
      <c r="J148" s="263"/>
      <c r="K148" s="263"/>
      <c r="L148" s="263"/>
      <c r="M148" s="263"/>
      <c r="N148" s="263"/>
      <c r="O148" s="263"/>
      <c r="P148" s="342" t="s">
        <v>137</v>
      </c>
      <c r="Q148" s="338"/>
      <c r="R148" s="5"/>
    </row>
    <row r="149" spans="1:18" ht="15.6" x14ac:dyDescent="0.3">
      <c r="A149" s="260"/>
      <c r="B149" s="261" t="s">
        <v>57</v>
      </c>
      <c r="C149" s="261"/>
      <c r="D149" s="261"/>
      <c r="E149" s="261"/>
      <c r="F149" s="261"/>
      <c r="G149" s="261"/>
      <c r="H149" s="261"/>
      <c r="I149" s="261"/>
      <c r="J149" s="261"/>
      <c r="K149" s="261"/>
      <c r="L149" s="261"/>
      <c r="M149" s="261"/>
      <c r="N149" s="261"/>
      <c r="O149" s="261"/>
      <c r="P149" s="342" t="s">
        <v>137</v>
      </c>
      <c r="Q149" s="338"/>
      <c r="R149" s="5"/>
    </row>
    <row r="150" spans="1:18" ht="15.6" x14ac:dyDescent="0.3">
      <c r="A150" s="260"/>
      <c r="B150" s="261" t="s">
        <v>58</v>
      </c>
      <c r="C150" s="261"/>
      <c r="D150" s="261"/>
      <c r="E150" s="261"/>
      <c r="F150" s="261"/>
      <c r="G150" s="261"/>
      <c r="H150" s="261"/>
      <c r="I150" s="261"/>
      <c r="J150" s="261"/>
      <c r="K150" s="261"/>
      <c r="L150" s="261"/>
      <c r="M150" s="261"/>
      <c r="N150" s="261"/>
      <c r="O150" s="261"/>
      <c r="P150" s="342" t="s">
        <v>137</v>
      </c>
      <c r="Q150" s="338"/>
      <c r="R150" s="5"/>
    </row>
    <row r="151" spans="1:18" ht="15.6" x14ac:dyDescent="0.3">
      <c r="A151" s="183"/>
      <c r="B151" s="190"/>
      <c r="C151" s="190"/>
      <c r="D151" s="190"/>
      <c r="E151" s="190"/>
      <c r="F151" s="190"/>
      <c r="G151" s="190"/>
      <c r="H151" s="190"/>
      <c r="I151" s="190"/>
      <c r="J151" s="190"/>
      <c r="K151" s="190"/>
      <c r="L151" s="190"/>
      <c r="M151" s="190"/>
      <c r="N151" s="190"/>
      <c r="O151" s="190"/>
      <c r="P151" s="341"/>
      <c r="Q151" s="190"/>
      <c r="R151" s="5"/>
    </row>
    <row r="152" spans="1:18" ht="15.6" x14ac:dyDescent="0.3">
      <c r="A152" s="183"/>
      <c r="B152" s="209" t="s">
        <v>59</v>
      </c>
      <c r="C152" s="185"/>
      <c r="D152" s="185"/>
      <c r="E152" s="185"/>
      <c r="F152" s="185"/>
      <c r="G152" s="185"/>
      <c r="H152" s="185"/>
      <c r="I152" s="185"/>
      <c r="J152" s="185"/>
      <c r="K152" s="185"/>
      <c r="L152" s="185"/>
      <c r="M152" s="185"/>
      <c r="N152" s="185"/>
      <c r="O152" s="185"/>
      <c r="P152" s="210"/>
      <c r="Q152" s="185"/>
      <c r="R152" s="5"/>
    </row>
    <row r="153" spans="1:18" ht="15.6" x14ac:dyDescent="0.3">
      <c r="A153" s="260"/>
      <c r="B153" s="261" t="s">
        <v>60</v>
      </c>
      <c r="C153" s="261"/>
      <c r="D153" s="261"/>
      <c r="E153" s="261"/>
      <c r="F153" s="261"/>
      <c r="G153" s="261"/>
      <c r="H153" s="261"/>
      <c r="I153" s="261"/>
      <c r="J153" s="261"/>
      <c r="K153" s="261"/>
      <c r="L153" s="261"/>
      <c r="M153" s="261"/>
      <c r="N153" s="261"/>
      <c r="O153" s="261"/>
      <c r="P153" s="331">
        <v>0</v>
      </c>
      <c r="Q153" s="264"/>
      <c r="R153" s="5"/>
    </row>
    <row r="154" spans="1:18" ht="15.6" x14ac:dyDescent="0.3">
      <c r="A154" s="260"/>
      <c r="B154" s="261" t="s">
        <v>61</v>
      </c>
      <c r="C154" s="261"/>
      <c r="D154" s="261"/>
      <c r="E154" s="261"/>
      <c r="F154" s="261"/>
      <c r="G154" s="261"/>
      <c r="H154" s="261"/>
      <c r="I154" s="261"/>
      <c r="J154" s="261"/>
      <c r="K154" s="261"/>
      <c r="L154" s="261"/>
      <c r="M154" s="261"/>
      <c r="N154" s="261"/>
      <c r="O154" s="261"/>
      <c r="P154" s="331">
        <f>-P114</f>
        <v>119</v>
      </c>
      <c r="Q154" s="264"/>
      <c r="R154" s="5"/>
    </row>
    <row r="155" spans="1:18" ht="15.6" x14ac:dyDescent="0.3">
      <c r="A155" s="260"/>
      <c r="B155" s="261" t="s">
        <v>62</v>
      </c>
      <c r="C155" s="261"/>
      <c r="D155" s="261"/>
      <c r="E155" s="261"/>
      <c r="F155" s="261"/>
      <c r="G155" s="261"/>
      <c r="H155" s="261"/>
      <c r="I155" s="261"/>
      <c r="J155" s="261"/>
      <c r="K155" s="261"/>
      <c r="L155" s="261"/>
      <c r="M155" s="261"/>
      <c r="N155" s="261"/>
      <c r="O155" s="261"/>
      <c r="P155" s="331">
        <f>P154+P153</f>
        <v>119</v>
      </c>
      <c r="Q155" s="264"/>
      <c r="R155" s="5"/>
    </row>
    <row r="156" spans="1:18" ht="15.6" x14ac:dyDescent="0.3">
      <c r="A156" s="260"/>
      <c r="B156" s="402" t="s">
        <v>297</v>
      </c>
      <c r="C156" s="261"/>
      <c r="D156" s="261"/>
      <c r="E156" s="261"/>
      <c r="F156" s="261"/>
      <c r="G156" s="261"/>
      <c r="H156" s="261"/>
      <c r="I156" s="261"/>
      <c r="J156" s="261"/>
      <c r="K156" s="261"/>
      <c r="L156" s="261"/>
      <c r="M156" s="261"/>
      <c r="N156" s="261"/>
      <c r="O156" s="261"/>
      <c r="P156" s="331">
        <f>P114</f>
        <v>-119</v>
      </c>
      <c r="Q156" s="264"/>
      <c r="R156" s="5"/>
    </row>
    <row r="157" spans="1:18" ht="15.6" x14ac:dyDescent="0.3">
      <c r="A157" s="260"/>
      <c r="B157" s="261" t="s">
        <v>63</v>
      </c>
      <c r="C157" s="261"/>
      <c r="D157" s="261"/>
      <c r="E157" s="261"/>
      <c r="F157" s="261"/>
      <c r="G157" s="261"/>
      <c r="H157" s="261"/>
      <c r="I157" s="261"/>
      <c r="J157" s="261"/>
      <c r="K157" s="261"/>
      <c r="L157" s="261"/>
      <c r="M157" s="261"/>
      <c r="N157" s="261"/>
      <c r="O157" s="261"/>
      <c r="P157" s="331">
        <f>P155+P156</f>
        <v>0</v>
      </c>
      <c r="Q157" s="264"/>
      <c r="R157" s="5"/>
    </row>
    <row r="158" spans="1:18" ht="15.6" x14ac:dyDescent="0.3">
      <c r="A158" s="260"/>
      <c r="B158" s="261" t="s">
        <v>268</v>
      </c>
      <c r="C158" s="261"/>
      <c r="D158" s="261"/>
      <c r="E158" s="261"/>
      <c r="F158" s="261"/>
      <c r="G158" s="261"/>
      <c r="H158" s="261"/>
      <c r="I158" s="261"/>
      <c r="J158" s="261"/>
      <c r="K158" s="261"/>
      <c r="L158" s="261"/>
      <c r="M158" s="261"/>
      <c r="N158" s="261"/>
      <c r="O158" s="261"/>
      <c r="P158" s="331">
        <f>-P101</f>
        <v>278</v>
      </c>
      <c r="Q158" s="264"/>
      <c r="R158" s="5"/>
    </row>
    <row r="159" spans="1:18" ht="16.2" thickBot="1" x14ac:dyDescent="0.35">
      <c r="A159" s="183"/>
      <c r="B159" s="190"/>
      <c r="C159" s="190"/>
      <c r="D159" s="190"/>
      <c r="E159" s="190"/>
      <c r="F159" s="190"/>
      <c r="G159" s="190"/>
      <c r="H159" s="190"/>
      <c r="I159" s="190"/>
      <c r="J159" s="190"/>
      <c r="K159" s="190"/>
      <c r="L159" s="190"/>
      <c r="M159" s="190"/>
      <c r="N159" s="190"/>
      <c r="O159" s="190"/>
      <c r="P159" s="341"/>
      <c r="Q159" s="190"/>
      <c r="R159" s="5"/>
    </row>
    <row r="160" spans="1:18" ht="15.6" x14ac:dyDescent="0.3">
      <c r="A160" s="180"/>
      <c r="B160" s="181"/>
      <c r="C160" s="181"/>
      <c r="D160" s="181"/>
      <c r="E160" s="181"/>
      <c r="F160" s="181"/>
      <c r="G160" s="181"/>
      <c r="H160" s="181"/>
      <c r="I160" s="181"/>
      <c r="J160" s="181"/>
      <c r="K160" s="181"/>
      <c r="L160" s="181"/>
      <c r="M160" s="181"/>
      <c r="N160" s="181"/>
      <c r="O160" s="181"/>
      <c r="P160" s="200"/>
      <c r="Q160" s="181"/>
      <c r="R160" s="5"/>
    </row>
    <row r="161" spans="1:19" ht="15.6" x14ac:dyDescent="0.3">
      <c r="A161" s="183"/>
      <c r="B161" s="209" t="s">
        <v>64</v>
      </c>
      <c r="C161" s="185"/>
      <c r="D161" s="185"/>
      <c r="E161" s="185"/>
      <c r="F161" s="185"/>
      <c r="G161" s="185"/>
      <c r="H161" s="185"/>
      <c r="I161" s="185"/>
      <c r="J161" s="185"/>
      <c r="K161" s="185"/>
      <c r="L161" s="185"/>
      <c r="M161" s="185"/>
      <c r="N161" s="185"/>
      <c r="O161" s="185"/>
      <c r="P161" s="201"/>
      <c r="Q161" s="185"/>
      <c r="R161" s="5"/>
    </row>
    <row r="162" spans="1:19" ht="15.6" x14ac:dyDescent="0.3">
      <c r="A162" s="183"/>
      <c r="B162" s="196"/>
      <c r="C162" s="185"/>
      <c r="D162" s="185"/>
      <c r="E162" s="185"/>
      <c r="F162" s="185"/>
      <c r="G162" s="185"/>
      <c r="H162" s="185"/>
      <c r="I162" s="185"/>
      <c r="J162" s="185"/>
      <c r="K162" s="185"/>
      <c r="L162" s="185"/>
      <c r="M162" s="185"/>
      <c r="N162" s="185"/>
      <c r="O162" s="185"/>
      <c r="P162" s="201"/>
      <c r="Q162" s="185"/>
      <c r="R162" s="5"/>
    </row>
    <row r="163" spans="1:19" ht="15.6" x14ac:dyDescent="0.3">
      <c r="A163" s="260"/>
      <c r="B163" s="261" t="s">
        <v>221</v>
      </c>
      <c r="C163" s="261"/>
      <c r="D163" s="261"/>
      <c r="E163" s="261"/>
      <c r="F163" s="261"/>
      <c r="G163" s="261"/>
      <c r="H163" s="261"/>
      <c r="I163" s="261"/>
      <c r="J163" s="261"/>
      <c r="K163" s="261"/>
      <c r="L163" s="261"/>
      <c r="M163" s="261"/>
      <c r="N163" s="261"/>
      <c r="O163" s="261"/>
      <c r="P163" s="331">
        <f>P72</f>
        <v>404310</v>
      </c>
      <c r="Q163" s="264"/>
      <c r="R163" s="5"/>
    </row>
    <row r="164" spans="1:19" ht="15.6" x14ac:dyDescent="0.3">
      <c r="A164" s="260"/>
      <c r="B164" s="261" t="s">
        <v>273</v>
      </c>
      <c r="C164" s="261"/>
      <c r="D164" s="261"/>
      <c r="E164" s="261"/>
      <c r="F164" s="261"/>
      <c r="G164" s="261"/>
      <c r="H164" s="261"/>
      <c r="I164" s="261"/>
      <c r="J164" s="261"/>
      <c r="K164" s="261"/>
      <c r="L164" s="261"/>
      <c r="M164" s="261"/>
      <c r="N164" s="261"/>
      <c r="O164" s="261"/>
      <c r="P164" s="331">
        <f>+P85</f>
        <v>0</v>
      </c>
      <c r="Q164" s="264"/>
      <c r="R164" s="5"/>
    </row>
    <row r="165" spans="1:19" ht="15.6" x14ac:dyDescent="0.3">
      <c r="A165" s="260"/>
      <c r="B165" s="261" t="s">
        <v>65</v>
      </c>
      <c r="C165" s="261"/>
      <c r="D165" s="261"/>
      <c r="E165" s="261"/>
      <c r="F165" s="261"/>
      <c r="G165" s="261"/>
      <c r="H165" s="261"/>
      <c r="I165" s="261"/>
      <c r="J165" s="261"/>
      <c r="K165" s="261"/>
      <c r="L165" s="261"/>
      <c r="M165" s="261"/>
      <c r="N165" s="261"/>
      <c r="O165" s="261"/>
      <c r="P165" s="331">
        <f>P38</f>
        <v>404310.16467751324</v>
      </c>
      <c r="Q165" s="264"/>
      <c r="R165" s="5"/>
      <c r="S165" s="109"/>
    </row>
    <row r="166" spans="1:19" ht="16.2" thickBot="1" x14ac:dyDescent="0.35">
      <c r="A166" s="183"/>
      <c r="B166" s="190"/>
      <c r="C166" s="190"/>
      <c r="D166" s="190"/>
      <c r="E166" s="190"/>
      <c r="F166" s="190"/>
      <c r="G166" s="190"/>
      <c r="H166" s="190"/>
      <c r="I166" s="190"/>
      <c r="J166" s="190"/>
      <c r="K166" s="190"/>
      <c r="L166" s="190"/>
      <c r="M166" s="190"/>
      <c r="N166" s="190"/>
      <c r="O166" s="190"/>
      <c r="P166" s="341"/>
      <c r="Q166" s="190"/>
      <c r="R166" s="5"/>
    </row>
    <row r="167" spans="1:19" ht="15.6" x14ac:dyDescent="0.3">
      <c r="A167" s="180"/>
      <c r="B167" s="181"/>
      <c r="C167" s="181"/>
      <c r="D167" s="181"/>
      <c r="E167" s="181"/>
      <c r="F167" s="181"/>
      <c r="G167" s="181"/>
      <c r="H167" s="181"/>
      <c r="I167" s="181"/>
      <c r="J167" s="181"/>
      <c r="K167" s="181"/>
      <c r="L167" s="181"/>
      <c r="M167" s="181"/>
      <c r="N167" s="181"/>
      <c r="O167" s="181"/>
      <c r="P167" s="200"/>
      <c r="Q167" s="181"/>
      <c r="R167" s="5"/>
    </row>
    <row r="168" spans="1:19" ht="15.6" x14ac:dyDescent="0.3">
      <c r="A168" s="183"/>
      <c r="B168" s="209" t="s">
        <v>66</v>
      </c>
      <c r="C168" s="205"/>
      <c r="D168" s="205"/>
      <c r="E168" s="205"/>
      <c r="F168" s="211"/>
      <c r="G168" s="211"/>
      <c r="H168" s="211"/>
      <c r="I168" s="211"/>
      <c r="J168" s="211"/>
      <c r="K168" s="211"/>
      <c r="L168" s="211"/>
      <c r="M168" s="211" t="s">
        <v>112</v>
      </c>
      <c r="N168" s="211" t="s">
        <v>120</v>
      </c>
      <c r="O168" s="187"/>
      <c r="P168" s="212" t="s">
        <v>129</v>
      </c>
      <c r="Q168" s="213"/>
      <c r="R168" s="5"/>
    </row>
    <row r="169" spans="1:19" ht="15.6" x14ac:dyDescent="0.3">
      <c r="A169" s="260"/>
      <c r="B169" s="261" t="s">
        <v>67</v>
      </c>
      <c r="C169" s="261"/>
      <c r="D169" s="261"/>
      <c r="E169" s="261"/>
      <c r="F169" s="261"/>
      <c r="G169" s="261"/>
      <c r="H169" s="261"/>
      <c r="I169" s="261"/>
      <c r="J169" s="261"/>
      <c r="K169" s="261"/>
      <c r="L169" s="261"/>
      <c r="M169" s="331">
        <v>144000</v>
      </c>
      <c r="N169" s="292">
        <v>0</v>
      </c>
      <c r="O169" s="261"/>
      <c r="P169" s="331"/>
      <c r="Q169" s="264"/>
      <c r="R169" s="5"/>
    </row>
    <row r="170" spans="1:19" ht="15.6" x14ac:dyDescent="0.3">
      <c r="A170" s="260"/>
      <c r="B170" s="261" t="s">
        <v>68</v>
      </c>
      <c r="C170" s="261"/>
      <c r="D170" s="261"/>
      <c r="E170" s="261"/>
      <c r="F170" s="261"/>
      <c r="G170" s="261"/>
      <c r="H170" s="261"/>
      <c r="I170" s="261"/>
      <c r="J170" s="261"/>
      <c r="K170" s="261"/>
      <c r="L170" s="261"/>
      <c r="M170" s="331">
        <f>+'July 10'!M172</f>
        <v>86430</v>
      </c>
      <c r="N170" s="331">
        <f>+'July 10'!N172</f>
        <v>10204</v>
      </c>
      <c r="O170" s="261"/>
      <c r="P170" s="331">
        <f>M170+N170</f>
        <v>96634</v>
      </c>
      <c r="Q170" s="264"/>
      <c r="R170" s="5"/>
    </row>
    <row r="171" spans="1:19" ht="15.6" x14ac:dyDescent="0.3">
      <c r="A171" s="260"/>
      <c r="B171" s="261" t="s">
        <v>69</v>
      </c>
      <c r="C171" s="261"/>
      <c r="D171" s="261"/>
      <c r="E171" s="261"/>
      <c r="F171" s="261"/>
      <c r="G171" s="261"/>
      <c r="H171" s="261"/>
      <c r="I171" s="261"/>
      <c r="J171" s="261"/>
      <c r="K171" s="261"/>
      <c r="L171" s="261"/>
      <c r="M171" s="330">
        <f>314+36</f>
        <v>350</v>
      </c>
      <c r="N171" s="330">
        <f>-N99-N121</f>
        <v>2</v>
      </c>
      <c r="O171" s="261"/>
      <c r="P171" s="331">
        <f>M171+N171</f>
        <v>352</v>
      </c>
      <c r="Q171" s="264"/>
      <c r="R171" s="5"/>
    </row>
    <row r="172" spans="1:19" ht="15.6" x14ac:dyDescent="0.3">
      <c r="A172" s="260"/>
      <c r="B172" s="261" t="s">
        <v>70</v>
      </c>
      <c r="C172" s="261"/>
      <c r="D172" s="261"/>
      <c r="E172" s="261"/>
      <c r="F172" s="261"/>
      <c r="G172" s="261"/>
      <c r="H172" s="261"/>
      <c r="I172" s="261"/>
      <c r="J172" s="261"/>
      <c r="K172" s="261"/>
      <c r="L172" s="261"/>
      <c r="M172" s="331">
        <f>M170+M171</f>
        <v>86780</v>
      </c>
      <c r="N172" s="331">
        <f>N171+N170</f>
        <v>10206</v>
      </c>
      <c r="O172" s="261"/>
      <c r="P172" s="331">
        <f>M172+N172</f>
        <v>96986</v>
      </c>
      <c r="Q172" s="264"/>
      <c r="R172" s="5"/>
    </row>
    <row r="173" spans="1:19" ht="15.6" x14ac:dyDescent="0.3">
      <c r="A173" s="260"/>
      <c r="B173" s="261" t="s">
        <v>71</v>
      </c>
      <c r="C173" s="261"/>
      <c r="D173" s="261"/>
      <c r="E173" s="261"/>
      <c r="F173" s="261"/>
      <c r="G173" s="261"/>
      <c r="H173" s="261"/>
      <c r="I173" s="261"/>
      <c r="J173" s="261"/>
      <c r="K173" s="261"/>
      <c r="L173" s="261"/>
      <c r="M173" s="331">
        <f>M169-M172-N172</f>
        <v>47014</v>
      </c>
      <c r="N173" s="292"/>
      <c r="O173" s="261"/>
      <c r="P173" s="331"/>
      <c r="Q173" s="264"/>
      <c r="R173" s="5"/>
    </row>
    <row r="174" spans="1:19" ht="16.2" thickBot="1" x14ac:dyDescent="0.35">
      <c r="A174" s="183"/>
      <c r="B174" s="190"/>
      <c r="C174" s="190"/>
      <c r="D174" s="190"/>
      <c r="E174" s="190"/>
      <c r="F174" s="190"/>
      <c r="G174" s="190"/>
      <c r="H174" s="190"/>
      <c r="I174" s="190"/>
      <c r="J174" s="190"/>
      <c r="K174" s="190"/>
      <c r="L174" s="190"/>
      <c r="M174" s="190"/>
      <c r="N174" s="190"/>
      <c r="O174" s="190"/>
      <c r="P174" s="341"/>
      <c r="Q174" s="190"/>
      <c r="R174" s="5"/>
    </row>
    <row r="175" spans="1:19" ht="15.6" x14ac:dyDescent="0.3">
      <c r="A175" s="180"/>
      <c r="B175" s="181"/>
      <c r="C175" s="181"/>
      <c r="D175" s="181"/>
      <c r="E175" s="181"/>
      <c r="F175" s="181"/>
      <c r="G175" s="181"/>
      <c r="H175" s="181"/>
      <c r="I175" s="181"/>
      <c r="J175" s="181"/>
      <c r="K175" s="181"/>
      <c r="L175" s="181"/>
      <c r="M175" s="181"/>
      <c r="N175" s="181"/>
      <c r="O175" s="181"/>
      <c r="P175" s="200"/>
      <c r="Q175" s="181"/>
      <c r="R175" s="5"/>
    </row>
    <row r="176" spans="1:19" ht="15.6" x14ac:dyDescent="0.3">
      <c r="A176" s="183"/>
      <c r="B176" s="209" t="s">
        <v>72</v>
      </c>
      <c r="C176" s="185"/>
      <c r="D176" s="185"/>
      <c r="E176" s="185"/>
      <c r="F176" s="185"/>
      <c r="G176" s="185"/>
      <c r="H176" s="185"/>
      <c r="I176" s="185"/>
      <c r="J176" s="185"/>
      <c r="K176" s="185"/>
      <c r="L176" s="185"/>
      <c r="M176" s="185"/>
      <c r="N176" s="185"/>
      <c r="O176" s="185"/>
      <c r="P176" s="214"/>
      <c r="Q176" s="185"/>
      <c r="R176" s="5"/>
    </row>
    <row r="177" spans="1:18" ht="15.6" x14ac:dyDescent="0.3">
      <c r="A177" s="260"/>
      <c r="B177" s="261" t="s">
        <v>73</v>
      </c>
      <c r="C177" s="261"/>
      <c r="D177" s="261"/>
      <c r="E177" s="261"/>
      <c r="F177" s="261"/>
      <c r="G177" s="261"/>
      <c r="H177" s="261"/>
      <c r="I177" s="261"/>
      <c r="J177" s="261"/>
      <c r="K177" s="261"/>
      <c r="L177" s="261"/>
      <c r="M177" s="261"/>
      <c r="N177" s="261"/>
      <c r="O177" s="261"/>
      <c r="P177" s="343">
        <f>(P102+P104+P105+P106+P107)/-(P108+P109+P110)</f>
        <v>2.2562620423892099</v>
      </c>
      <c r="Q177" s="264" t="s">
        <v>130</v>
      </c>
      <c r="R177" s="5"/>
    </row>
    <row r="178" spans="1:18" ht="15.6" x14ac:dyDescent="0.3">
      <c r="A178" s="260"/>
      <c r="B178" s="261" t="s">
        <v>74</v>
      </c>
      <c r="C178" s="261"/>
      <c r="D178" s="261"/>
      <c r="E178" s="261"/>
      <c r="F178" s="261"/>
      <c r="G178" s="261"/>
      <c r="H178" s="261"/>
      <c r="I178" s="261"/>
      <c r="J178" s="261"/>
      <c r="K178" s="261"/>
      <c r="L178" s="261"/>
      <c r="M178" s="261"/>
      <c r="N178" s="261"/>
      <c r="O178" s="261"/>
      <c r="P178" s="343">
        <v>1.45</v>
      </c>
      <c r="Q178" s="264" t="s">
        <v>130</v>
      </c>
      <c r="R178" s="5"/>
    </row>
    <row r="179" spans="1:18" ht="15.6" x14ac:dyDescent="0.3">
      <c r="A179" s="260"/>
      <c r="B179" s="261" t="s">
        <v>75</v>
      </c>
      <c r="C179" s="261"/>
      <c r="D179" s="261"/>
      <c r="E179" s="261"/>
      <c r="F179" s="261"/>
      <c r="G179" s="261"/>
      <c r="H179" s="261"/>
      <c r="I179" s="261"/>
      <c r="J179" s="261"/>
      <c r="K179" s="261"/>
      <c r="L179" s="261"/>
      <c r="M179" s="261"/>
      <c r="N179" s="261"/>
      <c r="O179" s="261"/>
      <c r="P179" s="342">
        <f>(P102+P104+P105+P106+P107+P108+P109+P110)/-(P111+P112)</f>
        <v>2.4980842911877397</v>
      </c>
      <c r="Q179" s="264" t="s">
        <v>130</v>
      </c>
      <c r="R179" s="5"/>
    </row>
    <row r="180" spans="1:18" ht="15.6" x14ac:dyDescent="0.3">
      <c r="A180" s="260"/>
      <c r="B180" s="261" t="s">
        <v>76</v>
      </c>
      <c r="C180" s="261"/>
      <c r="D180" s="261"/>
      <c r="E180" s="261"/>
      <c r="F180" s="261"/>
      <c r="G180" s="261"/>
      <c r="H180" s="261"/>
      <c r="I180" s="261"/>
      <c r="J180" s="261"/>
      <c r="K180" s="261"/>
      <c r="L180" s="261"/>
      <c r="M180" s="261"/>
      <c r="N180" s="261"/>
      <c r="O180" s="261"/>
      <c r="P180" s="343">
        <v>2.42</v>
      </c>
      <c r="Q180" s="264" t="s">
        <v>130</v>
      </c>
      <c r="R180" s="5"/>
    </row>
    <row r="181" spans="1:18" ht="15.6" x14ac:dyDescent="0.3">
      <c r="A181" s="260"/>
      <c r="B181" s="335"/>
      <c r="C181" s="335"/>
      <c r="D181" s="335"/>
      <c r="E181" s="335"/>
      <c r="F181" s="335"/>
      <c r="G181" s="335"/>
      <c r="H181" s="335"/>
      <c r="I181" s="335"/>
      <c r="J181" s="335"/>
      <c r="K181" s="335"/>
      <c r="L181" s="335"/>
      <c r="M181" s="335"/>
      <c r="N181" s="335"/>
      <c r="O181" s="335"/>
      <c r="P181" s="335"/>
      <c r="Q181" s="338"/>
      <c r="R181" s="5"/>
    </row>
    <row r="182" spans="1:18" ht="15.6" x14ac:dyDescent="0.3">
      <c r="A182" s="183"/>
      <c r="B182" s="190"/>
      <c r="C182" s="190"/>
      <c r="D182" s="190"/>
      <c r="E182" s="190"/>
      <c r="F182" s="190"/>
      <c r="G182" s="190"/>
      <c r="H182" s="190"/>
      <c r="I182" s="190"/>
      <c r="J182" s="190"/>
      <c r="K182" s="190"/>
      <c r="L182" s="190"/>
      <c r="M182" s="190"/>
      <c r="N182" s="190"/>
      <c r="O182" s="190"/>
      <c r="P182" s="190"/>
      <c r="Q182" s="190"/>
      <c r="R182" s="5"/>
    </row>
    <row r="183" spans="1:18" ht="15.6" x14ac:dyDescent="0.3">
      <c r="A183" s="183"/>
      <c r="B183" s="185"/>
      <c r="C183" s="185"/>
      <c r="D183" s="185"/>
      <c r="E183" s="185"/>
      <c r="F183" s="185"/>
      <c r="G183" s="185"/>
      <c r="H183" s="185"/>
      <c r="I183" s="185"/>
      <c r="J183" s="185"/>
      <c r="K183" s="185"/>
      <c r="L183" s="185"/>
      <c r="M183" s="185"/>
      <c r="N183" s="185"/>
      <c r="O183" s="185"/>
      <c r="P183" s="185"/>
      <c r="Q183" s="185"/>
      <c r="R183" s="5"/>
    </row>
    <row r="184" spans="1:18" ht="18" thickBot="1" x14ac:dyDescent="0.35">
      <c r="A184" s="199"/>
      <c r="B184" s="239" t="str">
        <f>B132</f>
        <v>PM7 INVESTOR REPORT QUARTER ENDING OCTOBER 2010</v>
      </c>
      <c r="C184" s="215"/>
      <c r="D184" s="215"/>
      <c r="E184" s="215"/>
      <c r="F184" s="215"/>
      <c r="G184" s="215"/>
      <c r="H184" s="215"/>
      <c r="I184" s="215"/>
      <c r="J184" s="215"/>
      <c r="K184" s="215"/>
      <c r="L184" s="215"/>
      <c r="M184" s="215"/>
      <c r="N184" s="215"/>
      <c r="O184" s="215"/>
      <c r="P184" s="215"/>
      <c r="Q184" s="216"/>
      <c r="R184" s="5"/>
    </row>
    <row r="185" spans="1:18" ht="15.6" x14ac:dyDescent="0.3">
      <c r="A185" s="323"/>
      <c r="B185" s="327" t="s">
        <v>77</v>
      </c>
      <c r="C185" s="324"/>
      <c r="D185" s="324"/>
      <c r="E185" s="325"/>
      <c r="F185" s="325"/>
      <c r="G185" s="325"/>
      <c r="H185" s="325"/>
      <c r="I185" s="325"/>
      <c r="J185" s="325"/>
      <c r="K185" s="325"/>
      <c r="L185" s="325"/>
      <c r="M185" s="325"/>
      <c r="N185" s="325">
        <f>H89</f>
        <v>40480</v>
      </c>
      <c r="O185" s="326"/>
      <c r="P185" s="326"/>
      <c r="Q185" s="326"/>
      <c r="R185" s="5"/>
    </row>
    <row r="186" spans="1:18" ht="15.6" x14ac:dyDescent="0.3">
      <c r="A186" s="217"/>
      <c r="B186" s="218"/>
      <c r="C186" s="219"/>
      <c r="D186" s="219"/>
      <c r="E186" s="220"/>
      <c r="F186" s="220"/>
      <c r="G186" s="220"/>
      <c r="H186" s="220"/>
      <c r="I186" s="220"/>
      <c r="J186" s="220"/>
      <c r="K186" s="220"/>
      <c r="L186" s="220"/>
      <c r="M186" s="220"/>
      <c r="N186" s="220"/>
      <c r="O186" s="185"/>
      <c r="P186" s="185"/>
      <c r="Q186" s="185"/>
      <c r="R186" s="5"/>
    </row>
    <row r="187" spans="1:18" ht="15.6" x14ac:dyDescent="0.3">
      <c r="A187" s="345"/>
      <c r="B187" s="261" t="s">
        <v>78</v>
      </c>
      <c r="C187" s="346"/>
      <c r="D187" s="346"/>
      <c r="E187" s="295"/>
      <c r="F187" s="295"/>
      <c r="G187" s="295"/>
      <c r="H187" s="295"/>
      <c r="I187" s="295"/>
      <c r="J187" s="295"/>
      <c r="K187" s="295"/>
      <c r="L187" s="295"/>
      <c r="M187" s="295"/>
      <c r="N187" s="290">
        <v>5.8069999999999997E-2</v>
      </c>
      <c r="O187" s="261"/>
      <c r="P187" s="261"/>
      <c r="Q187" s="264"/>
      <c r="R187" s="5"/>
    </row>
    <row r="188" spans="1:18" ht="15.6" x14ac:dyDescent="0.3">
      <c r="A188" s="345"/>
      <c r="B188" s="261" t="s">
        <v>219</v>
      </c>
      <c r="C188" s="346"/>
      <c r="D188" s="346"/>
      <c r="E188" s="295"/>
      <c r="F188" s="295"/>
      <c r="G188" s="295"/>
      <c r="H188" s="295"/>
      <c r="I188" s="295"/>
      <c r="J188" s="295"/>
      <c r="K188" s="295"/>
      <c r="L188" s="295"/>
      <c r="M188" s="295"/>
      <c r="N188" s="290">
        <v>5.1499999999999997E-2</v>
      </c>
      <c r="O188" s="261"/>
      <c r="P188" s="261"/>
      <c r="Q188" s="264"/>
      <c r="R188" s="5"/>
    </row>
    <row r="189" spans="1:18" ht="15.6" x14ac:dyDescent="0.3">
      <c r="A189" s="345"/>
      <c r="B189" s="261" t="s">
        <v>79</v>
      </c>
      <c r="C189" s="346"/>
      <c r="D189" s="346"/>
      <c r="E189" s="295"/>
      <c r="F189" s="295"/>
      <c r="G189" s="295"/>
      <c r="H189" s="295"/>
      <c r="I189" s="295"/>
      <c r="J189" s="295"/>
      <c r="K189" s="295"/>
      <c r="L189" s="295"/>
      <c r="M189" s="295"/>
      <c r="N189" s="290">
        <f>N187-N188</f>
        <v>6.5699999999999995E-3</v>
      </c>
      <c r="O189" s="261"/>
      <c r="P189" s="261"/>
      <c r="Q189" s="264"/>
      <c r="R189" s="5"/>
    </row>
    <row r="190" spans="1:18" ht="15.6" x14ac:dyDescent="0.3">
      <c r="A190" s="345"/>
      <c r="B190" s="261" t="s">
        <v>80</v>
      </c>
      <c r="C190" s="346"/>
      <c r="D190" s="346"/>
      <c r="E190" s="295"/>
      <c r="F190" s="295"/>
      <c r="G190" s="295"/>
      <c r="H190" s="295"/>
      <c r="I190" s="295"/>
      <c r="J190" s="295"/>
      <c r="K190" s="295"/>
      <c r="L190" s="295"/>
      <c r="M190" s="295"/>
      <c r="N190" s="290">
        <v>2.717E-2</v>
      </c>
      <c r="O190" s="261"/>
      <c r="P190" s="261"/>
      <c r="Q190" s="264"/>
      <c r="R190" s="5"/>
    </row>
    <row r="191" spans="1:18" ht="15.6" x14ac:dyDescent="0.3">
      <c r="A191" s="345"/>
      <c r="B191" s="261" t="s">
        <v>241</v>
      </c>
      <c r="C191" s="346"/>
      <c r="D191" s="346"/>
      <c r="E191" s="295"/>
      <c r="F191" s="295"/>
      <c r="G191" s="295"/>
      <c r="H191" s="295"/>
      <c r="I191" s="295"/>
      <c r="J191" s="295"/>
      <c r="K191" s="295"/>
      <c r="L191" s="295"/>
      <c r="M191" s="295"/>
      <c r="N191" s="290">
        <f>+P45</f>
        <v>1.5356834339146226E-2</v>
      </c>
      <c r="O191" s="261"/>
      <c r="P191" s="261"/>
      <c r="Q191" s="264"/>
      <c r="R191" s="5"/>
    </row>
    <row r="192" spans="1:18" ht="15.6" x14ac:dyDescent="0.3">
      <c r="A192" s="345"/>
      <c r="B192" s="261" t="s">
        <v>81</v>
      </c>
      <c r="C192" s="346"/>
      <c r="D192" s="346"/>
      <c r="E192" s="295"/>
      <c r="F192" s="295"/>
      <c r="G192" s="295"/>
      <c r="H192" s="295"/>
      <c r="I192" s="295"/>
      <c r="J192" s="295"/>
      <c r="K192" s="295"/>
      <c r="L192" s="295"/>
      <c r="M192" s="295"/>
      <c r="N192" s="290">
        <f>N190-N191</f>
        <v>1.1813165660853773E-2</v>
      </c>
      <c r="O192" s="261"/>
      <c r="P192" s="261"/>
      <c r="Q192" s="264"/>
      <c r="R192" s="5"/>
    </row>
    <row r="193" spans="1:18" ht="15.6" x14ac:dyDescent="0.3">
      <c r="A193" s="345"/>
      <c r="B193" s="261" t="s">
        <v>257</v>
      </c>
      <c r="C193" s="346"/>
      <c r="D193" s="346"/>
      <c r="E193" s="295"/>
      <c r="F193" s="295"/>
      <c r="G193" s="295"/>
      <c r="H193" s="295"/>
      <c r="I193" s="295"/>
      <c r="J193" s="295"/>
      <c r="K193" s="295"/>
      <c r="L193" s="295"/>
      <c r="M193" s="295"/>
      <c r="N193" s="290">
        <f>+P102/H72</f>
        <v>7.0199364232172989E-3</v>
      </c>
      <c r="O193" s="261"/>
      <c r="P193" s="261"/>
      <c r="Q193" s="264"/>
      <c r="R193" s="5"/>
    </row>
    <row r="194" spans="1:18" ht="15.6" x14ac:dyDescent="0.3">
      <c r="A194" s="345"/>
      <c r="B194" s="261" t="s">
        <v>170</v>
      </c>
      <c r="C194" s="346"/>
      <c r="D194" s="346"/>
      <c r="E194" s="295"/>
      <c r="F194" s="295"/>
      <c r="G194" s="295"/>
      <c r="H194" s="295"/>
      <c r="I194" s="295"/>
      <c r="J194" s="295"/>
      <c r="K194" s="295"/>
      <c r="L194" s="295"/>
      <c r="M194" s="295"/>
      <c r="N194" s="347">
        <v>49065</v>
      </c>
      <c r="O194" s="261"/>
      <c r="P194" s="261"/>
      <c r="Q194" s="264"/>
      <c r="R194" s="5"/>
    </row>
    <row r="195" spans="1:18" ht="15.6" x14ac:dyDescent="0.3">
      <c r="A195" s="345"/>
      <c r="B195" s="261" t="s">
        <v>171</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172</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138</v>
      </c>
      <c r="C197" s="346"/>
      <c r="D197" s="346"/>
      <c r="E197" s="295"/>
      <c r="F197" s="295"/>
      <c r="G197" s="295"/>
      <c r="H197" s="295"/>
      <c r="I197" s="295"/>
      <c r="J197" s="295"/>
      <c r="K197" s="295"/>
      <c r="L197" s="295"/>
      <c r="M197" s="295"/>
      <c r="N197" s="347">
        <v>52352</v>
      </c>
      <c r="O197" s="261"/>
      <c r="P197" s="261"/>
      <c r="Q197" s="264"/>
      <c r="R197" s="5"/>
    </row>
    <row r="198" spans="1:18" ht="15.6" x14ac:dyDescent="0.3">
      <c r="A198" s="345"/>
      <c r="B198" s="261" t="s">
        <v>139</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82</v>
      </c>
      <c r="C199" s="346"/>
      <c r="D199" s="346"/>
      <c r="E199" s="295"/>
      <c r="F199" s="295"/>
      <c r="G199" s="295"/>
      <c r="H199" s="295"/>
      <c r="I199" s="295"/>
      <c r="J199" s="295"/>
      <c r="K199" s="295"/>
      <c r="L199" s="295"/>
      <c r="M199" s="295"/>
      <c r="N199" s="294">
        <v>20.45</v>
      </c>
      <c r="O199" s="261" t="s">
        <v>125</v>
      </c>
      <c r="P199" s="261"/>
      <c r="Q199" s="264"/>
      <c r="R199" s="5"/>
    </row>
    <row r="200" spans="1:18" ht="15.6" x14ac:dyDescent="0.3">
      <c r="A200" s="345"/>
      <c r="B200" s="261" t="s">
        <v>83</v>
      </c>
      <c r="C200" s="346"/>
      <c r="D200" s="346"/>
      <c r="E200" s="295"/>
      <c r="F200" s="295"/>
      <c r="G200" s="295"/>
      <c r="H200" s="295"/>
      <c r="I200" s="295"/>
      <c r="J200" s="295"/>
      <c r="K200" s="295"/>
      <c r="L200" s="295"/>
      <c r="M200" s="295"/>
      <c r="N200" s="294">
        <v>15.64</v>
      </c>
      <c r="O200" s="261" t="s">
        <v>125</v>
      </c>
      <c r="P200" s="261"/>
      <c r="Q200" s="264"/>
      <c r="R200" s="5"/>
    </row>
    <row r="201" spans="1:18" ht="15.6" x14ac:dyDescent="0.3">
      <c r="A201" s="345"/>
      <c r="B201" s="261" t="s">
        <v>84</v>
      </c>
      <c r="C201" s="346"/>
      <c r="D201" s="346"/>
      <c r="E201" s="295"/>
      <c r="F201" s="295"/>
      <c r="G201" s="295"/>
      <c r="H201" s="295"/>
      <c r="I201" s="295"/>
      <c r="J201" s="295"/>
      <c r="K201" s="295"/>
      <c r="L201" s="295"/>
      <c r="M201" s="295"/>
      <c r="N201" s="290">
        <f>J69/H69</f>
        <v>9.1685962089399949E-3</v>
      </c>
      <c r="O201" s="261"/>
      <c r="P201" s="261"/>
      <c r="Q201" s="264"/>
      <c r="R201" s="5"/>
    </row>
    <row r="202" spans="1:18" ht="15.6" x14ac:dyDescent="0.3">
      <c r="A202" s="345"/>
      <c r="B202" s="261" t="s">
        <v>85</v>
      </c>
      <c r="C202" s="346"/>
      <c r="D202" s="346"/>
      <c r="E202" s="295"/>
      <c r="F202" s="295"/>
      <c r="G202" s="295"/>
      <c r="H202" s="295"/>
      <c r="I202" s="295"/>
      <c r="J202" s="295"/>
      <c r="K202" s="295"/>
      <c r="L202" s="295"/>
      <c r="M202" s="295"/>
      <c r="N202" s="290">
        <v>0.13850000000000001</v>
      </c>
      <c r="O202" s="261"/>
      <c r="P202" s="261"/>
      <c r="Q202" s="264"/>
      <c r="R202" s="5"/>
    </row>
    <row r="203" spans="1:18" ht="15.6" x14ac:dyDescent="0.3">
      <c r="A203" s="217"/>
      <c r="B203" s="222"/>
      <c r="C203" s="222"/>
      <c r="D203" s="222"/>
      <c r="E203" s="190"/>
      <c r="F203" s="190"/>
      <c r="G203" s="190"/>
      <c r="H203" s="190"/>
      <c r="I203" s="190"/>
      <c r="J203" s="190"/>
      <c r="K203" s="190"/>
      <c r="L203" s="190"/>
      <c r="M203" s="190"/>
      <c r="N203" s="341"/>
      <c r="O203" s="190"/>
      <c r="P203" s="344"/>
      <c r="Q203" s="190"/>
      <c r="R203" s="5"/>
    </row>
    <row r="204" spans="1:18" ht="15.6" x14ac:dyDescent="0.3">
      <c r="A204" s="322"/>
      <c r="B204" s="317" t="s">
        <v>86</v>
      </c>
      <c r="C204" s="318"/>
      <c r="D204" s="319"/>
      <c r="E204" s="318"/>
      <c r="F204" s="318"/>
      <c r="G204" s="318"/>
      <c r="H204" s="318"/>
      <c r="I204" s="318"/>
      <c r="J204" s="318"/>
      <c r="K204" s="318"/>
      <c r="L204" s="318"/>
      <c r="M204" s="318" t="s">
        <v>113</v>
      </c>
      <c r="N204" s="319" t="s">
        <v>121</v>
      </c>
      <c r="O204" s="252"/>
      <c r="P204" s="252"/>
      <c r="Q204" s="252"/>
      <c r="R204" s="5"/>
    </row>
    <row r="205" spans="1:18" ht="15.6" x14ac:dyDescent="0.3">
      <c r="A205" s="221"/>
      <c r="B205" s="230" t="s">
        <v>87</v>
      </c>
      <c r="C205" s="235"/>
      <c r="D205" s="230"/>
      <c r="E205" s="230"/>
      <c r="F205" s="234"/>
      <c r="G205" s="234"/>
      <c r="H205" s="234"/>
      <c r="I205" s="234"/>
      <c r="J205" s="234"/>
      <c r="K205" s="234"/>
      <c r="L205" s="234"/>
      <c r="M205" s="234">
        <v>2</v>
      </c>
      <c r="N205" s="305">
        <v>313</v>
      </c>
      <c r="O205" s="230"/>
      <c r="P205" s="306"/>
      <c r="Q205" s="307"/>
      <c r="R205" s="5"/>
    </row>
    <row r="206" spans="1:18" ht="15.6" x14ac:dyDescent="0.3">
      <c r="A206" s="351"/>
      <c r="B206" s="261" t="s">
        <v>203</v>
      </c>
      <c r="C206" s="330"/>
      <c r="D206" s="261"/>
      <c r="E206" s="261"/>
      <c r="F206" s="268"/>
      <c r="G206" s="268"/>
      <c r="H206" s="268"/>
      <c r="I206" s="268"/>
      <c r="J206" s="268"/>
      <c r="K206" s="268"/>
      <c r="L206" s="268"/>
      <c r="M206" s="352">
        <f>+L254</f>
        <v>61</v>
      </c>
      <c r="N206" s="353">
        <f>+N254</f>
        <v>9866</v>
      </c>
      <c r="O206" s="261"/>
      <c r="P206" s="354"/>
      <c r="Q206" s="355"/>
      <c r="R206" s="5"/>
    </row>
    <row r="207" spans="1:18" ht="15.6" x14ac:dyDescent="0.3">
      <c r="A207" s="351"/>
      <c r="B207" s="261" t="s">
        <v>88</v>
      </c>
      <c r="C207" s="330"/>
      <c r="D207" s="261"/>
      <c r="E207" s="261"/>
      <c r="F207" s="268"/>
      <c r="G207" s="268"/>
      <c r="H207" s="268"/>
      <c r="I207" s="268"/>
      <c r="J207" s="268"/>
      <c r="K207" s="268"/>
      <c r="L207" s="268"/>
      <c r="M207" s="352">
        <f>+L265</f>
        <v>0</v>
      </c>
      <c r="N207" s="353">
        <f>+N265</f>
        <v>0</v>
      </c>
      <c r="O207" s="261"/>
      <c r="P207" s="354"/>
      <c r="Q207" s="355"/>
      <c r="R207" s="5"/>
    </row>
    <row r="208" spans="1:18" ht="15.6" x14ac:dyDescent="0.3">
      <c r="A208" s="351"/>
      <c r="B208" s="282" t="s">
        <v>89</v>
      </c>
      <c r="C208" s="356"/>
      <c r="D208" s="335"/>
      <c r="E208" s="335"/>
      <c r="F208" s="335"/>
      <c r="G208" s="335"/>
      <c r="H208" s="335"/>
      <c r="I208" s="335"/>
      <c r="J208" s="335"/>
      <c r="K208" s="335"/>
      <c r="L208" s="335"/>
      <c r="M208" s="335"/>
      <c r="N208" s="353">
        <v>0</v>
      </c>
      <c r="O208" s="335"/>
      <c r="P208" s="358"/>
      <c r="Q208" s="359"/>
      <c r="R208" s="5"/>
    </row>
    <row r="209" spans="1:18" ht="15.6" x14ac:dyDescent="0.3">
      <c r="A209" s="351"/>
      <c r="B209" s="282" t="s">
        <v>90</v>
      </c>
      <c r="C209" s="356"/>
      <c r="D209" s="335"/>
      <c r="E209" s="335"/>
      <c r="F209" s="335"/>
      <c r="G209" s="335"/>
      <c r="H209" s="335"/>
      <c r="I209" s="335"/>
      <c r="J209" s="335"/>
      <c r="K209" s="335"/>
      <c r="L209" s="335"/>
      <c r="M209" s="335"/>
      <c r="N209" s="369" t="s">
        <v>122</v>
      </c>
      <c r="O209" s="335"/>
      <c r="P209" s="358"/>
      <c r="Q209" s="359"/>
      <c r="R209" s="5"/>
    </row>
    <row r="210" spans="1:18" ht="15.6" x14ac:dyDescent="0.3">
      <c r="A210" s="360"/>
      <c r="B210" s="282" t="s">
        <v>91</v>
      </c>
      <c r="C210" s="361"/>
      <c r="D210" s="361"/>
      <c r="E210" s="335"/>
      <c r="F210" s="335"/>
      <c r="G210" s="335"/>
      <c r="H210" s="335"/>
      <c r="I210" s="335"/>
      <c r="J210" s="362"/>
      <c r="K210" s="335"/>
      <c r="L210" s="335"/>
      <c r="M210" s="335"/>
      <c r="N210" s="357"/>
      <c r="O210" s="335"/>
      <c r="P210" s="358"/>
      <c r="Q210" s="363"/>
      <c r="R210" s="5"/>
    </row>
    <row r="211" spans="1:18" ht="15.6" x14ac:dyDescent="0.3">
      <c r="A211" s="360"/>
      <c r="B211" s="364" t="s">
        <v>92</v>
      </c>
      <c r="C211" s="364"/>
      <c r="D211" s="364"/>
      <c r="E211" s="364"/>
      <c r="F211" s="364"/>
      <c r="G211" s="364"/>
      <c r="H211" s="364"/>
      <c r="I211" s="364"/>
      <c r="J211" s="364"/>
      <c r="K211" s="364"/>
      <c r="L211" s="364"/>
      <c r="M211" s="364"/>
      <c r="N211" s="365">
        <f>P154</f>
        <v>119</v>
      </c>
      <c r="O211" s="364"/>
      <c r="P211" s="366"/>
      <c r="Q211" s="363"/>
      <c r="R211" s="5"/>
    </row>
    <row r="212" spans="1:18" ht="15.6" x14ac:dyDescent="0.3">
      <c r="A212" s="351"/>
      <c r="B212" s="364" t="s">
        <v>93</v>
      </c>
      <c r="C212" s="367"/>
      <c r="D212" s="367"/>
      <c r="E212" s="364"/>
      <c r="F212" s="364"/>
      <c r="G212" s="364"/>
      <c r="H212" s="364"/>
      <c r="I212" s="364"/>
      <c r="J212" s="364"/>
      <c r="K212" s="364"/>
      <c r="L212" s="364"/>
      <c r="M212" s="364"/>
      <c r="N212" s="365">
        <f>'July 10'!N212+'Oct 10'!N211</f>
        <v>3336</v>
      </c>
      <c r="O212" s="364"/>
      <c r="P212" s="366"/>
      <c r="Q212" s="363"/>
      <c r="R212" s="5"/>
    </row>
    <row r="213" spans="1:18" ht="15.6" x14ac:dyDescent="0.3">
      <c r="A213" s="360"/>
      <c r="B213" s="282" t="s">
        <v>278</v>
      </c>
      <c r="C213" s="361"/>
      <c r="D213" s="361"/>
      <c r="E213" s="335"/>
      <c r="F213" s="335"/>
      <c r="G213" s="335"/>
      <c r="H213" s="335"/>
      <c r="I213" s="335"/>
      <c r="J213" s="335"/>
      <c r="K213" s="335"/>
      <c r="L213" s="335"/>
      <c r="M213" s="335"/>
      <c r="N213" s="357"/>
      <c r="O213" s="335"/>
      <c r="P213" s="358"/>
      <c r="Q213" s="363"/>
      <c r="R213" s="5"/>
    </row>
    <row r="214" spans="1:18" ht="15.6" x14ac:dyDescent="0.3">
      <c r="A214" s="360"/>
      <c r="B214" s="261" t="s">
        <v>276</v>
      </c>
      <c r="C214" s="261"/>
      <c r="D214" s="261"/>
      <c r="E214" s="261"/>
      <c r="F214" s="261"/>
      <c r="G214" s="261"/>
      <c r="H214" s="261"/>
      <c r="I214" s="261"/>
      <c r="J214" s="261"/>
      <c r="K214" s="261"/>
      <c r="L214" s="261"/>
      <c r="M214" s="268">
        <v>0</v>
      </c>
      <c r="N214" s="353">
        <v>0</v>
      </c>
      <c r="O214" s="261"/>
      <c r="P214" s="354"/>
      <c r="Q214" s="363"/>
      <c r="R214" s="5"/>
    </row>
    <row r="215" spans="1:18" ht="15.6" x14ac:dyDescent="0.3">
      <c r="A215" s="351"/>
      <c r="B215" s="261" t="s">
        <v>95</v>
      </c>
      <c r="C215" s="292"/>
      <c r="D215" s="368"/>
      <c r="E215" s="261"/>
      <c r="F215" s="261"/>
      <c r="G215" s="261"/>
      <c r="H215" s="261"/>
      <c r="I215" s="261"/>
      <c r="J215" s="261"/>
      <c r="K215" s="261"/>
      <c r="L215" s="261"/>
      <c r="M215" s="261"/>
      <c r="N215" s="369">
        <v>0</v>
      </c>
      <c r="O215" s="261"/>
      <c r="P215" s="354"/>
      <c r="Q215" s="363"/>
      <c r="R215" s="5"/>
    </row>
    <row r="216" spans="1:18" ht="15.6" x14ac:dyDescent="0.3">
      <c r="A216" s="351"/>
      <c r="B216" s="261" t="s">
        <v>96</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82" t="s">
        <v>251</v>
      </c>
      <c r="C217" s="370"/>
      <c r="D217" s="371"/>
      <c r="E217" s="335"/>
      <c r="F217" s="335"/>
      <c r="G217" s="335"/>
      <c r="H217" s="335"/>
      <c r="I217" s="335"/>
      <c r="J217" s="335"/>
      <c r="K217" s="335"/>
      <c r="L217" s="335"/>
      <c r="M217" s="335"/>
      <c r="N217" s="372"/>
      <c r="O217" s="335"/>
      <c r="P217" s="358"/>
      <c r="Q217" s="363"/>
      <c r="R217" s="5"/>
    </row>
    <row r="218" spans="1:18" ht="15.6" x14ac:dyDescent="0.3">
      <c r="A218" s="351"/>
      <c r="B218" s="261" t="s">
        <v>276</v>
      </c>
      <c r="C218" s="292"/>
      <c r="D218" s="368"/>
      <c r="E218" s="261"/>
      <c r="F218" s="261"/>
      <c r="G218" s="261"/>
      <c r="H218" s="261"/>
      <c r="I218" s="261"/>
      <c r="J218" s="261"/>
      <c r="K218" s="261"/>
      <c r="L218" s="261"/>
      <c r="M218" s="268">
        <v>4</v>
      </c>
      <c r="N218" s="353">
        <v>428</v>
      </c>
      <c r="O218" s="261"/>
      <c r="P218" s="354"/>
      <c r="Q218" s="373"/>
      <c r="R218" s="308"/>
    </row>
    <row r="219" spans="1:18" ht="15.6" x14ac:dyDescent="0.3">
      <c r="A219" s="351"/>
      <c r="B219" s="261" t="s">
        <v>252</v>
      </c>
      <c r="C219" s="292"/>
      <c r="D219" s="368"/>
      <c r="E219" s="261"/>
      <c r="F219" s="261"/>
      <c r="G219" s="261"/>
      <c r="H219" s="261"/>
      <c r="I219" s="261"/>
      <c r="J219" s="261"/>
      <c r="K219" s="261"/>
      <c r="L219" s="261"/>
      <c r="M219" s="261"/>
      <c r="N219" s="369">
        <v>1.31</v>
      </c>
      <c r="O219" s="261"/>
      <c r="P219" s="354"/>
      <c r="Q219" s="373"/>
      <c r="R219" s="308"/>
    </row>
    <row r="220" spans="1:18" ht="15.6" x14ac:dyDescent="0.3">
      <c r="A220" s="351"/>
      <c r="B220" s="361"/>
      <c r="C220" s="370"/>
      <c r="D220" s="371"/>
      <c r="E220" s="335"/>
      <c r="F220" s="335"/>
      <c r="G220" s="335"/>
      <c r="H220" s="335"/>
      <c r="I220" s="335"/>
      <c r="J220" s="335"/>
      <c r="K220" s="335"/>
      <c r="L220" s="335"/>
      <c r="M220" s="335"/>
      <c r="N220" s="374"/>
      <c r="O220" s="335"/>
      <c r="P220" s="358"/>
      <c r="Q220" s="363"/>
      <c r="R220" s="5"/>
    </row>
    <row r="221" spans="1:18" ht="17.399999999999999" x14ac:dyDescent="0.3">
      <c r="A221" s="351"/>
      <c r="B221" s="375" t="s">
        <v>244</v>
      </c>
      <c r="C221" s="370"/>
      <c r="D221" s="371"/>
      <c r="E221" s="335"/>
      <c r="F221" s="335"/>
      <c r="G221" s="335"/>
      <c r="H221" s="335"/>
      <c r="I221" s="376"/>
      <c r="J221" s="377" t="s">
        <v>243</v>
      </c>
      <c r="K221" s="335"/>
      <c r="L221" s="335"/>
      <c r="M221" s="335"/>
      <c r="N221" s="374"/>
      <c r="O221" s="335"/>
      <c r="P221" s="358"/>
      <c r="Q221" s="363"/>
      <c r="R221" s="5"/>
    </row>
    <row r="222" spans="1:18" ht="15.6" x14ac:dyDescent="0.3">
      <c r="A222" s="348"/>
      <c r="B222" s="222"/>
      <c r="C222" s="223"/>
      <c r="D222" s="224"/>
      <c r="E222" s="190"/>
      <c r="F222" s="190"/>
      <c r="G222" s="190"/>
      <c r="H222" s="190"/>
      <c r="I222" s="190"/>
      <c r="J222" s="190"/>
      <c r="K222" s="190"/>
      <c r="L222" s="190"/>
      <c r="M222" s="190"/>
      <c r="N222" s="349"/>
      <c r="O222" s="190"/>
      <c r="P222" s="344"/>
      <c r="Q222" s="350"/>
      <c r="R222" s="5"/>
    </row>
    <row r="223" spans="1:18" ht="15.6" x14ac:dyDescent="0.3">
      <c r="A223" s="251"/>
      <c r="B223" s="317" t="s">
        <v>290</v>
      </c>
      <c r="C223" s="318"/>
      <c r="D223" s="319"/>
      <c r="E223" s="318"/>
      <c r="F223" s="318"/>
      <c r="G223" s="318"/>
      <c r="H223" s="318"/>
      <c r="I223" s="318"/>
      <c r="J223" s="318"/>
      <c r="K223" s="318"/>
      <c r="L223" s="319" t="s">
        <v>113</v>
      </c>
      <c r="M223" s="318" t="s">
        <v>114</v>
      </c>
      <c r="N223" s="319" t="s">
        <v>123</v>
      </c>
      <c r="O223" s="318" t="s">
        <v>114</v>
      </c>
      <c r="P223" s="252"/>
      <c r="Q223" s="317"/>
      <c r="R223" s="5"/>
    </row>
    <row r="224" spans="1:18" ht="15.6" x14ac:dyDescent="0.3">
      <c r="A224" s="198"/>
      <c r="B224" s="235" t="s">
        <v>98</v>
      </c>
      <c r="C224" s="309"/>
      <c r="D224" s="230"/>
      <c r="E224" s="309"/>
      <c r="F224" s="309"/>
      <c r="G224" s="309"/>
      <c r="H224" s="309"/>
      <c r="I224" s="309"/>
      <c r="J224" s="309"/>
      <c r="K224" s="309"/>
      <c r="L224" s="330">
        <f t="shared" ref="L224:L231" si="1">+L235+L246+L257</f>
        <v>3517</v>
      </c>
      <c r="M224" s="382">
        <f t="shared" ref="M224:M231" si="2">L224/$L$232</f>
        <v>0.97396842979783993</v>
      </c>
      <c r="N224" s="331">
        <f t="shared" ref="N224:N231" si="3">+N235+N246+N257</f>
        <v>393731</v>
      </c>
      <c r="O224" s="382">
        <f t="shared" ref="O224:O231" si="4">N224/$N$232</f>
        <v>0.97383443397393088</v>
      </c>
      <c r="P224" s="306"/>
      <c r="Q224" s="233"/>
      <c r="R224" s="5"/>
    </row>
    <row r="225" spans="1:18" ht="15.6" x14ac:dyDescent="0.3">
      <c r="A225" s="260"/>
      <c r="B225" s="330" t="s">
        <v>99</v>
      </c>
      <c r="C225" s="381"/>
      <c r="D225" s="261"/>
      <c r="E225" s="382"/>
      <c r="F225" s="381"/>
      <c r="G225" s="381"/>
      <c r="H225" s="381"/>
      <c r="I225" s="381"/>
      <c r="J225" s="381"/>
      <c r="K225" s="381"/>
      <c r="L225" s="330">
        <f t="shared" si="1"/>
        <v>62</v>
      </c>
      <c r="M225" s="382">
        <f t="shared" si="2"/>
        <v>1.7169759069509832E-2</v>
      </c>
      <c r="N225" s="331">
        <f t="shared" si="3"/>
        <v>6032</v>
      </c>
      <c r="O225" s="382">
        <f t="shared" si="4"/>
        <v>1.4919245133684549E-2</v>
      </c>
      <c r="P225" s="354"/>
      <c r="Q225" s="373"/>
      <c r="R225" s="5"/>
    </row>
    <row r="226" spans="1:18" ht="15.6" x14ac:dyDescent="0.3">
      <c r="A226" s="260"/>
      <c r="B226" s="330" t="s">
        <v>100</v>
      </c>
      <c r="C226" s="381"/>
      <c r="D226" s="261"/>
      <c r="E226" s="382"/>
      <c r="F226" s="381"/>
      <c r="G226" s="381"/>
      <c r="H226" s="381"/>
      <c r="I226" s="381"/>
      <c r="J226" s="381"/>
      <c r="K226" s="381"/>
      <c r="L226" s="330">
        <f t="shared" si="1"/>
        <v>5</v>
      </c>
      <c r="M226" s="382">
        <f t="shared" si="2"/>
        <v>1.3846579894765993E-3</v>
      </c>
      <c r="N226" s="331">
        <f t="shared" si="3"/>
        <v>239</v>
      </c>
      <c r="O226" s="382">
        <f t="shared" si="4"/>
        <v>5.9113056812841631E-4</v>
      </c>
      <c r="P226" s="354"/>
      <c r="Q226" s="373"/>
      <c r="R226" s="5"/>
    </row>
    <row r="227" spans="1:18" ht="15.6" x14ac:dyDescent="0.3">
      <c r="A227" s="260"/>
      <c r="B227" s="330" t="s">
        <v>227</v>
      </c>
      <c r="C227" s="381"/>
      <c r="D227" s="261"/>
      <c r="E227" s="382"/>
      <c r="F227" s="381"/>
      <c r="G227" s="381"/>
      <c r="H227" s="381"/>
      <c r="I227" s="381"/>
      <c r="J227" s="381"/>
      <c r="K227" s="381"/>
      <c r="L227" s="330">
        <f t="shared" si="1"/>
        <v>3</v>
      </c>
      <c r="M227" s="382">
        <f t="shared" si="2"/>
        <v>8.3079479368595955E-4</v>
      </c>
      <c r="N227" s="331">
        <f t="shared" si="3"/>
        <v>408</v>
      </c>
      <c r="O227" s="382">
        <f t="shared" si="4"/>
        <v>1.0091266602359576E-3</v>
      </c>
      <c r="P227" s="354"/>
      <c r="Q227" s="373"/>
      <c r="R227" s="5"/>
    </row>
    <row r="228" spans="1:18" ht="15.6" x14ac:dyDescent="0.3">
      <c r="A228" s="260"/>
      <c r="B228" s="330" t="s">
        <v>228</v>
      </c>
      <c r="C228" s="381"/>
      <c r="D228" s="261"/>
      <c r="E228" s="382"/>
      <c r="F228" s="381"/>
      <c r="G228" s="381"/>
      <c r="H228" s="381"/>
      <c r="I228" s="381"/>
      <c r="J228" s="381"/>
      <c r="K228" s="381"/>
      <c r="L228" s="330">
        <f t="shared" si="1"/>
        <v>2</v>
      </c>
      <c r="M228" s="382">
        <f t="shared" si="2"/>
        <v>5.538631957906397E-4</v>
      </c>
      <c r="N228" s="331">
        <f t="shared" si="3"/>
        <v>205</v>
      </c>
      <c r="O228" s="382">
        <f t="shared" si="4"/>
        <v>5.0703667977541986E-4</v>
      </c>
      <c r="P228" s="354"/>
      <c r="Q228" s="373"/>
      <c r="R228" s="5"/>
    </row>
    <row r="229" spans="1:18" ht="15.6" x14ac:dyDescent="0.3">
      <c r="A229" s="260"/>
      <c r="B229" s="330" t="s">
        <v>229</v>
      </c>
      <c r="C229" s="381"/>
      <c r="D229" s="261"/>
      <c r="E229" s="382"/>
      <c r="F229" s="381"/>
      <c r="G229" s="381"/>
      <c r="H229" s="381"/>
      <c r="I229" s="381"/>
      <c r="J229" s="381"/>
      <c r="K229" s="381"/>
      <c r="L229" s="330">
        <f t="shared" si="1"/>
        <v>4</v>
      </c>
      <c r="M229" s="382">
        <f t="shared" si="2"/>
        <v>1.1077263915812794E-3</v>
      </c>
      <c r="N229" s="331">
        <f t="shared" si="3"/>
        <v>361</v>
      </c>
      <c r="O229" s="382">
        <f t="shared" si="4"/>
        <v>8.9287922633622717E-4</v>
      </c>
      <c r="P229" s="354"/>
      <c r="Q229" s="373"/>
      <c r="R229" s="5"/>
    </row>
    <row r="230" spans="1:18" ht="15.6" x14ac:dyDescent="0.3">
      <c r="A230" s="260"/>
      <c r="B230" s="330" t="s">
        <v>230</v>
      </c>
      <c r="C230" s="381"/>
      <c r="D230" s="261"/>
      <c r="E230" s="382"/>
      <c r="F230" s="381"/>
      <c r="G230" s="381"/>
      <c r="H230" s="381"/>
      <c r="I230" s="381"/>
      <c r="J230" s="381"/>
      <c r="K230" s="381"/>
      <c r="L230" s="330">
        <f t="shared" si="1"/>
        <v>6</v>
      </c>
      <c r="M230" s="382">
        <f t="shared" si="2"/>
        <v>1.6615895873719191E-3</v>
      </c>
      <c r="N230" s="331">
        <f t="shared" si="3"/>
        <v>416</v>
      </c>
      <c r="O230" s="382">
        <f t="shared" si="4"/>
        <v>1.0289134574954862E-3</v>
      </c>
      <c r="P230" s="354"/>
      <c r="Q230" s="373"/>
      <c r="R230" s="5"/>
    </row>
    <row r="231" spans="1:18" ht="15.6" x14ac:dyDescent="0.3">
      <c r="A231" s="260"/>
      <c r="B231" s="330" t="s">
        <v>231</v>
      </c>
      <c r="C231" s="381"/>
      <c r="D231" s="261"/>
      <c r="E231" s="382"/>
      <c r="F231" s="381"/>
      <c r="G231" s="381"/>
      <c r="H231" s="381"/>
      <c r="I231" s="381"/>
      <c r="J231" s="381"/>
      <c r="K231" s="381"/>
      <c r="L231" s="330">
        <f t="shared" si="1"/>
        <v>12</v>
      </c>
      <c r="M231" s="382">
        <f t="shared" si="2"/>
        <v>3.3231791747438382E-3</v>
      </c>
      <c r="N231" s="331">
        <f t="shared" si="3"/>
        <v>2918</v>
      </c>
      <c r="O231" s="382">
        <f t="shared" si="4"/>
        <v>7.2172343004130498E-3</v>
      </c>
      <c r="P231" s="354"/>
      <c r="Q231" s="373"/>
      <c r="R231" s="5"/>
    </row>
    <row r="232" spans="1:18" ht="15.6" x14ac:dyDescent="0.3">
      <c r="A232" s="260"/>
      <c r="B232" s="261" t="s">
        <v>129</v>
      </c>
      <c r="C232" s="261"/>
      <c r="D232" s="261"/>
      <c r="E232" s="261"/>
      <c r="F232" s="383"/>
      <c r="G232" s="383"/>
      <c r="H232" s="383"/>
      <c r="I232" s="383"/>
      <c r="J232" s="383"/>
      <c r="K232" s="383"/>
      <c r="L232" s="330">
        <f>SUM(L224:L231)</f>
        <v>3611</v>
      </c>
      <c r="M232" s="382">
        <f>SUM(M224:M231)</f>
        <v>1</v>
      </c>
      <c r="N232" s="330">
        <f>SUM(N224:N231)</f>
        <v>404310</v>
      </c>
      <c r="O232" s="382">
        <f>SUM(O224:O231)</f>
        <v>1</v>
      </c>
      <c r="P232" s="261"/>
      <c r="Q232" s="264"/>
      <c r="R232" s="5"/>
    </row>
    <row r="233" spans="1:18" ht="15.6" x14ac:dyDescent="0.3">
      <c r="A233" s="348"/>
      <c r="B233" s="222"/>
      <c r="C233" s="223"/>
      <c r="D233" s="224"/>
      <c r="E233" s="190"/>
      <c r="F233" s="190"/>
      <c r="G233" s="190"/>
      <c r="H233" s="190"/>
      <c r="I233" s="190"/>
      <c r="J233" s="190"/>
      <c r="K233" s="190"/>
      <c r="L233" s="190"/>
      <c r="M233" s="190"/>
      <c r="N233" s="349"/>
      <c r="O233" s="190"/>
      <c r="P233" s="344"/>
      <c r="Q233" s="350"/>
      <c r="R233" s="5"/>
    </row>
    <row r="234" spans="1:18" ht="15.6" x14ac:dyDescent="0.3">
      <c r="A234" s="251"/>
      <c r="B234" s="317" t="s">
        <v>236</v>
      </c>
      <c r="C234" s="318"/>
      <c r="D234" s="319"/>
      <c r="E234" s="318"/>
      <c r="F234" s="318"/>
      <c r="G234" s="318"/>
      <c r="H234" s="318"/>
      <c r="I234" s="318"/>
      <c r="J234" s="318"/>
      <c r="K234" s="318"/>
      <c r="L234" s="319" t="s">
        <v>113</v>
      </c>
      <c r="M234" s="318" t="s">
        <v>114</v>
      </c>
      <c r="N234" s="319" t="s">
        <v>123</v>
      </c>
      <c r="O234" s="318" t="s">
        <v>114</v>
      </c>
      <c r="P234" s="252"/>
      <c r="Q234" s="317"/>
      <c r="R234" s="5"/>
    </row>
    <row r="235" spans="1:18" ht="15.6" x14ac:dyDescent="0.3">
      <c r="A235" s="198"/>
      <c r="B235" s="235" t="s">
        <v>98</v>
      </c>
      <c r="C235" s="309"/>
      <c r="D235" s="230"/>
      <c r="E235" s="309"/>
      <c r="F235" s="309"/>
      <c r="G235" s="309"/>
      <c r="H235" s="309"/>
      <c r="I235" s="309"/>
      <c r="J235" s="309"/>
      <c r="K235" s="309"/>
      <c r="L235" s="235">
        <v>3475</v>
      </c>
      <c r="M235" s="310">
        <f t="shared" ref="M235:M242" si="5">L235/$L$243</f>
        <v>0.97887323943661975</v>
      </c>
      <c r="N235" s="300">
        <v>387863</v>
      </c>
      <c r="O235" s="310">
        <f t="shared" ref="O235:O242" si="6">N235/$N$243</f>
        <v>0.98331575584873898</v>
      </c>
      <c r="P235" s="306"/>
      <c r="Q235" s="233"/>
      <c r="R235" s="5"/>
    </row>
    <row r="236" spans="1:18" ht="15.6" x14ac:dyDescent="0.3">
      <c r="A236" s="260"/>
      <c r="B236" s="330" t="s">
        <v>99</v>
      </c>
      <c r="C236" s="381"/>
      <c r="D236" s="261"/>
      <c r="E236" s="382"/>
      <c r="F236" s="381"/>
      <c r="G236" s="381"/>
      <c r="H236" s="381"/>
      <c r="I236" s="381"/>
      <c r="J236" s="381"/>
      <c r="K236" s="381"/>
      <c r="L236" s="330">
        <v>62</v>
      </c>
      <c r="M236" s="382">
        <f t="shared" si="5"/>
        <v>1.7464788732394366E-2</v>
      </c>
      <c r="N236" s="331">
        <v>6032</v>
      </c>
      <c r="O236" s="382">
        <f t="shared" si="6"/>
        <v>1.5292411597083489E-2</v>
      </c>
      <c r="P236" s="354"/>
      <c r="Q236" s="373"/>
      <c r="R236" s="5"/>
    </row>
    <row r="237" spans="1:18" ht="15.6" x14ac:dyDescent="0.3">
      <c r="A237" s="260"/>
      <c r="B237" s="330" t="s">
        <v>100</v>
      </c>
      <c r="C237" s="381"/>
      <c r="D237" s="261"/>
      <c r="E237" s="382"/>
      <c r="F237" s="381"/>
      <c r="G237" s="381"/>
      <c r="H237" s="381"/>
      <c r="I237" s="381"/>
      <c r="J237" s="381"/>
      <c r="K237" s="381"/>
      <c r="L237" s="330">
        <v>4</v>
      </c>
      <c r="M237" s="382">
        <f t="shared" si="5"/>
        <v>1.1267605633802818E-3</v>
      </c>
      <c r="N237" s="331">
        <v>111</v>
      </c>
      <c r="O237" s="382">
        <f t="shared" si="6"/>
        <v>2.8140876778452706E-4</v>
      </c>
      <c r="P237" s="354"/>
      <c r="Q237" s="373"/>
      <c r="R237" s="5"/>
    </row>
    <row r="238" spans="1:18" ht="15.6" x14ac:dyDescent="0.3">
      <c r="A238" s="260"/>
      <c r="B238" s="330" t="s">
        <v>227</v>
      </c>
      <c r="C238" s="381"/>
      <c r="D238" s="261"/>
      <c r="E238" s="382"/>
      <c r="F238" s="381"/>
      <c r="G238" s="381"/>
      <c r="H238" s="381"/>
      <c r="I238" s="381"/>
      <c r="J238" s="381"/>
      <c r="K238" s="381"/>
      <c r="L238" s="330">
        <v>1</v>
      </c>
      <c r="M238" s="382">
        <f t="shared" si="5"/>
        <v>2.8169014084507044E-4</v>
      </c>
      <c r="N238" s="331">
        <v>26</v>
      </c>
      <c r="O238" s="382">
        <f t="shared" si="6"/>
        <v>6.5915567228808149E-5</v>
      </c>
      <c r="P238" s="354"/>
      <c r="Q238" s="373"/>
      <c r="R238" s="5"/>
    </row>
    <row r="239" spans="1:18" ht="15.6" x14ac:dyDescent="0.3">
      <c r="A239" s="260"/>
      <c r="B239" s="330" t="s">
        <v>228</v>
      </c>
      <c r="C239" s="381"/>
      <c r="D239" s="261"/>
      <c r="E239" s="382"/>
      <c r="F239" s="381"/>
      <c r="G239" s="381"/>
      <c r="H239" s="381"/>
      <c r="I239" s="381"/>
      <c r="J239" s="381"/>
      <c r="K239" s="381"/>
      <c r="L239" s="330">
        <v>1</v>
      </c>
      <c r="M239" s="382">
        <f t="shared" si="5"/>
        <v>2.8169014084507044E-4</v>
      </c>
      <c r="N239" s="331">
        <v>36</v>
      </c>
      <c r="O239" s="382">
        <f t="shared" si="6"/>
        <v>9.126770847065743E-5</v>
      </c>
      <c r="P239" s="354"/>
      <c r="Q239" s="373"/>
      <c r="R239" s="5"/>
    </row>
    <row r="240" spans="1:18" ht="15.6" x14ac:dyDescent="0.3">
      <c r="A240" s="260"/>
      <c r="B240" s="330" t="s">
        <v>229</v>
      </c>
      <c r="C240" s="381"/>
      <c r="D240" s="261"/>
      <c r="E240" s="382"/>
      <c r="F240" s="381"/>
      <c r="G240" s="381"/>
      <c r="H240" s="381"/>
      <c r="I240" s="381"/>
      <c r="J240" s="381"/>
      <c r="K240" s="381"/>
      <c r="L240" s="330">
        <v>3</v>
      </c>
      <c r="M240" s="382">
        <f t="shared" si="5"/>
        <v>8.4507042253521131E-4</v>
      </c>
      <c r="N240" s="331">
        <v>217</v>
      </c>
      <c r="O240" s="382">
        <f t="shared" si="6"/>
        <v>5.5014146494812956E-4</v>
      </c>
      <c r="P240" s="354"/>
      <c r="Q240" s="373"/>
      <c r="R240" s="5"/>
    </row>
    <row r="241" spans="1:18" ht="15.6" x14ac:dyDescent="0.3">
      <c r="A241" s="260"/>
      <c r="B241" s="330" t="s">
        <v>230</v>
      </c>
      <c r="C241" s="381"/>
      <c r="D241" s="261"/>
      <c r="E241" s="382"/>
      <c r="F241" s="381"/>
      <c r="G241" s="381"/>
      <c r="H241" s="381"/>
      <c r="I241" s="381"/>
      <c r="J241" s="381"/>
      <c r="K241" s="381"/>
      <c r="L241" s="330">
        <v>4</v>
      </c>
      <c r="M241" s="382">
        <f t="shared" si="5"/>
        <v>1.1267605633802818E-3</v>
      </c>
      <c r="N241" s="331">
        <v>159</v>
      </c>
      <c r="O241" s="382">
        <f t="shared" si="6"/>
        <v>4.0309904574540364E-4</v>
      </c>
      <c r="P241" s="354"/>
      <c r="Q241" s="373"/>
      <c r="R241" s="5"/>
    </row>
    <row r="242" spans="1:18" ht="15.6" x14ac:dyDescent="0.3">
      <c r="A242" s="260"/>
      <c r="B242" s="330" t="s">
        <v>231</v>
      </c>
      <c r="C242" s="381"/>
      <c r="D242" s="261"/>
      <c r="E242" s="382"/>
      <c r="F242" s="381"/>
      <c r="G242" s="381"/>
      <c r="H242" s="381"/>
      <c r="I242" s="381"/>
      <c r="J242" s="381"/>
      <c r="K242" s="381"/>
      <c r="L242" s="330">
        <v>0</v>
      </c>
      <c r="M242" s="382">
        <f t="shared" si="5"/>
        <v>0</v>
      </c>
      <c r="N242" s="331">
        <v>0</v>
      </c>
      <c r="O242" s="382">
        <f t="shared" si="6"/>
        <v>0</v>
      </c>
      <c r="P242" s="354"/>
      <c r="Q242" s="373"/>
      <c r="R242" s="5"/>
    </row>
    <row r="243" spans="1:18" ht="15.6" x14ac:dyDescent="0.3">
      <c r="A243" s="260"/>
      <c r="B243" s="261" t="s">
        <v>129</v>
      </c>
      <c r="C243" s="261"/>
      <c r="D243" s="261"/>
      <c r="E243" s="261"/>
      <c r="F243" s="383"/>
      <c r="G243" s="383"/>
      <c r="H243" s="383"/>
      <c r="I243" s="383"/>
      <c r="J243" s="383"/>
      <c r="K243" s="383"/>
      <c r="L243" s="330">
        <f>SUM(L235:L242)</f>
        <v>3550</v>
      </c>
      <c r="M243" s="382">
        <f>SUM(M235:M242)</f>
        <v>1</v>
      </c>
      <c r="N243" s="331">
        <f>SUM(N235:N242)</f>
        <v>394444</v>
      </c>
      <c r="O243" s="382">
        <f>SUM(O235:O242)</f>
        <v>1</v>
      </c>
      <c r="P243" s="261"/>
      <c r="Q243" s="264"/>
      <c r="R243" s="5"/>
    </row>
    <row r="244" spans="1:18" ht="15.6" x14ac:dyDescent="0.3">
      <c r="A244" s="183"/>
      <c r="B244" s="257"/>
      <c r="C244" s="257"/>
      <c r="D244" s="257"/>
      <c r="E244" s="257"/>
      <c r="F244" s="378"/>
      <c r="G244" s="378"/>
      <c r="H244" s="378"/>
      <c r="I244" s="378"/>
      <c r="J244" s="378"/>
      <c r="K244" s="378"/>
      <c r="L244" s="302"/>
      <c r="M244" s="379"/>
      <c r="N244" s="380"/>
      <c r="O244" s="379"/>
      <c r="P244" s="257"/>
      <c r="Q244" s="257"/>
      <c r="R244" s="5"/>
    </row>
    <row r="245" spans="1:18" ht="15.6" x14ac:dyDescent="0.3">
      <c r="A245" s="316"/>
      <c r="B245" s="317" t="s">
        <v>238</v>
      </c>
      <c r="C245" s="318"/>
      <c r="D245" s="319"/>
      <c r="E245" s="318"/>
      <c r="F245" s="318"/>
      <c r="G245" s="318"/>
      <c r="H245" s="318"/>
      <c r="I245" s="318"/>
      <c r="J245" s="318"/>
      <c r="K245" s="318"/>
      <c r="L245" s="319" t="s">
        <v>113</v>
      </c>
      <c r="M245" s="318" t="s">
        <v>114</v>
      </c>
      <c r="N245" s="319" t="s">
        <v>123</v>
      </c>
      <c r="O245" s="318" t="s">
        <v>114</v>
      </c>
      <c r="P245" s="252"/>
      <c r="Q245" s="321"/>
      <c r="R245" s="5"/>
    </row>
    <row r="246" spans="1:18" ht="15.6" x14ac:dyDescent="0.3">
      <c r="A246" s="198"/>
      <c r="B246" s="235" t="s">
        <v>98</v>
      </c>
      <c r="C246" s="309"/>
      <c r="D246" s="230"/>
      <c r="E246" s="309"/>
      <c r="F246" s="309"/>
      <c r="G246" s="309"/>
      <c r="H246" s="309"/>
      <c r="I246" s="309"/>
      <c r="J246" s="309"/>
      <c r="K246" s="309"/>
      <c r="L246" s="235">
        <v>42</v>
      </c>
      <c r="M246" s="310">
        <f t="shared" ref="M246:M253" si="7">L246/$L$254</f>
        <v>0.68852459016393441</v>
      </c>
      <c r="N246" s="300">
        <v>5868</v>
      </c>
      <c r="O246" s="310">
        <f t="shared" ref="O246:O253" si="8">N246/$N$254</f>
        <v>0.59476991688627612</v>
      </c>
      <c r="P246" s="306"/>
      <c r="Q246" s="230"/>
      <c r="R246" s="5"/>
    </row>
    <row r="247" spans="1:18" ht="15.6" x14ac:dyDescent="0.3">
      <c r="A247" s="260"/>
      <c r="B247" s="330" t="s">
        <v>99</v>
      </c>
      <c r="C247" s="381"/>
      <c r="D247" s="261"/>
      <c r="E247" s="382"/>
      <c r="F247" s="381"/>
      <c r="G247" s="381"/>
      <c r="H247" s="381"/>
      <c r="I247" s="381"/>
      <c r="J247" s="381"/>
      <c r="K247" s="381"/>
      <c r="L247" s="330">
        <v>0</v>
      </c>
      <c r="M247" s="382">
        <f t="shared" si="7"/>
        <v>0</v>
      </c>
      <c r="N247" s="331">
        <v>0</v>
      </c>
      <c r="O247" s="382">
        <f t="shared" si="8"/>
        <v>0</v>
      </c>
      <c r="P247" s="354"/>
      <c r="Q247" s="264"/>
      <c r="R247" s="5"/>
    </row>
    <row r="248" spans="1:18" ht="15.6" x14ac:dyDescent="0.3">
      <c r="A248" s="260"/>
      <c r="B248" s="330" t="s">
        <v>100</v>
      </c>
      <c r="C248" s="381"/>
      <c r="D248" s="261"/>
      <c r="E248" s="382"/>
      <c r="F248" s="381"/>
      <c r="G248" s="381"/>
      <c r="H248" s="381"/>
      <c r="I248" s="381"/>
      <c r="J248" s="381"/>
      <c r="K248" s="381"/>
      <c r="L248" s="330">
        <v>1</v>
      </c>
      <c r="M248" s="382">
        <f t="shared" si="7"/>
        <v>1.6393442622950821E-2</v>
      </c>
      <c r="N248" s="331">
        <v>128</v>
      </c>
      <c r="O248" s="382">
        <f t="shared" si="8"/>
        <v>1.2973849584431381E-2</v>
      </c>
      <c r="P248" s="354"/>
      <c r="Q248" s="264"/>
      <c r="R248" s="5"/>
    </row>
    <row r="249" spans="1:18" ht="15.6" x14ac:dyDescent="0.3">
      <c r="A249" s="260"/>
      <c r="B249" s="330" t="s">
        <v>227</v>
      </c>
      <c r="C249" s="381"/>
      <c r="D249" s="261"/>
      <c r="E249" s="382"/>
      <c r="F249" s="381"/>
      <c r="G249" s="381"/>
      <c r="H249" s="381"/>
      <c r="I249" s="381"/>
      <c r="J249" s="381"/>
      <c r="K249" s="381"/>
      <c r="L249" s="330">
        <v>2</v>
      </c>
      <c r="M249" s="382">
        <f t="shared" si="7"/>
        <v>3.2786885245901641E-2</v>
      </c>
      <c r="N249" s="331">
        <v>382</v>
      </c>
      <c r="O249" s="382">
        <f t="shared" si="8"/>
        <v>3.8718832353537402E-2</v>
      </c>
      <c r="P249" s="354"/>
      <c r="Q249" s="264"/>
      <c r="R249" s="5"/>
    </row>
    <row r="250" spans="1:18" ht="15.6" x14ac:dyDescent="0.3">
      <c r="A250" s="260"/>
      <c r="B250" s="330" t="s">
        <v>228</v>
      </c>
      <c r="C250" s="381"/>
      <c r="D250" s="261"/>
      <c r="E250" s="382"/>
      <c r="F250" s="381"/>
      <c r="G250" s="381"/>
      <c r="H250" s="381"/>
      <c r="I250" s="381"/>
      <c r="J250" s="381"/>
      <c r="K250" s="381"/>
      <c r="L250" s="330">
        <v>1</v>
      </c>
      <c r="M250" s="382">
        <f t="shared" si="7"/>
        <v>1.6393442622950821E-2</v>
      </c>
      <c r="N250" s="331">
        <v>169</v>
      </c>
      <c r="O250" s="382">
        <f t="shared" si="8"/>
        <v>1.7129535779444559E-2</v>
      </c>
      <c r="P250" s="354"/>
      <c r="Q250" s="264"/>
      <c r="R250" s="5"/>
    </row>
    <row r="251" spans="1:18" ht="15.6" x14ac:dyDescent="0.3">
      <c r="A251" s="260"/>
      <c r="B251" s="330" t="s">
        <v>229</v>
      </c>
      <c r="C251" s="381"/>
      <c r="D251" s="261"/>
      <c r="E251" s="382"/>
      <c r="F251" s="381"/>
      <c r="G251" s="381"/>
      <c r="H251" s="381"/>
      <c r="I251" s="381"/>
      <c r="J251" s="381"/>
      <c r="K251" s="381"/>
      <c r="L251" s="330">
        <v>1</v>
      </c>
      <c r="M251" s="382">
        <f t="shared" si="7"/>
        <v>1.6393442622950821E-2</v>
      </c>
      <c r="N251" s="331">
        <v>144</v>
      </c>
      <c r="O251" s="382">
        <f t="shared" si="8"/>
        <v>1.4595580782485303E-2</v>
      </c>
      <c r="P251" s="354"/>
      <c r="Q251" s="264"/>
      <c r="R251" s="5"/>
    </row>
    <row r="252" spans="1:18" ht="15.6" x14ac:dyDescent="0.3">
      <c r="A252" s="260"/>
      <c r="B252" s="330" t="s">
        <v>230</v>
      </c>
      <c r="C252" s="381"/>
      <c r="D252" s="261"/>
      <c r="E252" s="382"/>
      <c r="F252" s="381"/>
      <c r="G252" s="381"/>
      <c r="H252" s="381"/>
      <c r="I252" s="381"/>
      <c r="J252" s="381"/>
      <c r="K252" s="381"/>
      <c r="L252" s="330">
        <v>2</v>
      </c>
      <c r="M252" s="382">
        <f t="shared" si="7"/>
        <v>3.2786885245901641E-2</v>
      </c>
      <c r="N252" s="331">
        <v>257</v>
      </c>
      <c r="O252" s="382">
        <f t="shared" si="8"/>
        <v>2.6049057368741132E-2</v>
      </c>
      <c r="P252" s="354"/>
      <c r="Q252" s="264"/>
      <c r="R252" s="5"/>
    </row>
    <row r="253" spans="1:18" ht="15.6" x14ac:dyDescent="0.3">
      <c r="A253" s="260"/>
      <c r="B253" s="330" t="s">
        <v>231</v>
      </c>
      <c r="C253" s="381"/>
      <c r="D253" s="261"/>
      <c r="E253" s="382"/>
      <c r="F253" s="381"/>
      <c r="G253" s="381"/>
      <c r="H253" s="381"/>
      <c r="I253" s="381"/>
      <c r="J253" s="381"/>
      <c r="K253" s="381"/>
      <c r="L253" s="330">
        <v>12</v>
      </c>
      <c r="M253" s="382">
        <f t="shared" si="7"/>
        <v>0.19672131147540983</v>
      </c>
      <c r="N253" s="331">
        <v>2918</v>
      </c>
      <c r="O253" s="382">
        <f t="shared" si="8"/>
        <v>0.29576322724508414</v>
      </c>
      <c r="P253" s="354"/>
      <c r="Q253" s="264"/>
      <c r="R253" s="5"/>
    </row>
    <row r="254" spans="1:18" ht="15.6" x14ac:dyDescent="0.3">
      <c r="A254" s="260"/>
      <c r="B254" s="261" t="s">
        <v>129</v>
      </c>
      <c r="C254" s="261"/>
      <c r="D254" s="261"/>
      <c r="E254" s="261"/>
      <c r="F254" s="383"/>
      <c r="G254" s="383"/>
      <c r="H254" s="383"/>
      <c r="I254" s="383"/>
      <c r="J254" s="383"/>
      <c r="K254" s="383"/>
      <c r="L254" s="330">
        <f>SUM(L246:L253)</f>
        <v>61</v>
      </c>
      <c r="M254" s="382">
        <f>SUM(M246:M253)</f>
        <v>1</v>
      </c>
      <c r="N254" s="331">
        <f>SUM(N246:N253)</f>
        <v>9866</v>
      </c>
      <c r="O254" s="382">
        <f>SUM(O246:O253)</f>
        <v>1</v>
      </c>
      <c r="P254" s="261"/>
      <c r="Q254" s="264"/>
      <c r="R254" s="5"/>
    </row>
    <row r="255" spans="1:18" ht="15.6" x14ac:dyDescent="0.3">
      <c r="A255" s="183"/>
      <c r="B255" s="257"/>
      <c r="C255" s="257"/>
      <c r="D255" s="257"/>
      <c r="E255" s="257"/>
      <c r="F255" s="378"/>
      <c r="G255" s="378"/>
      <c r="H255" s="378"/>
      <c r="I255" s="378"/>
      <c r="J255" s="378"/>
      <c r="K255" s="378"/>
      <c r="L255" s="302"/>
      <c r="M255" s="379"/>
      <c r="N255" s="380"/>
      <c r="O255" s="379"/>
      <c r="P255" s="257"/>
      <c r="Q255" s="257"/>
      <c r="R255" s="5"/>
    </row>
    <row r="256" spans="1:18" ht="15.6" x14ac:dyDescent="0.3">
      <c r="A256" s="316"/>
      <c r="B256" s="317" t="s">
        <v>239</v>
      </c>
      <c r="C256" s="318"/>
      <c r="D256" s="319"/>
      <c r="E256" s="318"/>
      <c r="F256" s="318"/>
      <c r="G256" s="318"/>
      <c r="H256" s="318"/>
      <c r="I256" s="318"/>
      <c r="J256" s="318"/>
      <c r="K256" s="318"/>
      <c r="L256" s="319" t="s">
        <v>113</v>
      </c>
      <c r="M256" s="318" t="s">
        <v>114</v>
      </c>
      <c r="N256" s="319" t="s">
        <v>123</v>
      </c>
      <c r="O256" s="318" t="s">
        <v>114</v>
      </c>
      <c r="P256" s="320"/>
      <c r="Q256" s="321"/>
      <c r="R256" s="5"/>
    </row>
    <row r="257" spans="1:18" ht="15.6" x14ac:dyDescent="0.3">
      <c r="A257" s="198"/>
      <c r="B257" s="235" t="s">
        <v>98</v>
      </c>
      <c r="C257" s="309"/>
      <c r="D257" s="230"/>
      <c r="E257" s="309"/>
      <c r="F257" s="309"/>
      <c r="G257" s="309"/>
      <c r="H257" s="309"/>
      <c r="I257" s="309"/>
      <c r="J257" s="309"/>
      <c r="K257" s="309"/>
      <c r="L257" s="235">
        <v>0</v>
      </c>
      <c r="M257" s="310">
        <v>0</v>
      </c>
      <c r="N257" s="300">
        <v>0</v>
      </c>
      <c r="O257" s="310">
        <v>0</v>
      </c>
      <c r="P257" s="230"/>
      <c r="Q257" s="230"/>
      <c r="R257" s="5"/>
    </row>
    <row r="258" spans="1:18" ht="15.6" x14ac:dyDescent="0.3">
      <c r="A258" s="260"/>
      <c r="B258" s="330" t="s">
        <v>99</v>
      </c>
      <c r="C258" s="381"/>
      <c r="D258" s="261"/>
      <c r="E258" s="382"/>
      <c r="F258" s="381"/>
      <c r="G258" s="381"/>
      <c r="H258" s="381"/>
      <c r="I258" s="381"/>
      <c r="J258" s="381"/>
      <c r="K258" s="381"/>
      <c r="L258" s="330">
        <v>0</v>
      </c>
      <c r="M258" s="382">
        <v>0</v>
      </c>
      <c r="N258" s="331">
        <v>0</v>
      </c>
      <c r="O258" s="382">
        <v>0</v>
      </c>
      <c r="P258" s="261"/>
      <c r="Q258" s="264"/>
      <c r="R258" s="5"/>
    </row>
    <row r="259" spans="1:18" ht="15.6" x14ac:dyDescent="0.3">
      <c r="A259" s="260"/>
      <c r="B259" s="330" t="s">
        <v>100</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227</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228</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229</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230</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231</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261" t="s">
        <v>129</v>
      </c>
      <c r="C265" s="261"/>
      <c r="D265" s="261"/>
      <c r="E265" s="261"/>
      <c r="F265" s="383"/>
      <c r="G265" s="383"/>
      <c r="H265" s="383"/>
      <c r="I265" s="383"/>
      <c r="J265" s="383"/>
      <c r="K265" s="383"/>
      <c r="L265" s="330">
        <f>SUM(L257:L264)</f>
        <v>0</v>
      </c>
      <c r="M265" s="382">
        <v>0</v>
      </c>
      <c r="N265" s="331">
        <f>SUM(N257:N264)</f>
        <v>0</v>
      </c>
      <c r="O265" s="382">
        <v>0</v>
      </c>
      <c r="P265" s="261"/>
      <c r="Q265" s="264"/>
      <c r="R265" s="5"/>
    </row>
    <row r="266" spans="1:18" ht="15.6" x14ac:dyDescent="0.3">
      <c r="A266" s="260"/>
      <c r="B266" s="261"/>
      <c r="C266" s="261"/>
      <c r="D266" s="261"/>
      <c r="E266" s="261"/>
      <c r="F266" s="383"/>
      <c r="G266" s="383"/>
      <c r="H266" s="383"/>
      <c r="I266" s="383"/>
      <c r="J266" s="383"/>
      <c r="K266" s="383"/>
      <c r="L266" s="330"/>
      <c r="M266" s="382"/>
      <c r="N266" s="331"/>
      <c r="O266" s="382"/>
      <c r="P266" s="261"/>
      <c r="Q266" s="264"/>
      <c r="R266" s="5"/>
    </row>
    <row r="267" spans="1:18" ht="15.6" x14ac:dyDescent="0.3">
      <c r="A267" s="260"/>
      <c r="B267" s="384" t="s">
        <v>240</v>
      </c>
      <c r="C267" s="261"/>
      <c r="D267" s="261"/>
      <c r="E267" s="261"/>
      <c r="F267" s="383"/>
      <c r="G267" s="383"/>
      <c r="H267" s="383"/>
      <c r="I267" s="383"/>
      <c r="J267" s="383"/>
      <c r="K267" s="383"/>
      <c r="L267" s="385">
        <f>+L243+L254+L265</f>
        <v>3611</v>
      </c>
      <c r="M267" s="382"/>
      <c r="N267" s="386">
        <f>+N265+N254+N243</f>
        <v>404310</v>
      </c>
      <c r="O267" s="382"/>
      <c r="P267" s="261"/>
      <c r="Q267" s="264"/>
      <c r="R267" s="5"/>
    </row>
    <row r="268" spans="1:18" ht="15.6" x14ac:dyDescent="0.3">
      <c r="A268" s="183"/>
      <c r="B268" s="257"/>
      <c r="C268" s="257"/>
      <c r="D268" s="257"/>
      <c r="E268" s="257"/>
      <c r="F268" s="378"/>
      <c r="G268" s="378"/>
      <c r="H268" s="378"/>
      <c r="I268" s="378"/>
      <c r="J268" s="378"/>
      <c r="K268" s="378"/>
      <c r="L268" s="378"/>
      <c r="M268" s="378"/>
      <c r="N268" s="380"/>
      <c r="O268" s="378"/>
      <c r="P268" s="257"/>
      <c r="Q268" s="257"/>
      <c r="R268" s="5"/>
    </row>
    <row r="269" spans="1:18" ht="15.6" x14ac:dyDescent="0.3">
      <c r="A269" s="183"/>
      <c r="B269" s="236"/>
      <c r="C269" s="236"/>
      <c r="D269" s="236"/>
      <c r="E269" s="236"/>
      <c r="F269" s="311"/>
      <c r="G269" s="311"/>
      <c r="H269" s="311"/>
      <c r="I269" s="311"/>
      <c r="J269" s="311"/>
      <c r="K269" s="311"/>
      <c r="L269" s="311"/>
      <c r="M269" s="311"/>
      <c r="N269" s="312"/>
      <c r="O269" s="311"/>
      <c r="P269" s="236"/>
      <c r="Q269" s="236"/>
      <c r="R269" s="5"/>
    </row>
    <row r="270" spans="1:18" ht="15.6" x14ac:dyDescent="0.3">
      <c r="A270" s="225"/>
      <c r="B270" s="228" t="s">
        <v>102</v>
      </c>
      <c r="C270" s="236"/>
      <c r="D270" s="236"/>
      <c r="E270" s="236"/>
      <c r="F270" s="246" t="s">
        <v>108</v>
      </c>
      <c r="G270" s="236"/>
      <c r="H270" s="228" t="s">
        <v>110</v>
      </c>
      <c r="I270" s="249"/>
      <c r="J270" s="249"/>
      <c r="K270" s="249"/>
      <c r="L270" s="249"/>
      <c r="M270" s="249"/>
      <c r="N270" s="249"/>
      <c r="O270" s="249"/>
      <c r="P270" s="249"/>
      <c r="Q270" s="249"/>
      <c r="R270" s="5"/>
    </row>
    <row r="271" spans="1:18" ht="15.6" x14ac:dyDescent="0.3">
      <c r="A271" s="225"/>
      <c r="B271" s="249"/>
      <c r="C271" s="236"/>
      <c r="D271" s="236"/>
      <c r="E271" s="236"/>
      <c r="F271" s="236"/>
      <c r="G271" s="236"/>
      <c r="H271" s="236"/>
      <c r="I271" s="249"/>
      <c r="J271" s="249"/>
      <c r="K271" s="249"/>
      <c r="L271" s="249"/>
      <c r="M271" s="249"/>
      <c r="N271" s="249"/>
      <c r="O271" s="249"/>
      <c r="P271" s="249"/>
      <c r="Q271" s="249"/>
      <c r="R271" s="5"/>
    </row>
    <row r="272" spans="1:18" ht="15.6" x14ac:dyDescent="0.3">
      <c r="A272" s="225"/>
      <c r="B272" s="228" t="s">
        <v>103</v>
      </c>
      <c r="C272" s="228"/>
      <c r="D272" s="228"/>
      <c r="E272" s="228"/>
      <c r="F272" s="313" t="s">
        <v>212</v>
      </c>
      <c r="G272" s="228"/>
      <c r="H272" s="228" t="s">
        <v>222</v>
      </c>
      <c r="I272" s="249"/>
      <c r="J272" s="249"/>
      <c r="K272" s="249"/>
      <c r="L272" s="249"/>
      <c r="M272" s="249"/>
      <c r="N272" s="249"/>
      <c r="O272" s="249"/>
      <c r="P272" s="249"/>
      <c r="Q272" s="249"/>
      <c r="R272" s="5"/>
    </row>
    <row r="273" spans="1:18" ht="15.6" x14ac:dyDescent="0.3">
      <c r="A273" s="225"/>
      <c r="B273" s="228" t="s">
        <v>263</v>
      </c>
      <c r="C273" s="228"/>
      <c r="D273" s="228"/>
      <c r="E273" s="228"/>
      <c r="F273" s="313" t="s">
        <v>264</v>
      </c>
      <c r="G273" s="228"/>
      <c r="H273" s="228" t="s">
        <v>265</v>
      </c>
      <c r="I273" s="249"/>
      <c r="J273" s="249"/>
      <c r="K273" s="249"/>
      <c r="L273" s="249"/>
      <c r="M273" s="249"/>
      <c r="N273" s="249"/>
      <c r="O273" s="249"/>
      <c r="P273" s="249"/>
      <c r="Q273" s="249"/>
      <c r="R273" s="5"/>
    </row>
    <row r="274" spans="1:18" ht="15.6" x14ac:dyDescent="0.3">
      <c r="A274" s="225"/>
      <c r="B274" s="228" t="s">
        <v>104</v>
      </c>
      <c r="C274" s="228"/>
      <c r="D274" s="228"/>
      <c r="E274" s="228"/>
      <c r="F274" s="313" t="s">
        <v>211</v>
      </c>
      <c r="G274" s="228"/>
      <c r="H274" s="228" t="s">
        <v>223</v>
      </c>
      <c r="I274" s="249"/>
      <c r="J274" s="249"/>
      <c r="K274" s="249"/>
      <c r="L274" s="249"/>
      <c r="M274" s="249"/>
      <c r="N274" s="249"/>
      <c r="O274" s="249"/>
      <c r="P274" s="249"/>
      <c r="Q274" s="249"/>
      <c r="R274" s="5"/>
    </row>
    <row r="275" spans="1:18" ht="15.6" x14ac:dyDescent="0.3">
      <c r="A275" s="225"/>
      <c r="B275" s="228"/>
      <c r="C275" s="228"/>
      <c r="D275" s="228"/>
      <c r="E275" s="314"/>
      <c r="F275" s="249"/>
      <c r="G275" s="249"/>
      <c r="H275" s="249"/>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8" thickBot="1" x14ac:dyDescent="0.35">
      <c r="A277" s="225"/>
      <c r="B277" s="315" t="str">
        <f>B184</f>
        <v>PM7 INVESTOR REPORT QUARTER ENDING OCTOBER 2010</v>
      </c>
      <c r="C277" s="228"/>
      <c r="D277" s="228"/>
      <c r="E277" s="314"/>
      <c r="F277" s="249"/>
      <c r="G277" s="249"/>
      <c r="H277" s="249"/>
      <c r="I277" s="249"/>
      <c r="J277" s="249"/>
      <c r="K277" s="249"/>
      <c r="L277" s="249"/>
      <c r="M277" s="249"/>
      <c r="N277" s="249"/>
      <c r="O277" s="249"/>
      <c r="P277" s="249"/>
      <c r="Q277" s="24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phoneticPr fontId="0" type="noConversion"/>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7" man="1"/>
    <brk id="132" max="14" man="1"/>
    <brk id="184" max="14"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0.95660000000000001</v>
      </c>
      <c r="N17" s="246" t="s">
        <v>173</v>
      </c>
      <c r="O17" s="245">
        <v>4.3400000000000001E-2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40595</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4"/>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267"/>
      <c r="D27" s="267" t="s">
        <v>175</v>
      </c>
      <c r="E27" s="267"/>
      <c r="F27" s="267" t="s">
        <v>175</v>
      </c>
      <c r="G27" s="267"/>
      <c r="H27" s="267" t="s">
        <v>175</v>
      </c>
      <c r="I27" s="267"/>
      <c r="J27" s="267" t="s">
        <v>176</v>
      </c>
      <c r="K27" s="267"/>
      <c r="L27" s="267" t="s">
        <v>176</v>
      </c>
      <c r="M27" s="267"/>
      <c r="N27" s="262"/>
      <c r="O27" s="263"/>
      <c r="P27" s="263"/>
      <c r="Q27" s="264"/>
      <c r="R27" s="5"/>
    </row>
    <row r="28" spans="1:19" ht="15.6" x14ac:dyDescent="0.3">
      <c r="A28" s="265"/>
      <c r="B28" s="266" t="s">
        <v>10</v>
      </c>
      <c r="C28" s="267"/>
      <c r="D28" s="267" t="s">
        <v>177</v>
      </c>
      <c r="E28" s="267"/>
      <c r="F28" s="267" t="s">
        <v>177</v>
      </c>
      <c r="G28" s="267"/>
      <c r="H28" s="267" t="s">
        <v>177</v>
      </c>
      <c r="I28" s="267"/>
      <c r="J28" s="267" t="s">
        <v>262</v>
      </c>
      <c r="K28" s="267"/>
      <c r="L28" s="267" t="s">
        <v>262</v>
      </c>
      <c r="M28" s="267"/>
      <c r="N28" s="262"/>
      <c r="O28" s="263"/>
      <c r="P28" s="263"/>
      <c r="Q28" s="264"/>
      <c r="R28" s="5"/>
    </row>
    <row r="29" spans="1:19" ht="15.6" x14ac:dyDescent="0.3">
      <c r="A29" s="265"/>
      <c r="B29" s="266" t="s">
        <v>136</v>
      </c>
      <c r="C29" s="267"/>
      <c r="D29" s="267" t="s">
        <v>177</v>
      </c>
      <c r="E29" s="267"/>
      <c r="F29" s="267" t="s">
        <v>177</v>
      </c>
      <c r="G29" s="267"/>
      <c r="H29" s="267" t="s">
        <v>177</v>
      </c>
      <c r="I29" s="267"/>
      <c r="J29" s="267" t="s">
        <v>292</v>
      </c>
      <c r="K29" s="267"/>
      <c r="L29" s="267" t="s">
        <v>292</v>
      </c>
      <c r="M29" s="267"/>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179513.14499999999</v>
      </c>
      <c r="E34" s="271"/>
      <c r="F34" s="272">
        <f>+F33*F40</f>
        <v>87736.44</v>
      </c>
      <c r="G34" s="271"/>
      <c r="H34" s="273">
        <f>+H33*H40</f>
        <v>199471.80000000002</v>
      </c>
      <c r="I34" s="271"/>
      <c r="J34" s="270">
        <f>J33*J40</f>
        <v>74066.58600000001</v>
      </c>
      <c r="K34" s="271"/>
      <c r="L34" s="273">
        <f>L33*L40</f>
        <v>58355.472499999996</v>
      </c>
      <c r="M34" s="271"/>
      <c r="N34" s="271"/>
      <c r="O34" s="274"/>
      <c r="P34" s="271"/>
      <c r="Q34" s="275"/>
      <c r="R34" s="5"/>
    </row>
    <row r="35" spans="1:19" ht="15.6" x14ac:dyDescent="0.3">
      <c r="A35" s="265"/>
      <c r="B35" s="266" t="s">
        <v>158</v>
      </c>
      <c r="C35" s="276"/>
      <c r="D35" s="277">
        <f>+D33*D39</f>
        <v>178601.08499999999</v>
      </c>
      <c r="E35" s="278"/>
      <c r="F35" s="279">
        <f>+F33*F39</f>
        <v>87290.676000000007</v>
      </c>
      <c r="G35" s="278"/>
      <c r="H35" s="280">
        <f>+H33*H39</f>
        <v>198458.35</v>
      </c>
      <c r="I35" s="278"/>
      <c r="J35" s="277">
        <f>J33*J39</f>
        <v>73690.278749999998</v>
      </c>
      <c r="K35" s="278"/>
      <c r="L35" s="280">
        <f>L33*L39</f>
        <v>58058.981500000002</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100906.77065767285</v>
      </c>
      <c r="E37" s="271"/>
      <c r="F37" s="271">
        <f>+F34</f>
        <v>87736.44</v>
      </c>
      <c r="G37" s="271"/>
      <c r="H37" s="271">
        <f>+H34/1.481481</f>
        <v>134643.50875914036</v>
      </c>
      <c r="I37" s="271"/>
      <c r="J37" s="271">
        <f>J36*J40</f>
        <v>41633.501323199998</v>
      </c>
      <c r="K37" s="271"/>
      <c r="L37" s="271">
        <f>L36*L40</f>
        <v>39389.9439375</v>
      </c>
      <c r="M37" s="271"/>
      <c r="N37" s="271"/>
      <c r="O37" s="274"/>
      <c r="P37" s="271">
        <f>SUM(C37:L37)</f>
        <v>404310.16467751324</v>
      </c>
      <c r="Q37" s="275"/>
      <c r="R37" s="5"/>
      <c r="S37" s="154"/>
    </row>
    <row r="38" spans="1:19" ht="15.6" x14ac:dyDescent="0.3">
      <c r="A38" s="265"/>
      <c r="B38" s="266" t="s">
        <v>281</v>
      </c>
      <c r="C38" s="276"/>
      <c r="D38" s="278">
        <f>D35/1.779</f>
        <v>100394.08937605396</v>
      </c>
      <c r="E38" s="278"/>
      <c r="F38" s="278">
        <f>+F35</f>
        <v>87290.676000000007</v>
      </c>
      <c r="G38" s="278"/>
      <c r="H38" s="278">
        <f>H35/1.481481</f>
        <v>133959.42978681467</v>
      </c>
      <c r="I38" s="278"/>
      <c r="J38" s="278">
        <f>J36*J39</f>
        <v>41421.975597000004</v>
      </c>
      <c r="K38" s="278"/>
      <c r="L38" s="278">
        <f>L36*L39</f>
        <v>39189.812512500001</v>
      </c>
      <c r="M38" s="278"/>
      <c r="N38" s="278"/>
      <c r="O38" s="281"/>
      <c r="P38" s="278">
        <f>SUM(D38:L38)</f>
        <v>402255.98327236861</v>
      </c>
      <c r="Q38" s="275"/>
      <c r="R38" s="5"/>
      <c r="S38" s="176"/>
    </row>
    <row r="39" spans="1:19" ht="15.6" x14ac:dyDescent="0.3">
      <c r="A39" s="265"/>
      <c r="B39" s="282" t="s">
        <v>154</v>
      </c>
      <c r="C39" s="283"/>
      <c r="D39" s="284">
        <v>0.3968913</v>
      </c>
      <c r="E39" s="284"/>
      <c r="F39" s="284">
        <v>0.39677580000000001</v>
      </c>
      <c r="G39" s="284"/>
      <c r="H39" s="284">
        <v>0.39691670000000001</v>
      </c>
      <c r="I39" s="284"/>
      <c r="J39" s="284">
        <v>0.89321550000000005</v>
      </c>
      <c r="K39" s="284"/>
      <c r="L39" s="284">
        <v>0.89321510000000004</v>
      </c>
      <c r="M39" s="285"/>
      <c r="N39" s="285"/>
      <c r="O39" s="286"/>
      <c r="P39" s="285"/>
      <c r="Q39" s="287"/>
      <c r="R39" s="5"/>
    </row>
    <row r="40" spans="1:19" ht="15.6" x14ac:dyDescent="0.3">
      <c r="A40" s="265"/>
      <c r="B40" s="282" t="s">
        <v>155</v>
      </c>
      <c r="C40" s="283"/>
      <c r="D40" s="284">
        <v>0.3989181</v>
      </c>
      <c r="E40" s="284"/>
      <c r="F40" s="284">
        <v>0.39880199999999999</v>
      </c>
      <c r="G40" s="284"/>
      <c r="H40" s="284">
        <v>0.39894360000000001</v>
      </c>
      <c r="I40" s="284"/>
      <c r="J40" s="284">
        <v>0.89777680000000004</v>
      </c>
      <c r="K40" s="284"/>
      <c r="L40" s="284">
        <v>0.89777649999999998</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7.0562999999999997E-3</v>
      </c>
      <c r="E42" s="290"/>
      <c r="F42" s="289">
        <v>1.1575E-2</v>
      </c>
      <c r="G42" s="290"/>
      <c r="H42" s="289">
        <v>1.47E-2</v>
      </c>
      <c r="I42" s="290"/>
      <c r="J42" s="289">
        <v>1.7856299999999999E-2</v>
      </c>
      <c r="K42" s="290"/>
      <c r="L42" s="289">
        <v>2.5499999999999998E-2</v>
      </c>
      <c r="M42" s="290"/>
      <c r="N42" s="289"/>
      <c r="O42" s="263"/>
      <c r="P42" s="290"/>
      <c r="Q42" s="264"/>
      <c r="R42" s="5"/>
    </row>
    <row r="43" spans="1:19" ht="15.6" x14ac:dyDescent="0.3">
      <c r="A43" s="260"/>
      <c r="B43" s="261" t="s">
        <v>14</v>
      </c>
      <c r="C43" s="261"/>
      <c r="D43" s="289">
        <v>7.9625000000000008E-3</v>
      </c>
      <c r="E43" s="290"/>
      <c r="F43" s="289">
        <v>1.15E-2</v>
      </c>
      <c r="G43" s="290"/>
      <c r="H43" s="289">
        <v>1.319E-2</v>
      </c>
      <c r="I43" s="290"/>
      <c r="J43" s="289">
        <v>1.8762500000000001E-2</v>
      </c>
      <c r="K43" s="290"/>
      <c r="L43" s="289">
        <v>2.3990000000000001E-2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1.3465E-2</v>
      </c>
      <c r="E45" s="290"/>
      <c r="F45" s="289">
        <f>+F42</f>
        <v>1.1575E-2</v>
      </c>
      <c r="G45" s="290"/>
      <c r="H45" s="289">
        <v>1.3225000000000001E-2</v>
      </c>
      <c r="I45" s="290"/>
      <c r="J45" s="289">
        <v>2.5725000000000001E-2</v>
      </c>
      <c r="K45" s="290"/>
      <c r="L45" s="289">
        <v>2.5725000000000001E-2</v>
      </c>
      <c r="M45" s="290"/>
      <c r="N45" s="289"/>
      <c r="O45" s="263"/>
      <c r="P45" s="290">
        <f>SUMPRODUCT(D45:L45,D37:L37)/P37</f>
        <v>1.543183436299027E-2</v>
      </c>
      <c r="Q45" s="264"/>
      <c r="R45" s="5"/>
    </row>
    <row r="46" spans="1:19" ht="15.6" x14ac:dyDescent="0.3">
      <c r="A46" s="260"/>
      <c r="B46" s="261" t="s">
        <v>283</v>
      </c>
      <c r="C46" s="261"/>
      <c r="D46" s="289">
        <v>1.3390000000000001E-2</v>
      </c>
      <c r="E46" s="290"/>
      <c r="F46" s="289">
        <f>+F43</f>
        <v>1.15E-2</v>
      </c>
      <c r="G46" s="290"/>
      <c r="H46" s="289">
        <v>1.315E-2</v>
      </c>
      <c r="I46" s="290"/>
      <c r="J46" s="289">
        <v>2.5649999999999999E-2</v>
      </c>
      <c r="K46" s="290"/>
      <c r="L46" s="289">
        <v>2.5649999999999999E-2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0.25062410365802246</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40589</v>
      </c>
      <c r="Q57" s="264"/>
      <c r="R57" s="5"/>
    </row>
    <row r="58" spans="1:18" ht="15.6" x14ac:dyDescent="0.3">
      <c r="A58" s="260"/>
      <c r="B58" s="261" t="s">
        <v>142</v>
      </c>
      <c r="C58" s="261"/>
      <c r="D58" s="261"/>
      <c r="E58" s="261"/>
      <c r="F58" s="297"/>
      <c r="G58" s="297"/>
      <c r="H58" s="297"/>
      <c r="I58" s="297"/>
      <c r="J58" s="297"/>
      <c r="K58" s="297"/>
      <c r="L58" s="261">
        <f>+P58-N58+1</f>
        <v>91</v>
      </c>
      <c r="M58" s="297"/>
      <c r="N58" s="298">
        <v>40406</v>
      </c>
      <c r="O58" s="299"/>
      <c r="P58" s="298">
        <v>40496</v>
      </c>
      <c r="Q58" s="264"/>
      <c r="R58" s="5"/>
    </row>
    <row r="59" spans="1:18" ht="15.6" x14ac:dyDescent="0.3">
      <c r="A59" s="260"/>
      <c r="B59" s="261" t="s">
        <v>143</v>
      </c>
      <c r="C59" s="261"/>
      <c r="D59" s="261"/>
      <c r="E59" s="261"/>
      <c r="F59" s="261"/>
      <c r="G59" s="261"/>
      <c r="H59" s="261"/>
      <c r="I59" s="261"/>
      <c r="J59" s="261"/>
      <c r="K59" s="261"/>
      <c r="L59" s="261">
        <f>+P59-N59+1</f>
        <v>92</v>
      </c>
      <c r="M59" s="261"/>
      <c r="N59" s="298">
        <v>40497</v>
      </c>
      <c r="O59" s="299"/>
      <c r="P59" s="298">
        <v>40588</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40575</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293</v>
      </c>
      <c r="C65" s="240"/>
      <c r="D65" s="240"/>
      <c r="E65" s="240"/>
      <c r="F65" s="240"/>
      <c r="G65" s="240"/>
      <c r="H65" s="240"/>
      <c r="I65" s="240"/>
      <c r="J65" s="240"/>
      <c r="K65" s="240"/>
      <c r="L65" s="240"/>
      <c r="M65" s="240"/>
      <c r="N65" s="240"/>
      <c r="O65" s="240"/>
      <c r="P65" s="241"/>
      <c r="Q65" s="242"/>
      <c r="R65" s="5"/>
    </row>
    <row r="66" spans="1:18" ht="15.6" x14ac:dyDescent="0.3">
      <c r="A66" s="389"/>
      <c r="B66" s="317"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404310</v>
      </c>
      <c r="I69" s="330"/>
      <c r="J69" s="330">
        <f>2054+207+7</f>
        <v>2268</v>
      </c>
      <c r="K69" s="330"/>
      <c r="L69" s="330">
        <f>207+7</f>
        <v>214</v>
      </c>
      <c r="M69" s="330"/>
      <c r="N69" s="330">
        <v>0</v>
      </c>
      <c r="O69" s="330"/>
      <c r="P69" s="331">
        <f>+H69-J69+L69-N69</f>
        <v>402256</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404310</v>
      </c>
      <c r="I72" s="330"/>
      <c r="J72" s="330">
        <f>SUM(J69:J71)</f>
        <v>2268</v>
      </c>
      <c r="K72" s="330"/>
      <c r="L72" s="330">
        <f>SUM(L69:L71)</f>
        <v>214</v>
      </c>
      <c r="M72" s="330"/>
      <c r="N72" s="330">
        <f>SUM(N69:N71)</f>
        <v>0</v>
      </c>
      <c r="O72" s="330"/>
      <c r="P72" s="330">
        <f>SUM(P69:P71)</f>
        <v>402256</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+N129</f>
        <v>0</v>
      </c>
      <c r="Q85" s="264"/>
      <c r="R85" s="5"/>
    </row>
    <row r="86" spans="1:18" ht="15.6" x14ac:dyDescent="0.3">
      <c r="A86" s="260"/>
      <c r="B86" s="261" t="s">
        <v>30</v>
      </c>
      <c r="C86" s="330"/>
      <c r="D86" s="330"/>
      <c r="E86" s="330"/>
      <c r="F86" s="330">
        <f>SUM(F72:F85)</f>
        <v>900700</v>
      </c>
      <c r="G86" s="330"/>
      <c r="H86" s="330">
        <f>SUM(H72:H85)</f>
        <v>404310</v>
      </c>
      <c r="I86" s="330"/>
      <c r="J86" s="330">
        <f>SUM(J72:J85)</f>
        <v>2268</v>
      </c>
      <c r="K86" s="330"/>
      <c r="L86" s="330">
        <f>SUM(L72:L85)</f>
        <v>214</v>
      </c>
      <c r="M86" s="330"/>
      <c r="N86" s="330"/>
      <c r="O86" s="330"/>
      <c r="P86" s="330">
        <f>SUM(P72:P85)</f>
        <v>402256</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17" t="s">
        <v>31</v>
      </c>
      <c r="C89" s="317"/>
      <c r="D89" s="317"/>
      <c r="E89" s="317"/>
      <c r="F89" s="387" t="s">
        <v>106</v>
      </c>
      <c r="G89" s="318"/>
      <c r="H89" s="388">
        <v>40574</v>
      </c>
      <c r="I89" s="318"/>
      <c r="J89" s="318"/>
      <c r="K89" s="318"/>
      <c r="L89" s="318"/>
      <c r="M89" s="318"/>
      <c r="N89" s="318" t="s">
        <v>119</v>
      </c>
      <c r="O89" s="318"/>
      <c r="P89" s="318"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2268-239</f>
        <v>2029</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3226+152-698-38+39</f>
        <v>2681</v>
      </c>
      <c r="Q92" s="264"/>
      <c r="R92" s="5"/>
    </row>
    <row r="93" spans="1:18" ht="15.6" x14ac:dyDescent="0.3">
      <c r="A93" s="260"/>
      <c r="B93" s="261" t="s">
        <v>249</v>
      </c>
      <c r="C93" s="261"/>
      <c r="D93" s="261"/>
      <c r="E93" s="261"/>
      <c r="F93" s="292"/>
      <c r="G93" s="332"/>
      <c r="H93" s="333"/>
      <c r="I93" s="261"/>
      <c r="J93" s="261"/>
      <c r="K93" s="261"/>
      <c r="L93" s="261"/>
      <c r="M93" s="261"/>
      <c r="N93" s="330"/>
      <c r="O93" s="261"/>
      <c r="P93" s="331">
        <f>59</f>
        <v>59</v>
      </c>
      <c r="Q93" s="264"/>
      <c r="R93" s="5"/>
    </row>
    <row r="94" spans="1:18" ht="15.6" x14ac:dyDescent="0.3">
      <c r="A94" s="260"/>
      <c r="B94" s="261" t="s">
        <v>250</v>
      </c>
      <c r="C94" s="261"/>
      <c r="D94" s="261"/>
      <c r="E94" s="261"/>
      <c r="F94" s="292"/>
      <c r="G94" s="332"/>
      <c r="H94" s="333"/>
      <c r="I94" s="261"/>
      <c r="J94" s="261"/>
      <c r="K94" s="261"/>
      <c r="L94" s="261"/>
      <c r="M94" s="261"/>
      <c r="N94" s="330"/>
      <c r="O94" s="261"/>
      <c r="P94" s="331">
        <v>36</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201</v>
      </c>
      <c r="Q97" s="264"/>
      <c r="R97" s="5"/>
    </row>
    <row r="98" spans="1:19" ht="15.6" x14ac:dyDescent="0.3">
      <c r="A98" s="260"/>
      <c r="B98" s="261" t="s">
        <v>35</v>
      </c>
      <c r="C98" s="261"/>
      <c r="D98" s="261"/>
      <c r="E98" s="261"/>
      <c r="F98" s="261"/>
      <c r="G98" s="261"/>
      <c r="H98" s="261"/>
      <c r="I98" s="261"/>
      <c r="J98" s="261"/>
      <c r="K98" s="261"/>
      <c r="L98" s="261"/>
      <c r="M98" s="261"/>
      <c r="N98" s="330">
        <f>SUM(N90:N97)</f>
        <v>2029</v>
      </c>
      <c r="O98" s="261"/>
      <c r="P98" s="330">
        <f>SUM(P90:P97)</f>
        <v>2977</v>
      </c>
      <c r="Q98" s="264"/>
      <c r="R98" s="5"/>
    </row>
    <row r="99" spans="1:19" ht="15.6" x14ac:dyDescent="0.3">
      <c r="A99" s="260"/>
      <c r="B99" s="261" t="s">
        <v>237</v>
      </c>
      <c r="C99" s="261"/>
      <c r="D99" s="261"/>
      <c r="E99" s="261"/>
      <c r="F99" s="261"/>
      <c r="G99" s="261"/>
      <c r="H99" s="261"/>
      <c r="I99" s="261"/>
      <c r="J99" s="261"/>
      <c r="K99" s="261"/>
      <c r="L99" s="261"/>
      <c r="M99" s="261"/>
      <c r="N99" s="330">
        <v>-1</v>
      </c>
      <c r="O99" s="261"/>
      <c r="P99" s="330">
        <f>-N99</f>
        <v>1</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106</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2028</v>
      </c>
      <c r="O102" s="261"/>
      <c r="P102" s="330">
        <f>P98+P100+P99+P101</f>
        <v>3084</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40</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226</v>
      </c>
      <c r="C106" s="261"/>
      <c r="D106" s="261"/>
      <c r="E106" s="261"/>
      <c r="F106" s="261"/>
      <c r="G106" s="261"/>
      <c r="H106" s="261"/>
      <c r="I106" s="261"/>
      <c r="J106" s="261"/>
      <c r="K106" s="261"/>
      <c r="L106" s="261"/>
      <c r="M106" s="261"/>
      <c r="N106" s="261"/>
      <c r="O106" s="261"/>
      <c r="P106" s="331">
        <f>-102-168-5</f>
        <v>-275</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-129</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-342</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-256</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-449</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-270</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-255</v>
      </c>
      <c r="Q112" s="264"/>
      <c r="R112" s="5"/>
      <c r="S112" s="109"/>
    </row>
    <row r="113" spans="1:18" ht="15.6" x14ac:dyDescent="0.3">
      <c r="A113" s="339">
        <v>6</v>
      </c>
      <c r="B113" s="261" t="s">
        <v>41</v>
      </c>
      <c r="C113" s="261"/>
      <c r="D113" s="261"/>
      <c r="E113" s="261"/>
      <c r="F113" s="261"/>
      <c r="G113" s="261"/>
      <c r="H113" s="261"/>
      <c r="I113" s="261"/>
      <c r="J113" s="261"/>
      <c r="K113" s="261"/>
      <c r="L113" s="261"/>
      <c r="M113" s="261"/>
      <c r="N113" s="261"/>
      <c r="O113" s="261"/>
      <c r="P113" s="331">
        <v>-10</v>
      </c>
      <c r="Q113" s="264"/>
      <c r="R113" s="5"/>
    </row>
    <row r="114" spans="1:18" ht="15.6" x14ac:dyDescent="0.3">
      <c r="A114" s="339">
        <f t="shared" ref="A114:A119" si="0">+A113+1</f>
        <v>7</v>
      </c>
      <c r="B114" s="261" t="s">
        <v>53</v>
      </c>
      <c r="C114" s="261"/>
      <c r="D114" s="261"/>
      <c r="E114" s="261"/>
      <c r="F114" s="261"/>
      <c r="G114" s="261"/>
      <c r="H114" s="261"/>
      <c r="I114" s="261"/>
      <c r="J114" s="261"/>
      <c r="K114" s="261"/>
      <c r="L114" s="261"/>
      <c r="M114" s="261"/>
      <c r="N114" s="330">
        <f>-P114</f>
        <v>239</v>
      </c>
      <c r="O114" s="261"/>
      <c r="P114" s="331">
        <v>-239</v>
      </c>
      <c r="Q114" s="264"/>
      <c r="R114" s="5"/>
    </row>
    <row r="115" spans="1:18" ht="15.6" x14ac:dyDescent="0.3">
      <c r="A115" s="339">
        <f t="shared" si="0"/>
        <v>8</v>
      </c>
      <c r="B115" s="261" t="s">
        <v>149</v>
      </c>
      <c r="C115" s="261"/>
      <c r="D115" s="261"/>
      <c r="E115" s="261"/>
      <c r="F115" s="261"/>
      <c r="G115" s="261"/>
      <c r="H115" s="261"/>
      <c r="I115" s="261"/>
      <c r="J115" s="261"/>
      <c r="K115" s="261"/>
      <c r="L115" s="261"/>
      <c r="M115" s="261"/>
      <c r="N115" s="261"/>
      <c r="O115" s="261"/>
      <c r="P115" s="331">
        <v>0</v>
      </c>
      <c r="Q115" s="264"/>
      <c r="R115" s="5"/>
    </row>
    <row r="116" spans="1:18" ht="15.6" x14ac:dyDescent="0.3">
      <c r="A116" s="339">
        <f t="shared" si="0"/>
        <v>9</v>
      </c>
      <c r="B116" s="261" t="s">
        <v>42</v>
      </c>
      <c r="C116" s="261"/>
      <c r="D116" s="261"/>
      <c r="E116" s="261"/>
      <c r="F116" s="261"/>
      <c r="G116" s="261"/>
      <c r="H116" s="261"/>
      <c r="I116" s="261"/>
      <c r="J116" s="261"/>
      <c r="K116" s="261"/>
      <c r="L116" s="261"/>
      <c r="M116" s="261"/>
      <c r="N116" s="261"/>
      <c r="O116" s="261"/>
      <c r="P116" s="331">
        <v>0</v>
      </c>
      <c r="Q116" s="264"/>
      <c r="R116" s="5"/>
    </row>
    <row r="117" spans="1:18" ht="15.6" x14ac:dyDescent="0.3">
      <c r="A117" s="339">
        <f t="shared" si="0"/>
        <v>10</v>
      </c>
      <c r="B117" s="261" t="s">
        <v>43</v>
      </c>
      <c r="C117" s="261"/>
      <c r="D117" s="261"/>
      <c r="E117" s="261"/>
      <c r="F117" s="261"/>
      <c r="G117" s="261"/>
      <c r="H117" s="261"/>
      <c r="I117" s="261"/>
      <c r="J117" s="261"/>
      <c r="K117" s="261"/>
      <c r="L117" s="261"/>
      <c r="M117" s="261"/>
      <c r="N117" s="261"/>
      <c r="O117" s="261"/>
      <c r="P117" s="331">
        <v>0</v>
      </c>
      <c r="Q117" s="264"/>
      <c r="R117" s="5"/>
    </row>
    <row r="118" spans="1:18" ht="15.6" x14ac:dyDescent="0.3">
      <c r="A118" s="339">
        <f t="shared" si="0"/>
        <v>11</v>
      </c>
      <c r="B118" s="261" t="s">
        <v>215</v>
      </c>
      <c r="C118" s="261"/>
      <c r="D118" s="261"/>
      <c r="E118" s="261"/>
      <c r="F118" s="261"/>
      <c r="G118" s="261"/>
      <c r="H118" s="261"/>
      <c r="I118" s="261"/>
      <c r="J118" s="261"/>
      <c r="K118" s="261"/>
      <c r="L118" s="261"/>
      <c r="M118" s="261"/>
      <c r="N118" s="261"/>
      <c r="O118" s="261"/>
      <c r="P118" s="331">
        <v>-207</v>
      </c>
      <c r="Q118" s="264"/>
      <c r="R118" s="5"/>
    </row>
    <row r="119" spans="1:18" ht="15.6" x14ac:dyDescent="0.3">
      <c r="A119" s="339">
        <f t="shared" si="0"/>
        <v>12</v>
      </c>
      <c r="B119" s="261" t="s">
        <v>150</v>
      </c>
      <c r="C119" s="261"/>
      <c r="D119" s="261"/>
      <c r="E119" s="261"/>
      <c r="F119" s="261"/>
      <c r="G119" s="261"/>
      <c r="H119" s="261"/>
      <c r="I119" s="261"/>
      <c r="J119" s="261"/>
      <c r="K119" s="261"/>
      <c r="L119" s="261"/>
      <c r="M119" s="261"/>
      <c r="N119" s="261"/>
      <c r="O119" s="261"/>
      <c r="P119" s="331">
        <f>-P102-SUM(P104:P118)</f>
        <v>-650</v>
      </c>
      <c r="Q119" s="264"/>
      <c r="R119" s="5"/>
    </row>
    <row r="120" spans="1:18" ht="15.6" x14ac:dyDescent="0.3">
      <c r="A120" s="260"/>
      <c r="B120" s="334" t="s">
        <v>44</v>
      </c>
      <c r="C120" s="335"/>
      <c r="D120" s="335"/>
      <c r="E120" s="335"/>
      <c r="F120" s="335"/>
      <c r="G120" s="335"/>
      <c r="H120" s="335"/>
      <c r="I120" s="335"/>
      <c r="J120" s="335"/>
      <c r="K120" s="335"/>
      <c r="L120" s="335"/>
      <c r="M120" s="335"/>
      <c r="N120" s="335"/>
      <c r="O120" s="335"/>
      <c r="P120" s="340"/>
      <c r="Q120" s="338"/>
      <c r="R120" s="5"/>
    </row>
    <row r="121" spans="1:18" ht="15.6" x14ac:dyDescent="0.3">
      <c r="A121" s="339"/>
      <c r="B121" s="261" t="s">
        <v>45</v>
      </c>
      <c r="C121" s="261"/>
      <c r="D121" s="261"/>
      <c r="E121" s="261"/>
      <c r="F121" s="261"/>
      <c r="G121" s="261"/>
      <c r="H121" s="261"/>
      <c r="I121" s="261"/>
      <c r="J121" s="261"/>
      <c r="K121" s="261"/>
      <c r="L121" s="261"/>
      <c r="M121" s="261"/>
      <c r="N121" s="330">
        <v>0</v>
      </c>
      <c r="O121" s="330"/>
      <c r="P121" s="331"/>
      <c r="Q121" s="264"/>
      <c r="R121" s="5"/>
    </row>
    <row r="122" spans="1:18" ht="15.6" x14ac:dyDescent="0.3">
      <c r="A122" s="339"/>
      <c r="B122" s="261" t="s">
        <v>46</v>
      </c>
      <c r="C122" s="261"/>
      <c r="D122" s="261"/>
      <c r="E122" s="261"/>
      <c r="F122" s="261"/>
      <c r="G122" s="261"/>
      <c r="H122" s="261"/>
      <c r="I122" s="261"/>
      <c r="J122" s="261"/>
      <c r="K122" s="261"/>
      <c r="L122" s="261"/>
      <c r="M122" s="261"/>
      <c r="N122" s="330">
        <f>-M171</f>
        <v>-213</v>
      </c>
      <c r="O122" s="330"/>
      <c r="P122" s="331"/>
      <c r="Q122" s="264"/>
      <c r="R122" s="5"/>
    </row>
    <row r="123" spans="1:18" ht="15.6" x14ac:dyDescent="0.3">
      <c r="A123" s="339"/>
      <c r="B123" s="261" t="s">
        <v>199</v>
      </c>
      <c r="C123" s="261"/>
      <c r="D123" s="261"/>
      <c r="E123" s="261"/>
      <c r="F123" s="261"/>
      <c r="G123" s="261"/>
      <c r="H123" s="261"/>
      <c r="I123" s="261"/>
      <c r="J123" s="261"/>
      <c r="K123" s="261"/>
      <c r="L123" s="261"/>
      <c r="M123" s="261"/>
      <c r="N123" s="330">
        <v>-513</v>
      </c>
      <c r="O123" s="330"/>
      <c r="P123" s="331"/>
      <c r="Q123" s="264"/>
      <c r="R123" s="5"/>
    </row>
    <row r="124" spans="1:18" ht="15.6" x14ac:dyDescent="0.3">
      <c r="A124" s="339"/>
      <c r="B124" s="261" t="s">
        <v>200</v>
      </c>
      <c r="C124" s="261"/>
      <c r="D124" s="261"/>
      <c r="E124" s="261"/>
      <c r="F124" s="261"/>
      <c r="G124" s="261"/>
      <c r="H124" s="261"/>
      <c r="I124" s="261"/>
      <c r="J124" s="261"/>
      <c r="K124" s="261"/>
      <c r="L124" s="261"/>
      <c r="M124" s="261"/>
      <c r="N124" s="330">
        <v>-446</v>
      </c>
      <c r="O124" s="330"/>
      <c r="P124" s="331"/>
      <c r="Q124" s="264"/>
      <c r="R124" s="5"/>
    </row>
    <row r="125" spans="1:18" ht="15.6" x14ac:dyDescent="0.3">
      <c r="A125" s="339"/>
      <c r="B125" s="261" t="s">
        <v>201</v>
      </c>
      <c r="C125" s="261"/>
      <c r="D125" s="261"/>
      <c r="E125" s="261"/>
      <c r="F125" s="261"/>
      <c r="G125" s="261"/>
      <c r="H125" s="261"/>
      <c r="I125" s="261"/>
      <c r="J125" s="261"/>
      <c r="K125" s="261"/>
      <c r="L125" s="261"/>
      <c r="M125" s="261"/>
      <c r="N125" s="330">
        <v>-684</v>
      </c>
      <c r="O125" s="330"/>
      <c r="P125" s="331"/>
      <c r="Q125" s="264"/>
      <c r="R125" s="5"/>
    </row>
    <row r="126" spans="1:18" ht="15.6" x14ac:dyDescent="0.3">
      <c r="A126" s="339"/>
      <c r="B126" s="261" t="s">
        <v>159</v>
      </c>
      <c r="C126" s="261"/>
      <c r="D126" s="261"/>
      <c r="E126" s="261"/>
      <c r="F126" s="261"/>
      <c r="G126" s="261"/>
      <c r="H126" s="261"/>
      <c r="I126" s="261"/>
      <c r="J126" s="261"/>
      <c r="K126" s="261"/>
      <c r="L126" s="261"/>
      <c r="M126" s="261"/>
      <c r="N126" s="330">
        <v>-211</v>
      </c>
      <c r="O126" s="330"/>
      <c r="P126" s="331"/>
      <c r="Q126" s="264"/>
      <c r="R126" s="5"/>
    </row>
    <row r="127" spans="1:18" ht="15.6" x14ac:dyDescent="0.3">
      <c r="A127" s="339"/>
      <c r="B127" s="261" t="s">
        <v>214</v>
      </c>
      <c r="C127" s="261"/>
      <c r="D127" s="261"/>
      <c r="E127" s="261"/>
      <c r="F127" s="261"/>
      <c r="G127" s="261"/>
      <c r="H127" s="261"/>
      <c r="I127" s="261"/>
      <c r="J127" s="261"/>
      <c r="K127" s="261"/>
      <c r="L127" s="261"/>
      <c r="M127" s="261"/>
      <c r="N127" s="330">
        <v>-200</v>
      </c>
      <c r="O127" s="330"/>
      <c r="P127" s="331"/>
      <c r="Q127" s="264"/>
      <c r="R127" s="5"/>
    </row>
    <row r="128" spans="1:18" ht="15.6" x14ac:dyDescent="0.3">
      <c r="A128" s="339"/>
      <c r="B128" s="261" t="s">
        <v>47</v>
      </c>
      <c r="C128" s="261"/>
      <c r="D128" s="261"/>
      <c r="E128" s="261"/>
      <c r="F128" s="261"/>
      <c r="G128" s="261"/>
      <c r="H128" s="261"/>
      <c r="I128" s="261"/>
      <c r="J128" s="261"/>
      <c r="K128" s="261"/>
      <c r="L128" s="261"/>
      <c r="M128" s="261"/>
      <c r="N128" s="330">
        <f>SUM(N121:N127)</f>
        <v>-2267</v>
      </c>
      <c r="O128" s="330"/>
      <c r="P128" s="330">
        <f>SUM(P103:P127)</f>
        <v>-3084</v>
      </c>
      <c r="Q128" s="264"/>
      <c r="R128" s="5"/>
    </row>
    <row r="129" spans="1:19" ht="15.6" x14ac:dyDescent="0.3">
      <c r="A129" s="339"/>
      <c r="B129" s="261" t="s">
        <v>48</v>
      </c>
      <c r="C129" s="261"/>
      <c r="D129" s="261"/>
      <c r="E129" s="261"/>
      <c r="F129" s="261"/>
      <c r="G129" s="261"/>
      <c r="H129" s="261"/>
      <c r="I129" s="261"/>
      <c r="J129" s="261"/>
      <c r="K129" s="261"/>
      <c r="L129" s="261"/>
      <c r="M129" s="261"/>
      <c r="N129" s="330">
        <f>N102+N128+N114</f>
        <v>0</v>
      </c>
      <c r="O129" s="330"/>
      <c r="P129" s="330">
        <f>P102+P128</f>
        <v>0</v>
      </c>
      <c r="Q129" s="264"/>
      <c r="R129" s="5"/>
    </row>
    <row r="130" spans="1:19" ht="15.6" x14ac:dyDescent="0.3">
      <c r="A130" s="301"/>
      <c r="B130" s="257"/>
      <c r="C130" s="257"/>
      <c r="D130" s="257"/>
      <c r="E130" s="257"/>
      <c r="F130" s="257"/>
      <c r="G130" s="257"/>
      <c r="H130" s="257"/>
      <c r="I130" s="257"/>
      <c r="J130" s="257"/>
      <c r="K130" s="257"/>
      <c r="L130" s="257"/>
      <c r="M130" s="257"/>
      <c r="N130" s="302"/>
      <c r="O130" s="302"/>
      <c r="P130" s="302"/>
      <c r="Q130" s="257"/>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8" thickBot="1" x14ac:dyDescent="0.35">
      <c r="A132" s="303"/>
      <c r="B132" s="239" t="str">
        <f>B65</f>
        <v>PM7 INVESTOR REPORT QUARTER ENDING JANUARY 2011</v>
      </c>
      <c r="C132" s="240"/>
      <c r="D132" s="240"/>
      <c r="E132" s="240"/>
      <c r="F132" s="240"/>
      <c r="G132" s="240"/>
      <c r="H132" s="240"/>
      <c r="I132" s="240"/>
      <c r="J132" s="240"/>
      <c r="K132" s="240"/>
      <c r="L132" s="240"/>
      <c r="M132" s="240"/>
      <c r="N132" s="240"/>
      <c r="O132" s="240"/>
      <c r="P132" s="304"/>
      <c r="Q132" s="242"/>
      <c r="R132" s="5"/>
    </row>
    <row r="133" spans="1:19" ht="15.6" x14ac:dyDescent="0.3">
      <c r="A133" s="323"/>
      <c r="B133" s="327" t="s">
        <v>49</v>
      </c>
      <c r="C133" s="326"/>
      <c r="D133" s="326"/>
      <c r="E133" s="326"/>
      <c r="F133" s="326"/>
      <c r="G133" s="326"/>
      <c r="H133" s="326"/>
      <c r="I133" s="326"/>
      <c r="J133" s="326"/>
      <c r="K133" s="326"/>
      <c r="L133" s="326"/>
      <c r="M133" s="326"/>
      <c r="N133" s="326"/>
      <c r="O133" s="326"/>
      <c r="P133" s="328"/>
      <c r="Q133" s="326"/>
      <c r="R133" s="5"/>
    </row>
    <row r="134" spans="1:19" ht="15.6" x14ac:dyDescent="0.3">
      <c r="A134" s="183"/>
      <c r="B134" s="196"/>
      <c r="C134" s="185"/>
      <c r="D134" s="185"/>
      <c r="E134" s="185"/>
      <c r="F134" s="185"/>
      <c r="G134" s="185"/>
      <c r="H134" s="185"/>
      <c r="I134" s="185"/>
      <c r="J134" s="185"/>
      <c r="K134" s="185"/>
      <c r="L134" s="185"/>
      <c r="M134" s="185"/>
      <c r="N134" s="185"/>
      <c r="O134" s="185"/>
      <c r="P134" s="201"/>
      <c r="Q134" s="185"/>
      <c r="R134" s="5"/>
    </row>
    <row r="135" spans="1:19" ht="15.6" x14ac:dyDescent="0.3">
      <c r="A135" s="183"/>
      <c r="B135" s="209" t="s">
        <v>50</v>
      </c>
      <c r="C135" s="185"/>
      <c r="D135" s="185"/>
      <c r="E135" s="185"/>
      <c r="F135" s="185"/>
      <c r="G135" s="185"/>
      <c r="H135" s="185"/>
      <c r="I135" s="185"/>
      <c r="J135" s="185"/>
      <c r="K135" s="185"/>
      <c r="L135" s="185"/>
      <c r="M135" s="185"/>
      <c r="N135" s="185"/>
      <c r="O135" s="185"/>
      <c r="P135" s="201"/>
      <c r="Q135" s="185"/>
      <c r="R135" s="5"/>
    </row>
    <row r="136" spans="1:19" ht="15.6" x14ac:dyDescent="0.3">
      <c r="A136" s="260"/>
      <c r="B136" s="261" t="s">
        <v>51</v>
      </c>
      <c r="C136" s="261"/>
      <c r="D136" s="261"/>
      <c r="E136" s="261"/>
      <c r="F136" s="261"/>
      <c r="G136" s="261"/>
      <c r="H136" s="261"/>
      <c r="I136" s="261"/>
      <c r="J136" s="261"/>
      <c r="K136" s="261"/>
      <c r="L136" s="261"/>
      <c r="M136" s="261"/>
      <c r="N136" s="261"/>
      <c r="O136" s="261"/>
      <c r="P136" s="331">
        <f>+P36*0.022</f>
        <v>19815.399999999998</v>
      </c>
      <c r="Q136" s="264"/>
      <c r="R136" s="5"/>
    </row>
    <row r="137" spans="1:19" ht="15.6" x14ac:dyDescent="0.3">
      <c r="A137" s="260"/>
      <c r="B137" s="261" t="s">
        <v>52</v>
      </c>
      <c r="C137" s="261"/>
      <c r="D137" s="261"/>
      <c r="E137" s="261"/>
      <c r="F137" s="261"/>
      <c r="G137" s="261"/>
      <c r="H137" s="261"/>
      <c r="I137" s="261"/>
      <c r="J137" s="261"/>
      <c r="K137" s="261"/>
      <c r="L137" s="261"/>
      <c r="M137" s="261"/>
      <c r="N137" s="261"/>
      <c r="O137" s="261"/>
      <c r="P137" s="331">
        <v>19815</v>
      </c>
      <c r="Q137" s="264"/>
      <c r="R137" s="5"/>
    </row>
    <row r="138" spans="1:19" ht="15.6" x14ac:dyDescent="0.3">
      <c r="A138" s="260"/>
      <c r="B138" s="261" t="s">
        <v>161</v>
      </c>
      <c r="C138" s="261"/>
      <c r="D138" s="261"/>
      <c r="E138" s="261"/>
      <c r="F138" s="261"/>
      <c r="G138" s="261"/>
      <c r="H138" s="261"/>
      <c r="I138" s="261"/>
      <c r="J138" s="261"/>
      <c r="K138" s="261"/>
      <c r="L138" s="261"/>
      <c r="M138" s="261"/>
      <c r="N138" s="261"/>
      <c r="O138" s="261"/>
      <c r="P138" s="331">
        <v>0</v>
      </c>
      <c r="Q138" s="264"/>
      <c r="R138" s="5"/>
    </row>
    <row r="139" spans="1:19" ht="15.6" x14ac:dyDescent="0.3">
      <c r="A139" s="260"/>
      <c r="B139" s="261" t="s">
        <v>144</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145</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53</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153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202</v>
      </c>
      <c r="C143" s="261"/>
      <c r="D143" s="261"/>
      <c r="E143" s="261"/>
      <c r="F143" s="261"/>
      <c r="G143" s="261"/>
      <c r="H143" s="261"/>
      <c r="I143" s="261"/>
      <c r="J143" s="261"/>
      <c r="K143" s="261"/>
      <c r="L143" s="261"/>
      <c r="M143" s="261"/>
      <c r="N143" s="261"/>
      <c r="O143" s="261"/>
      <c r="P143" s="331">
        <v>0</v>
      </c>
      <c r="Q143" s="264"/>
      <c r="R143" s="5"/>
      <c r="S143" s="109"/>
    </row>
    <row r="144" spans="1:19" ht="15.6" x14ac:dyDescent="0.3">
      <c r="A144" s="260"/>
      <c r="B144" s="261" t="s">
        <v>54</v>
      </c>
      <c r="C144" s="261"/>
      <c r="D144" s="261"/>
      <c r="E144" s="261"/>
      <c r="F144" s="261"/>
      <c r="G144" s="261"/>
      <c r="H144" s="261"/>
      <c r="I144" s="261"/>
      <c r="J144" s="261"/>
      <c r="K144" s="261"/>
      <c r="L144" s="261"/>
      <c r="M144" s="261"/>
      <c r="N144" s="261"/>
      <c r="O144" s="261"/>
      <c r="P144" s="331">
        <f>SUM(P137:P143)</f>
        <v>19815</v>
      </c>
      <c r="Q144" s="264"/>
      <c r="R144" s="5"/>
    </row>
    <row r="145" spans="1:18" ht="15.6" x14ac:dyDescent="0.3">
      <c r="A145" s="183"/>
      <c r="B145" s="190"/>
      <c r="C145" s="190"/>
      <c r="D145" s="190"/>
      <c r="E145" s="190"/>
      <c r="F145" s="190"/>
      <c r="G145" s="190"/>
      <c r="H145" s="190"/>
      <c r="I145" s="190"/>
      <c r="J145" s="190"/>
      <c r="K145" s="190"/>
      <c r="L145" s="190"/>
      <c r="M145" s="190"/>
      <c r="N145" s="190"/>
      <c r="O145" s="190"/>
      <c r="P145" s="341"/>
      <c r="Q145" s="190"/>
      <c r="R145" s="5"/>
    </row>
    <row r="146" spans="1:18" ht="15.6" x14ac:dyDescent="0.3">
      <c r="A146" s="183"/>
      <c r="B146" s="209" t="s">
        <v>28</v>
      </c>
      <c r="C146" s="185"/>
      <c r="D146" s="185"/>
      <c r="E146" s="185"/>
      <c r="F146" s="185"/>
      <c r="G146" s="185"/>
      <c r="H146" s="185"/>
      <c r="I146" s="185"/>
      <c r="J146" s="185"/>
      <c r="K146" s="185"/>
      <c r="L146" s="185"/>
      <c r="M146" s="185"/>
      <c r="N146" s="185"/>
      <c r="O146" s="185"/>
      <c r="P146" s="201"/>
      <c r="Q146" s="185"/>
      <c r="R146" s="5"/>
    </row>
    <row r="147" spans="1:18" ht="15.6" x14ac:dyDescent="0.3">
      <c r="A147" s="260"/>
      <c r="B147" s="261" t="s">
        <v>55</v>
      </c>
      <c r="C147" s="261"/>
      <c r="D147" s="261"/>
      <c r="E147" s="261"/>
      <c r="F147" s="261"/>
      <c r="G147" s="261"/>
      <c r="H147" s="261"/>
      <c r="I147" s="261"/>
      <c r="J147" s="261"/>
      <c r="K147" s="261"/>
      <c r="L147" s="261"/>
      <c r="M147" s="261"/>
      <c r="N147" s="261"/>
      <c r="O147" s="261"/>
      <c r="P147" s="342" t="s">
        <v>137</v>
      </c>
      <c r="Q147" s="338"/>
      <c r="R147" s="5"/>
    </row>
    <row r="148" spans="1:18" ht="15.6" x14ac:dyDescent="0.3">
      <c r="A148" s="260"/>
      <c r="B148" s="261" t="s">
        <v>56</v>
      </c>
      <c r="C148" s="263"/>
      <c r="D148" s="263"/>
      <c r="E148" s="263"/>
      <c r="F148" s="263"/>
      <c r="G148" s="263"/>
      <c r="H148" s="263"/>
      <c r="I148" s="263"/>
      <c r="J148" s="263"/>
      <c r="K148" s="263"/>
      <c r="L148" s="263"/>
      <c r="M148" s="263"/>
      <c r="N148" s="263"/>
      <c r="O148" s="263"/>
      <c r="P148" s="342" t="s">
        <v>137</v>
      </c>
      <c r="Q148" s="338"/>
      <c r="R148" s="5"/>
    </row>
    <row r="149" spans="1:18" ht="15.6" x14ac:dyDescent="0.3">
      <c r="A149" s="260"/>
      <c r="B149" s="261" t="s">
        <v>57</v>
      </c>
      <c r="C149" s="261"/>
      <c r="D149" s="261"/>
      <c r="E149" s="261"/>
      <c r="F149" s="261"/>
      <c r="G149" s="261"/>
      <c r="H149" s="261"/>
      <c r="I149" s="261"/>
      <c r="J149" s="261"/>
      <c r="K149" s="261"/>
      <c r="L149" s="261"/>
      <c r="M149" s="261"/>
      <c r="N149" s="261"/>
      <c r="O149" s="261"/>
      <c r="P149" s="342" t="s">
        <v>137</v>
      </c>
      <c r="Q149" s="338"/>
      <c r="R149" s="5"/>
    </row>
    <row r="150" spans="1:18" ht="15.6" x14ac:dyDescent="0.3">
      <c r="A150" s="260"/>
      <c r="B150" s="261" t="s">
        <v>58</v>
      </c>
      <c r="C150" s="261"/>
      <c r="D150" s="261"/>
      <c r="E150" s="261"/>
      <c r="F150" s="261"/>
      <c r="G150" s="261"/>
      <c r="H150" s="261"/>
      <c r="I150" s="261"/>
      <c r="J150" s="261"/>
      <c r="K150" s="261"/>
      <c r="L150" s="261"/>
      <c r="M150" s="261"/>
      <c r="N150" s="261"/>
      <c r="O150" s="261"/>
      <c r="P150" s="342" t="s">
        <v>137</v>
      </c>
      <c r="Q150" s="338"/>
      <c r="R150" s="5"/>
    </row>
    <row r="151" spans="1:18" ht="15.6" x14ac:dyDescent="0.3">
      <c r="A151" s="183"/>
      <c r="B151" s="190"/>
      <c r="C151" s="190"/>
      <c r="D151" s="190"/>
      <c r="E151" s="190"/>
      <c r="F151" s="190"/>
      <c r="G151" s="190"/>
      <c r="H151" s="190"/>
      <c r="I151" s="190"/>
      <c r="J151" s="190"/>
      <c r="K151" s="190"/>
      <c r="L151" s="190"/>
      <c r="M151" s="190"/>
      <c r="N151" s="190"/>
      <c r="O151" s="190"/>
      <c r="P151" s="341"/>
      <c r="Q151" s="190"/>
      <c r="R151" s="5"/>
    </row>
    <row r="152" spans="1:18" ht="15.6" x14ac:dyDescent="0.3">
      <c r="A152" s="183"/>
      <c r="B152" s="209" t="s">
        <v>59</v>
      </c>
      <c r="C152" s="185"/>
      <c r="D152" s="185"/>
      <c r="E152" s="185"/>
      <c r="F152" s="185"/>
      <c r="G152" s="185"/>
      <c r="H152" s="185"/>
      <c r="I152" s="185"/>
      <c r="J152" s="185"/>
      <c r="K152" s="185"/>
      <c r="L152" s="185"/>
      <c r="M152" s="185"/>
      <c r="N152" s="185"/>
      <c r="O152" s="185"/>
      <c r="P152" s="210"/>
      <c r="Q152" s="185"/>
      <c r="R152" s="5"/>
    </row>
    <row r="153" spans="1:18" ht="15.6" x14ac:dyDescent="0.3">
      <c r="A153" s="260"/>
      <c r="B153" s="261" t="s">
        <v>60</v>
      </c>
      <c r="C153" s="261"/>
      <c r="D153" s="261"/>
      <c r="E153" s="261"/>
      <c r="F153" s="261"/>
      <c r="G153" s="261"/>
      <c r="H153" s="261"/>
      <c r="I153" s="261"/>
      <c r="J153" s="261"/>
      <c r="K153" s="261"/>
      <c r="L153" s="261"/>
      <c r="M153" s="261"/>
      <c r="N153" s="261"/>
      <c r="O153" s="261"/>
      <c r="P153" s="331">
        <v>0</v>
      </c>
      <c r="Q153" s="264"/>
      <c r="R153" s="5"/>
    </row>
    <row r="154" spans="1:18" ht="15.6" x14ac:dyDescent="0.3">
      <c r="A154" s="260"/>
      <c r="B154" s="261" t="s">
        <v>61</v>
      </c>
      <c r="C154" s="261"/>
      <c r="D154" s="261"/>
      <c r="E154" s="261"/>
      <c r="F154" s="261"/>
      <c r="G154" s="261"/>
      <c r="H154" s="261"/>
      <c r="I154" s="261"/>
      <c r="J154" s="261"/>
      <c r="K154" s="261"/>
      <c r="L154" s="261"/>
      <c r="M154" s="261"/>
      <c r="N154" s="261"/>
      <c r="O154" s="261"/>
      <c r="P154" s="331">
        <f>-P114</f>
        <v>239</v>
      </c>
      <c r="Q154" s="264"/>
      <c r="R154" s="5"/>
    </row>
    <row r="155" spans="1:18" ht="15.6" x14ac:dyDescent="0.3">
      <c r="A155" s="260"/>
      <c r="B155" s="261" t="s">
        <v>62</v>
      </c>
      <c r="C155" s="261"/>
      <c r="D155" s="261"/>
      <c r="E155" s="261"/>
      <c r="F155" s="261"/>
      <c r="G155" s="261"/>
      <c r="H155" s="261"/>
      <c r="I155" s="261"/>
      <c r="J155" s="261"/>
      <c r="K155" s="261"/>
      <c r="L155" s="261"/>
      <c r="M155" s="261"/>
      <c r="N155" s="261"/>
      <c r="O155" s="261"/>
      <c r="P155" s="331">
        <f>P154+P153</f>
        <v>239</v>
      </c>
      <c r="Q155" s="264"/>
      <c r="R155" s="5"/>
    </row>
    <row r="156" spans="1:18" ht="15.6" x14ac:dyDescent="0.3">
      <c r="A156" s="260"/>
      <c r="B156" s="402" t="s">
        <v>297</v>
      </c>
      <c r="C156" s="261"/>
      <c r="D156" s="261"/>
      <c r="E156" s="261"/>
      <c r="F156" s="261"/>
      <c r="G156" s="261"/>
      <c r="H156" s="261"/>
      <c r="I156" s="261"/>
      <c r="J156" s="261"/>
      <c r="K156" s="261"/>
      <c r="L156" s="261"/>
      <c r="M156" s="261"/>
      <c r="N156" s="261"/>
      <c r="O156" s="261"/>
      <c r="P156" s="331">
        <f>P114</f>
        <v>-239</v>
      </c>
      <c r="Q156" s="264"/>
      <c r="R156" s="5"/>
    </row>
    <row r="157" spans="1:18" ht="15.6" x14ac:dyDescent="0.3">
      <c r="A157" s="260"/>
      <c r="B157" s="261" t="s">
        <v>63</v>
      </c>
      <c r="C157" s="261"/>
      <c r="D157" s="261"/>
      <c r="E157" s="261"/>
      <c r="F157" s="261"/>
      <c r="G157" s="261"/>
      <c r="H157" s="261"/>
      <c r="I157" s="261"/>
      <c r="J157" s="261"/>
      <c r="K157" s="261"/>
      <c r="L157" s="261"/>
      <c r="M157" s="261"/>
      <c r="N157" s="261"/>
      <c r="O157" s="261"/>
      <c r="P157" s="331">
        <f>P155+P156</f>
        <v>0</v>
      </c>
      <c r="Q157" s="264"/>
      <c r="R157" s="5"/>
    </row>
    <row r="158" spans="1:18" ht="15.6" x14ac:dyDescent="0.3">
      <c r="A158" s="260"/>
      <c r="B158" s="261" t="s">
        <v>268</v>
      </c>
      <c r="C158" s="261"/>
      <c r="D158" s="261"/>
      <c r="E158" s="261"/>
      <c r="F158" s="261"/>
      <c r="G158" s="261"/>
      <c r="H158" s="261"/>
      <c r="I158" s="261"/>
      <c r="J158" s="261"/>
      <c r="K158" s="261"/>
      <c r="L158" s="261"/>
      <c r="M158" s="261"/>
      <c r="N158" s="261"/>
      <c r="O158" s="261"/>
      <c r="P158" s="331">
        <v>0</v>
      </c>
      <c r="Q158" s="264"/>
      <c r="R158" s="5"/>
    </row>
    <row r="159" spans="1:18" ht="16.2" thickBot="1" x14ac:dyDescent="0.35">
      <c r="A159" s="183"/>
      <c r="B159" s="190"/>
      <c r="C159" s="190"/>
      <c r="D159" s="190"/>
      <c r="E159" s="190"/>
      <c r="F159" s="190"/>
      <c r="G159" s="190"/>
      <c r="H159" s="190"/>
      <c r="I159" s="190"/>
      <c r="J159" s="190"/>
      <c r="K159" s="190"/>
      <c r="L159" s="190"/>
      <c r="M159" s="190"/>
      <c r="N159" s="190"/>
      <c r="O159" s="190"/>
      <c r="P159" s="341"/>
      <c r="Q159" s="190"/>
      <c r="R159" s="5"/>
    </row>
    <row r="160" spans="1:18" ht="15.6" x14ac:dyDescent="0.3">
      <c r="A160" s="180"/>
      <c r="B160" s="181"/>
      <c r="C160" s="181"/>
      <c r="D160" s="181"/>
      <c r="E160" s="181"/>
      <c r="F160" s="181"/>
      <c r="G160" s="181"/>
      <c r="H160" s="181"/>
      <c r="I160" s="181"/>
      <c r="J160" s="181"/>
      <c r="K160" s="181"/>
      <c r="L160" s="181"/>
      <c r="M160" s="181"/>
      <c r="N160" s="181"/>
      <c r="O160" s="181"/>
      <c r="P160" s="200"/>
      <c r="Q160" s="181"/>
      <c r="R160" s="5"/>
    </row>
    <row r="161" spans="1:19" ht="15.6" x14ac:dyDescent="0.3">
      <c r="A161" s="183"/>
      <c r="B161" s="209" t="s">
        <v>64</v>
      </c>
      <c r="C161" s="185"/>
      <c r="D161" s="185"/>
      <c r="E161" s="185"/>
      <c r="F161" s="185"/>
      <c r="G161" s="185"/>
      <c r="H161" s="185"/>
      <c r="I161" s="185"/>
      <c r="J161" s="185"/>
      <c r="K161" s="185"/>
      <c r="L161" s="185"/>
      <c r="M161" s="185"/>
      <c r="N161" s="185"/>
      <c r="O161" s="185"/>
      <c r="P161" s="201"/>
      <c r="Q161" s="185"/>
      <c r="R161" s="5"/>
    </row>
    <row r="162" spans="1:19" ht="15.6" x14ac:dyDescent="0.3">
      <c r="A162" s="183"/>
      <c r="B162" s="196"/>
      <c r="C162" s="185"/>
      <c r="D162" s="185"/>
      <c r="E162" s="185"/>
      <c r="F162" s="185"/>
      <c r="G162" s="185"/>
      <c r="H162" s="185"/>
      <c r="I162" s="185"/>
      <c r="J162" s="185"/>
      <c r="K162" s="185"/>
      <c r="L162" s="185"/>
      <c r="M162" s="185"/>
      <c r="N162" s="185"/>
      <c r="O162" s="185"/>
      <c r="P162" s="201"/>
      <c r="Q162" s="185"/>
      <c r="R162" s="5"/>
    </row>
    <row r="163" spans="1:19" ht="15.6" x14ac:dyDescent="0.3">
      <c r="A163" s="260"/>
      <c r="B163" s="261" t="s">
        <v>221</v>
      </c>
      <c r="C163" s="261"/>
      <c r="D163" s="261"/>
      <c r="E163" s="261"/>
      <c r="F163" s="261"/>
      <c r="G163" s="261"/>
      <c r="H163" s="261"/>
      <c r="I163" s="261"/>
      <c r="J163" s="261"/>
      <c r="K163" s="261"/>
      <c r="L163" s="261"/>
      <c r="M163" s="261"/>
      <c r="N163" s="261"/>
      <c r="O163" s="261"/>
      <c r="P163" s="331">
        <f>P72</f>
        <v>402256</v>
      </c>
      <c r="Q163" s="264"/>
      <c r="R163" s="5"/>
    </row>
    <row r="164" spans="1:19" ht="15.6" x14ac:dyDescent="0.3">
      <c r="A164" s="260"/>
      <c r="B164" s="261" t="s">
        <v>273</v>
      </c>
      <c r="C164" s="261"/>
      <c r="D164" s="261"/>
      <c r="E164" s="261"/>
      <c r="F164" s="261"/>
      <c r="G164" s="261"/>
      <c r="H164" s="261"/>
      <c r="I164" s="261"/>
      <c r="J164" s="261"/>
      <c r="K164" s="261"/>
      <c r="L164" s="261"/>
      <c r="M164" s="261"/>
      <c r="N164" s="261"/>
      <c r="O164" s="261"/>
      <c r="P164" s="331">
        <f>+P85</f>
        <v>0</v>
      </c>
      <c r="Q164" s="264"/>
      <c r="R164" s="5"/>
    </row>
    <row r="165" spans="1:19" ht="15.6" x14ac:dyDescent="0.3">
      <c r="A165" s="260"/>
      <c r="B165" s="261" t="s">
        <v>65</v>
      </c>
      <c r="C165" s="261"/>
      <c r="D165" s="261"/>
      <c r="E165" s="261"/>
      <c r="F165" s="261"/>
      <c r="G165" s="261"/>
      <c r="H165" s="261"/>
      <c r="I165" s="261"/>
      <c r="J165" s="261"/>
      <c r="K165" s="261"/>
      <c r="L165" s="261"/>
      <c r="M165" s="261"/>
      <c r="N165" s="261"/>
      <c r="O165" s="261"/>
      <c r="P165" s="331">
        <f>P38</f>
        <v>402255.98327236861</v>
      </c>
      <c r="Q165" s="264"/>
      <c r="R165" s="5"/>
      <c r="S165" s="109"/>
    </row>
    <row r="166" spans="1:19" ht="16.2" thickBot="1" x14ac:dyDescent="0.35">
      <c r="A166" s="183"/>
      <c r="B166" s="190"/>
      <c r="C166" s="190"/>
      <c r="D166" s="190"/>
      <c r="E166" s="190"/>
      <c r="F166" s="190"/>
      <c r="G166" s="190"/>
      <c r="H166" s="190"/>
      <c r="I166" s="190"/>
      <c r="J166" s="190"/>
      <c r="K166" s="190"/>
      <c r="L166" s="190"/>
      <c r="M166" s="190"/>
      <c r="N166" s="190"/>
      <c r="O166" s="190"/>
      <c r="P166" s="341"/>
      <c r="Q166" s="190"/>
      <c r="R166" s="5"/>
    </row>
    <row r="167" spans="1:19" ht="15.6" x14ac:dyDescent="0.3">
      <c r="A167" s="180"/>
      <c r="B167" s="181"/>
      <c r="C167" s="181"/>
      <c r="D167" s="181"/>
      <c r="E167" s="181"/>
      <c r="F167" s="181"/>
      <c r="G167" s="181"/>
      <c r="H167" s="181"/>
      <c r="I167" s="181"/>
      <c r="J167" s="181"/>
      <c r="K167" s="181"/>
      <c r="L167" s="181"/>
      <c r="M167" s="181"/>
      <c r="N167" s="181"/>
      <c r="O167" s="181"/>
      <c r="P167" s="200"/>
      <c r="Q167" s="181"/>
      <c r="R167" s="5"/>
    </row>
    <row r="168" spans="1:19" ht="15.6" x14ac:dyDescent="0.3">
      <c r="A168" s="183"/>
      <c r="B168" s="209" t="s">
        <v>66</v>
      </c>
      <c r="C168" s="205"/>
      <c r="D168" s="205"/>
      <c r="E168" s="205"/>
      <c r="F168" s="211"/>
      <c r="G168" s="211"/>
      <c r="H168" s="211"/>
      <c r="I168" s="211"/>
      <c r="J168" s="211"/>
      <c r="K168" s="211"/>
      <c r="L168" s="211"/>
      <c r="M168" s="211" t="s">
        <v>112</v>
      </c>
      <c r="N168" s="211" t="s">
        <v>120</v>
      </c>
      <c r="O168" s="187"/>
      <c r="P168" s="212" t="s">
        <v>129</v>
      </c>
      <c r="Q168" s="213"/>
      <c r="R168" s="5"/>
    </row>
    <row r="169" spans="1:19" ht="15.6" x14ac:dyDescent="0.3">
      <c r="A169" s="260"/>
      <c r="B169" s="261" t="s">
        <v>67</v>
      </c>
      <c r="C169" s="261"/>
      <c r="D169" s="261"/>
      <c r="E169" s="261"/>
      <c r="F169" s="261"/>
      <c r="G169" s="261"/>
      <c r="H169" s="261"/>
      <c r="I169" s="261"/>
      <c r="J169" s="261"/>
      <c r="K169" s="261"/>
      <c r="L169" s="261"/>
      <c r="M169" s="331">
        <v>144000</v>
      </c>
      <c r="N169" s="292">
        <v>0</v>
      </c>
      <c r="O169" s="261"/>
      <c r="P169" s="331"/>
      <c r="Q169" s="264"/>
      <c r="R169" s="5"/>
    </row>
    <row r="170" spans="1:19" ht="15.6" x14ac:dyDescent="0.3">
      <c r="A170" s="260"/>
      <c r="B170" s="261" t="s">
        <v>68</v>
      </c>
      <c r="C170" s="261"/>
      <c r="D170" s="261"/>
      <c r="E170" s="261"/>
      <c r="F170" s="261"/>
      <c r="G170" s="261"/>
      <c r="H170" s="261"/>
      <c r="I170" s="261"/>
      <c r="J170" s="261"/>
      <c r="K170" s="261"/>
      <c r="L170" s="261"/>
      <c r="M170" s="331">
        <f>+'Oct 10'!M172</f>
        <v>86780</v>
      </c>
      <c r="N170" s="331">
        <f>+'Oct 10'!N172</f>
        <v>10206</v>
      </c>
      <c r="O170" s="261"/>
      <c r="P170" s="331">
        <f>M170+N170</f>
        <v>96986</v>
      </c>
      <c r="Q170" s="264"/>
      <c r="R170" s="5"/>
    </row>
    <row r="171" spans="1:19" ht="15.6" x14ac:dyDescent="0.3">
      <c r="A171" s="260"/>
      <c r="B171" s="261" t="s">
        <v>69</v>
      </c>
      <c r="C171" s="261"/>
      <c r="D171" s="261"/>
      <c r="E171" s="261"/>
      <c r="F171" s="261"/>
      <c r="G171" s="261"/>
      <c r="H171" s="261"/>
      <c r="I171" s="261"/>
      <c r="J171" s="261"/>
      <c r="K171" s="261"/>
      <c r="L171" s="261"/>
      <c r="M171" s="330">
        <v>213</v>
      </c>
      <c r="N171" s="330">
        <f>-N99-N121</f>
        <v>1</v>
      </c>
      <c r="O171" s="261"/>
      <c r="P171" s="331">
        <f>M171+N171</f>
        <v>214</v>
      </c>
      <c r="Q171" s="264"/>
      <c r="R171" s="5"/>
    </row>
    <row r="172" spans="1:19" ht="15.6" x14ac:dyDescent="0.3">
      <c r="A172" s="260"/>
      <c r="B172" s="261" t="s">
        <v>70</v>
      </c>
      <c r="C172" s="261"/>
      <c r="D172" s="261"/>
      <c r="E172" s="261"/>
      <c r="F172" s="261"/>
      <c r="G172" s="261"/>
      <c r="H172" s="261"/>
      <c r="I172" s="261"/>
      <c r="J172" s="261"/>
      <c r="K172" s="261"/>
      <c r="L172" s="261"/>
      <c r="M172" s="331">
        <f>M170+M171</f>
        <v>86993</v>
      </c>
      <c r="N172" s="331">
        <f>N171+N170</f>
        <v>10207</v>
      </c>
      <c r="O172" s="261"/>
      <c r="P172" s="331">
        <f>M172+N172</f>
        <v>97200</v>
      </c>
      <c r="Q172" s="264"/>
      <c r="R172" s="5"/>
    </row>
    <row r="173" spans="1:19" ht="15.6" x14ac:dyDescent="0.3">
      <c r="A173" s="260"/>
      <c r="B173" s="261" t="s">
        <v>71</v>
      </c>
      <c r="C173" s="261"/>
      <c r="D173" s="261"/>
      <c r="E173" s="261"/>
      <c r="F173" s="261"/>
      <c r="G173" s="261"/>
      <c r="H173" s="261"/>
      <c r="I173" s="261"/>
      <c r="J173" s="261"/>
      <c r="K173" s="261"/>
      <c r="L173" s="261"/>
      <c r="M173" s="331">
        <f>M169-M172-N172</f>
        <v>46800</v>
      </c>
      <c r="N173" s="292"/>
      <c r="O173" s="261"/>
      <c r="P173" s="331"/>
      <c r="Q173" s="264"/>
      <c r="R173" s="5"/>
    </row>
    <row r="174" spans="1:19" ht="16.2" thickBot="1" x14ac:dyDescent="0.35">
      <c r="A174" s="183"/>
      <c r="B174" s="190"/>
      <c r="C174" s="190"/>
      <c r="D174" s="190"/>
      <c r="E174" s="190"/>
      <c r="F174" s="190"/>
      <c r="G174" s="190"/>
      <c r="H174" s="190"/>
      <c r="I174" s="190"/>
      <c r="J174" s="190"/>
      <c r="K174" s="190"/>
      <c r="L174" s="190"/>
      <c r="M174" s="190"/>
      <c r="N174" s="190"/>
      <c r="O174" s="190"/>
      <c r="P174" s="341"/>
      <c r="Q174" s="190"/>
      <c r="R174" s="5"/>
    </row>
    <row r="175" spans="1:19" ht="15.6" x14ac:dyDescent="0.3">
      <c r="A175" s="180"/>
      <c r="B175" s="181"/>
      <c r="C175" s="181"/>
      <c r="D175" s="181"/>
      <c r="E175" s="181"/>
      <c r="F175" s="181"/>
      <c r="G175" s="181"/>
      <c r="H175" s="181"/>
      <c r="I175" s="181"/>
      <c r="J175" s="181"/>
      <c r="K175" s="181"/>
      <c r="L175" s="181"/>
      <c r="M175" s="181"/>
      <c r="N175" s="181"/>
      <c r="O175" s="181"/>
      <c r="P175" s="200"/>
      <c r="Q175" s="181"/>
      <c r="R175" s="5"/>
    </row>
    <row r="176" spans="1:19" ht="15.6" x14ac:dyDescent="0.3">
      <c r="A176" s="183"/>
      <c r="B176" s="209" t="s">
        <v>72</v>
      </c>
      <c r="C176" s="185"/>
      <c r="D176" s="185"/>
      <c r="E176" s="185"/>
      <c r="F176" s="185"/>
      <c r="G176" s="185"/>
      <c r="H176" s="185"/>
      <c r="I176" s="185"/>
      <c r="J176" s="185"/>
      <c r="K176" s="185"/>
      <c r="L176" s="185"/>
      <c r="M176" s="185"/>
      <c r="N176" s="185"/>
      <c r="O176" s="185"/>
      <c r="P176" s="214"/>
      <c r="Q176" s="185"/>
      <c r="R176" s="5"/>
    </row>
    <row r="177" spans="1:18" ht="15.6" x14ac:dyDescent="0.3">
      <c r="A177" s="260"/>
      <c r="B177" s="261" t="s">
        <v>73</v>
      </c>
      <c r="C177" s="261"/>
      <c r="D177" s="261"/>
      <c r="E177" s="261"/>
      <c r="F177" s="261"/>
      <c r="G177" s="261"/>
      <c r="H177" s="261"/>
      <c r="I177" s="261"/>
      <c r="J177" s="261"/>
      <c r="K177" s="261"/>
      <c r="L177" s="261"/>
      <c r="M177" s="261"/>
      <c r="N177" s="261"/>
      <c r="O177" s="261"/>
      <c r="P177" s="343">
        <f>(P102+P104+P105+P106+P107)/-(P108+P109+P110)</f>
        <v>2.5577841451766954</v>
      </c>
      <c r="Q177" s="264" t="s">
        <v>130</v>
      </c>
      <c r="R177" s="5"/>
    </row>
    <row r="178" spans="1:18" ht="15.6" x14ac:dyDescent="0.3">
      <c r="A178" s="260"/>
      <c r="B178" s="261" t="s">
        <v>74</v>
      </c>
      <c r="C178" s="261"/>
      <c r="D178" s="261"/>
      <c r="E178" s="261"/>
      <c r="F178" s="261"/>
      <c r="G178" s="261"/>
      <c r="H178" s="261"/>
      <c r="I178" s="261"/>
      <c r="J178" s="261"/>
      <c r="K178" s="261"/>
      <c r="L178" s="261"/>
      <c r="M178" s="261"/>
      <c r="N178" s="261"/>
      <c r="O178" s="261"/>
      <c r="P178" s="343">
        <v>1.46</v>
      </c>
      <c r="Q178" s="264" t="s">
        <v>130</v>
      </c>
      <c r="R178" s="5"/>
    </row>
    <row r="179" spans="1:18" ht="15.6" x14ac:dyDescent="0.3">
      <c r="A179" s="260"/>
      <c r="B179" s="261" t="s">
        <v>75</v>
      </c>
      <c r="C179" s="261"/>
      <c r="D179" s="261"/>
      <c r="E179" s="261"/>
      <c r="F179" s="261"/>
      <c r="G179" s="261"/>
      <c r="H179" s="261"/>
      <c r="I179" s="261"/>
      <c r="J179" s="261"/>
      <c r="K179" s="261"/>
      <c r="L179" s="261"/>
      <c r="M179" s="261"/>
      <c r="N179" s="261"/>
      <c r="O179" s="261"/>
      <c r="P179" s="342">
        <f>(P102+P104+P105+P106+P107+P108+P109+P110)/-(P111+P112)</f>
        <v>3.1066666666666665</v>
      </c>
      <c r="Q179" s="264" t="s">
        <v>130</v>
      </c>
      <c r="R179" s="5"/>
    </row>
    <row r="180" spans="1:18" ht="15.6" x14ac:dyDescent="0.3">
      <c r="A180" s="260"/>
      <c r="B180" s="261" t="s">
        <v>76</v>
      </c>
      <c r="C180" s="261"/>
      <c r="D180" s="261"/>
      <c r="E180" s="261"/>
      <c r="F180" s="261"/>
      <c r="G180" s="261"/>
      <c r="H180" s="261"/>
      <c r="I180" s="261"/>
      <c r="J180" s="261"/>
      <c r="K180" s="261"/>
      <c r="L180" s="261"/>
      <c r="M180" s="261"/>
      <c r="N180" s="261"/>
      <c r="O180" s="261"/>
      <c r="P180" s="343">
        <v>2.4300000000000002</v>
      </c>
      <c r="Q180" s="264" t="s">
        <v>130</v>
      </c>
      <c r="R180" s="5"/>
    </row>
    <row r="181" spans="1:18" ht="15.6" x14ac:dyDescent="0.3">
      <c r="A181" s="260"/>
      <c r="B181" s="335"/>
      <c r="C181" s="335"/>
      <c r="D181" s="335"/>
      <c r="E181" s="335"/>
      <c r="F181" s="335"/>
      <c r="G181" s="335"/>
      <c r="H181" s="335"/>
      <c r="I181" s="335"/>
      <c r="J181" s="335"/>
      <c r="K181" s="335"/>
      <c r="L181" s="335"/>
      <c r="M181" s="335"/>
      <c r="N181" s="335"/>
      <c r="O181" s="335"/>
      <c r="P181" s="335"/>
      <c r="Q181" s="338"/>
      <c r="R181" s="5"/>
    </row>
    <row r="182" spans="1:18" ht="15.6" x14ac:dyDescent="0.3">
      <c r="A182" s="183"/>
      <c r="B182" s="190"/>
      <c r="C182" s="190"/>
      <c r="D182" s="190"/>
      <c r="E182" s="190"/>
      <c r="F182" s="190"/>
      <c r="G182" s="190"/>
      <c r="H182" s="190"/>
      <c r="I182" s="190"/>
      <c r="J182" s="190"/>
      <c r="K182" s="190"/>
      <c r="L182" s="190"/>
      <c r="M182" s="190"/>
      <c r="N182" s="190"/>
      <c r="O182" s="190"/>
      <c r="P182" s="190"/>
      <c r="Q182" s="190"/>
      <c r="R182" s="5"/>
    </row>
    <row r="183" spans="1:18" ht="15.6" x14ac:dyDescent="0.3">
      <c r="A183" s="183"/>
      <c r="B183" s="185"/>
      <c r="C183" s="185"/>
      <c r="D183" s="185"/>
      <c r="E183" s="185"/>
      <c r="F183" s="185"/>
      <c r="G183" s="185"/>
      <c r="H183" s="185"/>
      <c r="I183" s="185"/>
      <c r="J183" s="185"/>
      <c r="K183" s="185"/>
      <c r="L183" s="185"/>
      <c r="M183" s="185"/>
      <c r="N183" s="185"/>
      <c r="O183" s="185"/>
      <c r="P183" s="185"/>
      <c r="Q183" s="185"/>
      <c r="R183" s="5"/>
    </row>
    <row r="184" spans="1:18" ht="18" thickBot="1" x14ac:dyDescent="0.35">
      <c r="A184" s="199"/>
      <c r="B184" s="239" t="str">
        <f>B132</f>
        <v>PM7 INVESTOR REPORT QUARTER ENDING JANUARY 2011</v>
      </c>
      <c r="C184" s="215"/>
      <c r="D184" s="215"/>
      <c r="E184" s="215"/>
      <c r="F184" s="215"/>
      <c r="G184" s="215"/>
      <c r="H184" s="215"/>
      <c r="I184" s="215"/>
      <c r="J184" s="215"/>
      <c r="K184" s="215"/>
      <c r="L184" s="215"/>
      <c r="M184" s="215"/>
      <c r="N184" s="215"/>
      <c r="O184" s="215"/>
      <c r="P184" s="215"/>
      <c r="Q184" s="216"/>
      <c r="R184" s="5"/>
    </row>
    <row r="185" spans="1:18" ht="15.6" x14ac:dyDescent="0.3">
      <c r="A185" s="323"/>
      <c r="B185" s="327" t="s">
        <v>77</v>
      </c>
      <c r="C185" s="324"/>
      <c r="D185" s="324"/>
      <c r="E185" s="325"/>
      <c r="F185" s="325"/>
      <c r="G185" s="325"/>
      <c r="H185" s="325"/>
      <c r="I185" s="325"/>
      <c r="J185" s="325"/>
      <c r="K185" s="325"/>
      <c r="L185" s="325"/>
      <c r="M185" s="325"/>
      <c r="N185" s="325">
        <f>H89</f>
        <v>40574</v>
      </c>
      <c r="O185" s="326"/>
      <c r="P185" s="326"/>
      <c r="Q185" s="326"/>
      <c r="R185" s="5"/>
    </row>
    <row r="186" spans="1:18" ht="15.6" x14ac:dyDescent="0.3">
      <c r="A186" s="217"/>
      <c r="B186" s="218"/>
      <c r="C186" s="219"/>
      <c r="D186" s="219"/>
      <c r="E186" s="220"/>
      <c r="F186" s="220"/>
      <c r="G186" s="220"/>
      <c r="H186" s="220"/>
      <c r="I186" s="220"/>
      <c r="J186" s="220"/>
      <c r="K186" s="220"/>
      <c r="L186" s="220"/>
      <c r="M186" s="220"/>
      <c r="N186" s="220"/>
      <c r="O186" s="185"/>
      <c r="P186" s="185"/>
      <c r="Q186" s="185"/>
      <c r="R186" s="5"/>
    </row>
    <row r="187" spans="1:18" ht="15.6" x14ac:dyDescent="0.3">
      <c r="A187" s="345"/>
      <c r="B187" s="261" t="s">
        <v>78</v>
      </c>
      <c r="C187" s="346"/>
      <c r="D187" s="346"/>
      <c r="E187" s="295"/>
      <c r="F187" s="295"/>
      <c r="G187" s="295"/>
      <c r="H187" s="295"/>
      <c r="I187" s="295"/>
      <c r="J187" s="295"/>
      <c r="K187" s="295"/>
      <c r="L187" s="295"/>
      <c r="M187" s="295"/>
      <c r="N187" s="290">
        <v>5.8069999999999997E-2</v>
      </c>
      <c r="O187" s="261"/>
      <c r="P187" s="261"/>
      <c r="Q187" s="264"/>
      <c r="R187" s="5"/>
    </row>
    <row r="188" spans="1:18" ht="15.6" x14ac:dyDescent="0.3">
      <c r="A188" s="345"/>
      <c r="B188" s="261" t="s">
        <v>219</v>
      </c>
      <c r="C188" s="346"/>
      <c r="D188" s="346"/>
      <c r="E188" s="295"/>
      <c r="F188" s="295"/>
      <c r="G188" s="295"/>
      <c r="H188" s="295"/>
      <c r="I188" s="295"/>
      <c r="J188" s="295"/>
      <c r="K188" s="295"/>
      <c r="L188" s="295"/>
      <c r="M188" s="295"/>
      <c r="N188" s="290">
        <v>5.1499999999999997E-2</v>
      </c>
      <c r="O188" s="261"/>
      <c r="P188" s="261"/>
      <c r="Q188" s="264"/>
      <c r="R188" s="5"/>
    </row>
    <row r="189" spans="1:18" ht="15.6" x14ac:dyDescent="0.3">
      <c r="A189" s="345"/>
      <c r="B189" s="261" t="s">
        <v>79</v>
      </c>
      <c r="C189" s="346"/>
      <c r="D189" s="346"/>
      <c r="E189" s="295"/>
      <c r="F189" s="295"/>
      <c r="G189" s="295"/>
      <c r="H189" s="295"/>
      <c r="I189" s="295"/>
      <c r="J189" s="295"/>
      <c r="K189" s="295"/>
      <c r="L189" s="295"/>
      <c r="M189" s="295"/>
      <c r="N189" s="290">
        <f>N187-N188</f>
        <v>6.5699999999999995E-3</v>
      </c>
      <c r="O189" s="261"/>
      <c r="P189" s="261"/>
      <c r="Q189" s="264"/>
      <c r="R189" s="5"/>
    </row>
    <row r="190" spans="1:18" ht="15.6" x14ac:dyDescent="0.3">
      <c r="A190" s="345"/>
      <c r="B190" s="261" t="s">
        <v>80</v>
      </c>
      <c r="C190" s="346"/>
      <c r="D190" s="346"/>
      <c r="E190" s="295"/>
      <c r="F190" s="295"/>
      <c r="G190" s="295"/>
      <c r="H190" s="295"/>
      <c r="I190" s="295"/>
      <c r="J190" s="295"/>
      <c r="K190" s="295"/>
      <c r="L190" s="295"/>
      <c r="M190" s="295"/>
      <c r="N190" s="290">
        <v>2.631E-2</v>
      </c>
      <c r="O190" s="261"/>
      <c r="P190" s="261"/>
      <c r="Q190" s="264"/>
      <c r="R190" s="5"/>
    </row>
    <row r="191" spans="1:18" ht="15.6" x14ac:dyDescent="0.3">
      <c r="A191" s="345"/>
      <c r="B191" s="261" t="s">
        <v>241</v>
      </c>
      <c r="C191" s="346"/>
      <c r="D191" s="346"/>
      <c r="E191" s="295"/>
      <c r="F191" s="295"/>
      <c r="G191" s="295"/>
      <c r="H191" s="295"/>
      <c r="I191" s="295"/>
      <c r="J191" s="295"/>
      <c r="K191" s="295"/>
      <c r="L191" s="295"/>
      <c r="M191" s="295"/>
      <c r="N191" s="290">
        <f>+P45</f>
        <v>1.543183436299027E-2</v>
      </c>
      <c r="O191" s="261"/>
      <c r="P191" s="261"/>
      <c r="Q191" s="264"/>
      <c r="R191" s="5"/>
    </row>
    <row r="192" spans="1:18" ht="15.6" x14ac:dyDescent="0.3">
      <c r="A192" s="345"/>
      <c r="B192" s="261" t="s">
        <v>81</v>
      </c>
      <c r="C192" s="346"/>
      <c r="D192" s="346"/>
      <c r="E192" s="295"/>
      <c r="F192" s="295"/>
      <c r="G192" s="295"/>
      <c r="H192" s="295"/>
      <c r="I192" s="295"/>
      <c r="J192" s="295"/>
      <c r="K192" s="295"/>
      <c r="L192" s="295"/>
      <c r="M192" s="295"/>
      <c r="N192" s="290">
        <f>N190-N191</f>
        <v>1.087816563700973E-2</v>
      </c>
      <c r="O192" s="261"/>
      <c r="P192" s="261"/>
      <c r="Q192" s="264"/>
      <c r="R192" s="5"/>
    </row>
    <row r="193" spans="1:18" ht="15.6" x14ac:dyDescent="0.3">
      <c r="A193" s="345"/>
      <c r="B193" s="261" t="s">
        <v>257</v>
      </c>
      <c r="C193" s="346"/>
      <c r="D193" s="346"/>
      <c r="E193" s="295"/>
      <c r="F193" s="295"/>
      <c r="G193" s="295"/>
      <c r="H193" s="295"/>
      <c r="I193" s="295"/>
      <c r="J193" s="295"/>
      <c r="K193" s="295"/>
      <c r="L193" s="295"/>
      <c r="M193" s="295"/>
      <c r="N193" s="290">
        <f>+P102/H72</f>
        <v>7.6278103435482676E-3</v>
      </c>
      <c r="O193" s="261"/>
      <c r="P193" s="261"/>
      <c r="Q193" s="264"/>
      <c r="R193" s="5"/>
    </row>
    <row r="194" spans="1:18" ht="15.6" x14ac:dyDescent="0.3">
      <c r="A194" s="345"/>
      <c r="B194" s="261" t="s">
        <v>170</v>
      </c>
      <c r="C194" s="346"/>
      <c r="D194" s="346"/>
      <c r="E194" s="295"/>
      <c r="F194" s="295"/>
      <c r="G194" s="295"/>
      <c r="H194" s="295"/>
      <c r="I194" s="295"/>
      <c r="J194" s="295"/>
      <c r="K194" s="295"/>
      <c r="L194" s="295"/>
      <c r="M194" s="295"/>
      <c r="N194" s="347">
        <v>49065</v>
      </c>
      <c r="O194" s="261"/>
      <c r="P194" s="261"/>
      <c r="Q194" s="264"/>
      <c r="R194" s="5"/>
    </row>
    <row r="195" spans="1:18" ht="15.6" x14ac:dyDescent="0.3">
      <c r="A195" s="345"/>
      <c r="B195" s="261" t="s">
        <v>171</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172</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138</v>
      </c>
      <c r="C197" s="346"/>
      <c r="D197" s="346"/>
      <c r="E197" s="295"/>
      <c r="F197" s="295"/>
      <c r="G197" s="295"/>
      <c r="H197" s="295"/>
      <c r="I197" s="295"/>
      <c r="J197" s="295"/>
      <c r="K197" s="295"/>
      <c r="L197" s="295"/>
      <c r="M197" s="295"/>
      <c r="N197" s="347">
        <v>52352</v>
      </c>
      <c r="O197" s="261"/>
      <c r="P197" s="261"/>
      <c r="Q197" s="264"/>
      <c r="R197" s="5"/>
    </row>
    <row r="198" spans="1:18" ht="15.6" x14ac:dyDescent="0.3">
      <c r="A198" s="345"/>
      <c r="B198" s="261" t="s">
        <v>139</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82</v>
      </c>
      <c r="C199" s="346"/>
      <c r="D199" s="346"/>
      <c r="E199" s="295"/>
      <c r="F199" s="295"/>
      <c r="G199" s="295"/>
      <c r="H199" s="295"/>
      <c r="I199" s="295"/>
      <c r="J199" s="295"/>
      <c r="K199" s="295"/>
      <c r="L199" s="295"/>
      <c r="M199" s="295"/>
      <c r="N199" s="294">
        <v>20.45</v>
      </c>
      <c r="O199" s="261" t="s">
        <v>125</v>
      </c>
      <c r="P199" s="261"/>
      <c r="Q199" s="264"/>
      <c r="R199" s="5"/>
    </row>
    <row r="200" spans="1:18" ht="15.6" x14ac:dyDescent="0.3">
      <c r="A200" s="345"/>
      <c r="B200" s="261" t="s">
        <v>83</v>
      </c>
      <c r="C200" s="346"/>
      <c r="D200" s="346"/>
      <c r="E200" s="295"/>
      <c r="F200" s="295"/>
      <c r="G200" s="295"/>
      <c r="H200" s="295"/>
      <c r="I200" s="295"/>
      <c r="J200" s="295"/>
      <c r="K200" s="295"/>
      <c r="L200" s="295"/>
      <c r="M200" s="295"/>
      <c r="N200" s="294">
        <v>15.41</v>
      </c>
      <c r="O200" s="261" t="s">
        <v>125</v>
      </c>
      <c r="P200" s="261"/>
      <c r="Q200" s="264"/>
      <c r="R200" s="5"/>
    </row>
    <row r="201" spans="1:18" ht="15.6" x14ac:dyDescent="0.3">
      <c r="A201" s="345"/>
      <c r="B201" s="261" t="s">
        <v>84</v>
      </c>
      <c r="C201" s="346"/>
      <c r="D201" s="346"/>
      <c r="E201" s="295"/>
      <c r="F201" s="295"/>
      <c r="G201" s="295"/>
      <c r="H201" s="295"/>
      <c r="I201" s="295"/>
      <c r="J201" s="295"/>
      <c r="K201" s="295"/>
      <c r="L201" s="295"/>
      <c r="M201" s="295"/>
      <c r="N201" s="290">
        <f>J69/H69</f>
        <v>5.6095570230763527E-3</v>
      </c>
      <c r="O201" s="261"/>
      <c r="P201" s="261"/>
      <c r="Q201" s="264"/>
      <c r="R201" s="5"/>
    </row>
    <row r="202" spans="1:18" ht="15.6" x14ac:dyDescent="0.3">
      <c r="A202" s="345"/>
      <c r="B202" s="261" t="s">
        <v>85</v>
      </c>
      <c r="C202" s="346"/>
      <c r="D202" s="346"/>
      <c r="E202" s="295"/>
      <c r="F202" s="295"/>
      <c r="G202" s="295"/>
      <c r="H202" s="295"/>
      <c r="I202" s="295"/>
      <c r="J202" s="295"/>
      <c r="K202" s="295"/>
      <c r="L202" s="295"/>
      <c r="M202" s="295"/>
      <c r="N202" s="290">
        <v>0.13450000000000001</v>
      </c>
      <c r="O202" s="261"/>
      <c r="P202" s="261"/>
      <c r="Q202" s="264"/>
      <c r="R202" s="5"/>
    </row>
    <row r="203" spans="1:18" ht="15.6" x14ac:dyDescent="0.3">
      <c r="A203" s="217"/>
      <c r="B203" s="222"/>
      <c r="C203" s="222"/>
      <c r="D203" s="222"/>
      <c r="E203" s="190"/>
      <c r="F203" s="190"/>
      <c r="G203" s="190"/>
      <c r="H203" s="190"/>
      <c r="I203" s="190"/>
      <c r="J203" s="190"/>
      <c r="K203" s="190"/>
      <c r="L203" s="190"/>
      <c r="M203" s="190"/>
      <c r="N203" s="341"/>
      <c r="O203" s="190"/>
      <c r="P203" s="344"/>
      <c r="Q203" s="190"/>
      <c r="R203" s="5"/>
    </row>
    <row r="204" spans="1:18" ht="15.6" x14ac:dyDescent="0.3">
      <c r="A204" s="322"/>
      <c r="B204" s="317" t="s">
        <v>86</v>
      </c>
      <c r="C204" s="318"/>
      <c r="D204" s="319"/>
      <c r="E204" s="318"/>
      <c r="F204" s="318"/>
      <c r="G204" s="318"/>
      <c r="H204" s="318"/>
      <c r="I204" s="318"/>
      <c r="J204" s="318"/>
      <c r="K204" s="318"/>
      <c r="L204" s="318"/>
      <c r="M204" s="318" t="s">
        <v>113</v>
      </c>
      <c r="N204" s="319" t="s">
        <v>121</v>
      </c>
      <c r="O204" s="252"/>
      <c r="P204" s="252"/>
      <c r="Q204" s="252"/>
      <c r="R204" s="5"/>
    </row>
    <row r="205" spans="1:18" ht="15.6" x14ac:dyDescent="0.3">
      <c r="A205" s="221"/>
      <c r="B205" s="230" t="s">
        <v>87</v>
      </c>
      <c r="C205" s="235"/>
      <c r="D205" s="230"/>
      <c r="E205" s="230"/>
      <c r="F205" s="234"/>
      <c r="G205" s="234"/>
      <c r="H205" s="234"/>
      <c r="I205" s="234"/>
      <c r="J205" s="234"/>
      <c r="K205" s="234"/>
      <c r="L205" s="234"/>
      <c r="M205" s="234">
        <v>2</v>
      </c>
      <c r="N205" s="305">
        <v>78</v>
      </c>
      <c r="O205" s="230"/>
      <c r="P205" s="306"/>
      <c r="Q205" s="307"/>
      <c r="R205" s="5"/>
    </row>
    <row r="206" spans="1:18" ht="15.6" x14ac:dyDescent="0.3">
      <c r="A206" s="351"/>
      <c r="B206" s="261" t="s">
        <v>203</v>
      </c>
      <c r="C206" s="330"/>
      <c r="D206" s="261"/>
      <c r="E206" s="261"/>
      <c r="F206" s="268"/>
      <c r="G206" s="268"/>
      <c r="H206" s="268"/>
      <c r="I206" s="268"/>
      <c r="J206" s="268"/>
      <c r="K206" s="268"/>
      <c r="L206" s="268"/>
      <c r="M206" s="352">
        <f>+L254</f>
        <v>69</v>
      </c>
      <c r="N206" s="353">
        <f>+N254</f>
        <v>11291</v>
      </c>
      <c r="O206" s="261"/>
      <c r="P206" s="354"/>
      <c r="Q206" s="355"/>
      <c r="R206" s="5"/>
    </row>
    <row r="207" spans="1:18" ht="15.6" x14ac:dyDescent="0.3">
      <c r="A207" s="351"/>
      <c r="B207" s="261" t="s">
        <v>88</v>
      </c>
      <c r="C207" s="330"/>
      <c r="D207" s="261"/>
      <c r="E207" s="261"/>
      <c r="F207" s="268"/>
      <c r="G207" s="268"/>
      <c r="H207" s="268"/>
      <c r="I207" s="268"/>
      <c r="J207" s="268"/>
      <c r="K207" s="268"/>
      <c r="L207" s="268"/>
      <c r="M207" s="352">
        <f>+L265</f>
        <v>0</v>
      </c>
      <c r="N207" s="353">
        <f>+N265</f>
        <v>0</v>
      </c>
      <c r="O207" s="261"/>
      <c r="P207" s="354"/>
      <c r="Q207" s="355"/>
      <c r="R207" s="5"/>
    </row>
    <row r="208" spans="1:18" ht="15.6" x14ac:dyDescent="0.3">
      <c r="A208" s="351"/>
      <c r="B208" s="282" t="s">
        <v>89</v>
      </c>
      <c r="C208" s="356"/>
      <c r="D208" s="335"/>
      <c r="E208" s="335"/>
      <c r="F208" s="335"/>
      <c r="G208" s="335"/>
      <c r="H208" s="335"/>
      <c r="I208" s="335"/>
      <c r="J208" s="335"/>
      <c r="K208" s="335"/>
      <c r="L208" s="335"/>
      <c r="M208" s="335"/>
      <c r="N208" s="353">
        <v>0</v>
      </c>
      <c r="O208" s="335"/>
      <c r="P208" s="358"/>
      <c r="Q208" s="359"/>
      <c r="R208" s="5"/>
    </row>
    <row r="209" spans="1:18" ht="15.6" x14ac:dyDescent="0.3">
      <c r="A209" s="351"/>
      <c r="B209" s="282" t="s">
        <v>90</v>
      </c>
      <c r="C209" s="356"/>
      <c r="D209" s="335"/>
      <c r="E209" s="335"/>
      <c r="F209" s="335"/>
      <c r="G209" s="335"/>
      <c r="H209" s="335"/>
      <c r="I209" s="335"/>
      <c r="J209" s="335"/>
      <c r="K209" s="335"/>
      <c r="L209" s="335"/>
      <c r="M209" s="335"/>
      <c r="N209" s="369" t="s">
        <v>122</v>
      </c>
      <c r="O209" s="335"/>
      <c r="P209" s="358"/>
      <c r="Q209" s="359"/>
      <c r="R209" s="5"/>
    </row>
    <row r="210" spans="1:18" ht="15.6" x14ac:dyDescent="0.3">
      <c r="A210" s="360"/>
      <c r="B210" s="282" t="s">
        <v>91</v>
      </c>
      <c r="C210" s="361"/>
      <c r="D210" s="361"/>
      <c r="E210" s="335"/>
      <c r="F210" s="335"/>
      <c r="G210" s="335"/>
      <c r="H210" s="335"/>
      <c r="I210" s="335"/>
      <c r="J210" s="362"/>
      <c r="K210" s="335"/>
      <c r="L210" s="335"/>
      <c r="M210" s="335"/>
      <c r="N210" s="357"/>
      <c r="O210" s="335"/>
      <c r="P210" s="358"/>
      <c r="Q210" s="363"/>
      <c r="R210" s="5"/>
    </row>
    <row r="211" spans="1:18" ht="15.6" x14ac:dyDescent="0.3">
      <c r="A211" s="360"/>
      <c r="B211" s="364" t="s">
        <v>92</v>
      </c>
      <c r="C211" s="364"/>
      <c r="D211" s="364"/>
      <c r="E211" s="364"/>
      <c r="F211" s="364"/>
      <c r="G211" s="364"/>
      <c r="H211" s="364"/>
      <c r="I211" s="364"/>
      <c r="J211" s="364"/>
      <c r="K211" s="364"/>
      <c r="L211" s="364"/>
      <c r="M211" s="364"/>
      <c r="N211" s="365">
        <f>P154</f>
        <v>239</v>
      </c>
      <c r="O211" s="364"/>
      <c r="P211" s="366"/>
      <c r="Q211" s="363"/>
      <c r="R211" s="5"/>
    </row>
    <row r="212" spans="1:18" ht="15.6" x14ac:dyDescent="0.3">
      <c r="A212" s="351"/>
      <c r="B212" s="364" t="s">
        <v>93</v>
      </c>
      <c r="C212" s="367"/>
      <c r="D212" s="367"/>
      <c r="E212" s="364"/>
      <c r="F212" s="364"/>
      <c r="G212" s="364"/>
      <c r="H212" s="364"/>
      <c r="I212" s="364"/>
      <c r="J212" s="364"/>
      <c r="K212" s="364"/>
      <c r="L212" s="364"/>
      <c r="M212" s="364"/>
      <c r="N212" s="365">
        <f>'Oct 10'!N212+'Jan 11'!N211</f>
        <v>3575</v>
      </c>
      <c r="O212" s="364"/>
      <c r="P212" s="366"/>
      <c r="Q212" s="363"/>
      <c r="R212" s="5"/>
    </row>
    <row r="213" spans="1:18" ht="15.6" x14ac:dyDescent="0.3">
      <c r="A213" s="360"/>
      <c r="B213" s="282" t="s">
        <v>278</v>
      </c>
      <c r="C213" s="361"/>
      <c r="D213" s="361"/>
      <c r="E213" s="335"/>
      <c r="F213" s="335"/>
      <c r="G213" s="335"/>
      <c r="H213" s="335"/>
      <c r="I213" s="335"/>
      <c r="J213" s="335"/>
      <c r="K213" s="335"/>
      <c r="L213" s="335"/>
      <c r="M213" s="335"/>
      <c r="N213" s="357"/>
      <c r="O213" s="335"/>
      <c r="P213" s="358"/>
      <c r="Q213" s="363"/>
      <c r="R213" s="5"/>
    </row>
    <row r="214" spans="1:18" ht="15.6" x14ac:dyDescent="0.3">
      <c r="A214" s="360"/>
      <c r="B214" s="261" t="s">
        <v>276</v>
      </c>
      <c r="C214" s="261"/>
      <c r="D214" s="261"/>
      <c r="E214" s="261"/>
      <c r="F214" s="261"/>
      <c r="G214" s="261"/>
      <c r="H214" s="261"/>
      <c r="I214" s="261"/>
      <c r="J214" s="261"/>
      <c r="K214" s="261"/>
      <c r="L214" s="261"/>
      <c r="M214" s="268">
        <v>0</v>
      </c>
      <c r="N214" s="353">
        <v>0</v>
      </c>
      <c r="O214" s="261"/>
      <c r="P214" s="354"/>
      <c r="Q214" s="363"/>
      <c r="R214" s="5"/>
    </row>
    <row r="215" spans="1:18" ht="15.6" x14ac:dyDescent="0.3">
      <c r="A215" s="351"/>
      <c r="B215" s="261" t="s">
        <v>95</v>
      </c>
      <c r="C215" s="292"/>
      <c r="D215" s="368"/>
      <c r="E215" s="261"/>
      <c r="F215" s="261"/>
      <c r="G215" s="261"/>
      <c r="H215" s="261"/>
      <c r="I215" s="261"/>
      <c r="J215" s="261"/>
      <c r="K215" s="261"/>
      <c r="L215" s="261"/>
      <c r="M215" s="261"/>
      <c r="N215" s="369">
        <v>0</v>
      </c>
      <c r="O215" s="261"/>
      <c r="P215" s="354"/>
      <c r="Q215" s="363"/>
      <c r="R215" s="5"/>
    </row>
    <row r="216" spans="1:18" ht="15.6" x14ac:dyDescent="0.3">
      <c r="A216" s="351"/>
      <c r="B216" s="261" t="s">
        <v>96</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82" t="s">
        <v>251</v>
      </c>
      <c r="C217" s="370"/>
      <c r="D217" s="371"/>
      <c r="E217" s="335"/>
      <c r="F217" s="335"/>
      <c r="G217" s="335"/>
      <c r="H217" s="335"/>
      <c r="I217" s="335"/>
      <c r="J217" s="335"/>
      <c r="K217" s="335"/>
      <c r="L217" s="335"/>
      <c r="M217" s="335"/>
      <c r="N217" s="372"/>
      <c r="O217" s="335"/>
      <c r="P217" s="358"/>
      <c r="Q217" s="363"/>
      <c r="R217" s="5"/>
    </row>
    <row r="218" spans="1:18" ht="15.6" x14ac:dyDescent="0.3">
      <c r="A218" s="351"/>
      <c r="B218" s="261" t="s">
        <v>276</v>
      </c>
      <c r="C218" s="292"/>
      <c r="D218" s="368"/>
      <c r="E218" s="261"/>
      <c r="F218" s="261"/>
      <c r="G218" s="261"/>
      <c r="H218" s="261"/>
      <c r="I218" s="261"/>
      <c r="J218" s="261"/>
      <c r="K218" s="261"/>
      <c r="L218" s="261"/>
      <c r="M218" s="268">
        <v>1</v>
      </c>
      <c r="N218" s="353">
        <v>365</v>
      </c>
      <c r="O218" s="261"/>
      <c r="P218" s="354"/>
      <c r="Q218" s="373"/>
      <c r="R218" s="308"/>
    </row>
    <row r="219" spans="1:18" ht="15.6" x14ac:dyDescent="0.3">
      <c r="A219" s="351"/>
      <c r="B219" s="261" t="s">
        <v>252</v>
      </c>
      <c r="C219" s="292"/>
      <c r="D219" s="368"/>
      <c r="E219" s="261"/>
      <c r="F219" s="261"/>
      <c r="G219" s="261"/>
      <c r="H219" s="261"/>
      <c r="I219" s="261"/>
      <c r="J219" s="261"/>
      <c r="K219" s="261"/>
      <c r="L219" s="261"/>
      <c r="M219" s="261"/>
      <c r="N219" s="369">
        <v>32.799999999999997</v>
      </c>
      <c r="O219" s="261"/>
      <c r="P219" s="354"/>
      <c r="Q219" s="373"/>
      <c r="R219" s="308"/>
    </row>
    <row r="220" spans="1:18" ht="15.6" x14ac:dyDescent="0.3">
      <c r="A220" s="351"/>
      <c r="B220" s="361"/>
      <c r="C220" s="370"/>
      <c r="D220" s="371"/>
      <c r="E220" s="335"/>
      <c r="F220" s="335"/>
      <c r="G220" s="335"/>
      <c r="H220" s="335"/>
      <c r="I220" s="335"/>
      <c r="J220" s="335"/>
      <c r="K220" s="335"/>
      <c r="L220" s="335"/>
      <c r="M220" s="335"/>
      <c r="N220" s="374"/>
      <c r="O220" s="335"/>
      <c r="P220" s="358"/>
      <c r="Q220" s="363"/>
      <c r="R220" s="5"/>
    </row>
    <row r="221" spans="1:18" ht="17.399999999999999" x14ac:dyDescent="0.3">
      <c r="A221" s="351"/>
      <c r="B221" s="375" t="s">
        <v>244</v>
      </c>
      <c r="C221" s="370"/>
      <c r="D221" s="371"/>
      <c r="E221" s="335"/>
      <c r="F221" s="335"/>
      <c r="G221" s="335"/>
      <c r="H221" s="335"/>
      <c r="I221" s="376"/>
      <c r="J221" s="377" t="s">
        <v>243</v>
      </c>
      <c r="K221" s="335"/>
      <c r="L221" s="335"/>
      <c r="M221" s="335"/>
      <c r="N221" s="374"/>
      <c r="O221" s="335"/>
      <c r="P221" s="358"/>
      <c r="Q221" s="363"/>
      <c r="R221" s="5"/>
    </row>
    <row r="222" spans="1:18" ht="15.6" x14ac:dyDescent="0.3">
      <c r="A222" s="348"/>
      <c r="B222" s="222"/>
      <c r="C222" s="223"/>
      <c r="D222" s="224"/>
      <c r="E222" s="190"/>
      <c r="F222" s="190"/>
      <c r="G222" s="190"/>
      <c r="H222" s="190"/>
      <c r="I222" s="190"/>
      <c r="J222" s="190"/>
      <c r="K222" s="190"/>
      <c r="L222" s="190"/>
      <c r="M222" s="190"/>
      <c r="N222" s="349"/>
      <c r="O222" s="190"/>
      <c r="P222" s="344"/>
      <c r="Q222" s="350"/>
      <c r="R222" s="5"/>
    </row>
    <row r="223" spans="1:18" ht="15.6" x14ac:dyDescent="0.3">
      <c r="A223" s="251"/>
      <c r="B223" s="317" t="s">
        <v>290</v>
      </c>
      <c r="C223" s="318"/>
      <c r="D223" s="319"/>
      <c r="E223" s="318"/>
      <c r="F223" s="318"/>
      <c r="G223" s="318"/>
      <c r="H223" s="318"/>
      <c r="I223" s="318"/>
      <c r="J223" s="318"/>
      <c r="K223" s="318"/>
      <c r="L223" s="319" t="s">
        <v>113</v>
      </c>
      <c r="M223" s="318" t="s">
        <v>114</v>
      </c>
      <c r="N223" s="319" t="s">
        <v>123</v>
      </c>
      <c r="O223" s="318" t="s">
        <v>114</v>
      </c>
      <c r="P223" s="252"/>
      <c r="Q223" s="317"/>
      <c r="R223" s="5"/>
    </row>
    <row r="224" spans="1:18" ht="15.6" x14ac:dyDescent="0.3">
      <c r="A224" s="198"/>
      <c r="B224" s="235" t="s">
        <v>98</v>
      </c>
      <c r="C224" s="309"/>
      <c r="D224" s="230"/>
      <c r="E224" s="309"/>
      <c r="F224" s="309"/>
      <c r="G224" s="309"/>
      <c r="H224" s="309"/>
      <c r="I224" s="309"/>
      <c r="J224" s="309"/>
      <c r="K224" s="309"/>
      <c r="L224" s="330">
        <f t="shared" ref="L224:L231" si="1">+L235+L246+L257</f>
        <v>3514</v>
      </c>
      <c r="M224" s="382">
        <f t="shared" ref="M224:M231" si="2">L224/$L$232</f>
        <v>0.9796487315305269</v>
      </c>
      <c r="N224" s="331">
        <f t="shared" ref="N224:N231" si="3">+N235+N246+N257</f>
        <v>393087</v>
      </c>
      <c r="O224" s="382">
        <f t="shared" ref="O224:O231" si="4">N224/$N$232</f>
        <v>0.97720605783381731</v>
      </c>
      <c r="P224" s="306"/>
      <c r="Q224" s="233"/>
      <c r="R224" s="5"/>
    </row>
    <row r="225" spans="1:18" ht="15.6" x14ac:dyDescent="0.3">
      <c r="A225" s="260"/>
      <c r="B225" s="330" t="s">
        <v>99</v>
      </c>
      <c r="C225" s="381"/>
      <c r="D225" s="261"/>
      <c r="E225" s="382"/>
      <c r="F225" s="381"/>
      <c r="G225" s="381"/>
      <c r="H225" s="381"/>
      <c r="I225" s="381"/>
      <c r="J225" s="381"/>
      <c r="K225" s="381"/>
      <c r="L225" s="330">
        <f t="shared" si="1"/>
        <v>34</v>
      </c>
      <c r="M225" s="382">
        <f t="shared" si="2"/>
        <v>9.4786729857819912E-3</v>
      </c>
      <c r="N225" s="331">
        <f t="shared" si="3"/>
        <v>3676</v>
      </c>
      <c r="O225" s="382">
        <f t="shared" si="4"/>
        <v>9.1384590907282928E-3</v>
      </c>
      <c r="P225" s="354"/>
      <c r="Q225" s="373"/>
      <c r="R225" s="5"/>
    </row>
    <row r="226" spans="1:18" ht="15.6" x14ac:dyDescent="0.3">
      <c r="A226" s="260"/>
      <c r="B226" s="330" t="s">
        <v>100</v>
      </c>
      <c r="C226" s="381"/>
      <c r="D226" s="261"/>
      <c r="E226" s="382"/>
      <c r="F226" s="381"/>
      <c r="G226" s="381"/>
      <c r="H226" s="381"/>
      <c r="I226" s="381"/>
      <c r="J226" s="381"/>
      <c r="K226" s="381"/>
      <c r="L226" s="330">
        <f t="shared" si="1"/>
        <v>15</v>
      </c>
      <c r="M226" s="382">
        <f t="shared" si="2"/>
        <v>4.1817674937273484E-3</v>
      </c>
      <c r="N226" s="331">
        <f t="shared" si="3"/>
        <v>1716</v>
      </c>
      <c r="O226" s="382">
        <f t="shared" si="4"/>
        <v>4.2659400978481369E-3</v>
      </c>
      <c r="P226" s="354"/>
      <c r="Q226" s="373"/>
      <c r="R226" s="5"/>
    </row>
    <row r="227" spans="1:18" ht="15.6" x14ac:dyDescent="0.3">
      <c r="A227" s="260"/>
      <c r="B227" s="330" t="s">
        <v>227</v>
      </c>
      <c r="C227" s="381"/>
      <c r="D227" s="261"/>
      <c r="E227" s="382"/>
      <c r="F227" s="381"/>
      <c r="G227" s="381"/>
      <c r="H227" s="381"/>
      <c r="I227" s="381"/>
      <c r="J227" s="381"/>
      <c r="K227" s="381"/>
      <c r="L227" s="330">
        <f t="shared" si="1"/>
        <v>5</v>
      </c>
      <c r="M227" s="382">
        <f t="shared" si="2"/>
        <v>1.3939224979091162E-3</v>
      </c>
      <c r="N227" s="331">
        <f t="shared" si="3"/>
        <v>750</v>
      </c>
      <c r="O227" s="382">
        <f t="shared" si="4"/>
        <v>1.8644843085000597E-3</v>
      </c>
      <c r="P227" s="354"/>
      <c r="Q227" s="373"/>
      <c r="R227" s="5"/>
    </row>
    <row r="228" spans="1:18" ht="15.6" x14ac:dyDescent="0.3">
      <c r="A228" s="260"/>
      <c r="B228" s="330" t="s">
        <v>228</v>
      </c>
      <c r="C228" s="381"/>
      <c r="D228" s="261"/>
      <c r="E228" s="382"/>
      <c r="F228" s="381"/>
      <c r="G228" s="381"/>
      <c r="H228" s="381"/>
      <c r="I228" s="381"/>
      <c r="J228" s="381"/>
      <c r="K228" s="381"/>
      <c r="L228" s="330">
        <f t="shared" si="1"/>
        <v>2</v>
      </c>
      <c r="M228" s="382">
        <f t="shared" si="2"/>
        <v>5.575689991636465E-4</v>
      </c>
      <c r="N228" s="331">
        <f t="shared" si="3"/>
        <v>73</v>
      </c>
      <c r="O228" s="382">
        <f t="shared" si="4"/>
        <v>1.8147647269400581E-4</v>
      </c>
      <c r="P228" s="354"/>
      <c r="Q228" s="373"/>
      <c r="R228" s="5"/>
    </row>
    <row r="229" spans="1:18" ht="15.6" x14ac:dyDescent="0.3">
      <c r="A229" s="260"/>
      <c r="B229" s="330" t="s">
        <v>229</v>
      </c>
      <c r="C229" s="381"/>
      <c r="D229" s="261"/>
      <c r="E229" s="382"/>
      <c r="F229" s="381"/>
      <c r="G229" s="381"/>
      <c r="H229" s="381"/>
      <c r="I229" s="381"/>
      <c r="J229" s="381"/>
      <c r="K229" s="381"/>
      <c r="L229" s="330">
        <f t="shared" si="1"/>
        <v>1</v>
      </c>
      <c r="M229" s="382">
        <f t="shared" si="2"/>
        <v>2.7878449958182325E-4</v>
      </c>
      <c r="N229" s="331">
        <f t="shared" si="3"/>
        <v>36</v>
      </c>
      <c r="O229" s="382">
        <f t="shared" si="4"/>
        <v>8.9495246808002864E-5</v>
      </c>
      <c r="P229" s="354"/>
      <c r="Q229" s="373"/>
      <c r="R229" s="5"/>
    </row>
    <row r="230" spans="1:18" ht="15.6" x14ac:dyDescent="0.3">
      <c r="A230" s="260"/>
      <c r="B230" s="330" t="s">
        <v>230</v>
      </c>
      <c r="C230" s="381"/>
      <c r="D230" s="261"/>
      <c r="E230" s="382"/>
      <c r="F230" s="381"/>
      <c r="G230" s="381"/>
      <c r="H230" s="381"/>
      <c r="I230" s="381"/>
      <c r="J230" s="381"/>
      <c r="K230" s="381"/>
      <c r="L230" s="330">
        <f t="shared" si="1"/>
        <v>4</v>
      </c>
      <c r="M230" s="382">
        <f t="shared" si="2"/>
        <v>1.115137998327293E-3</v>
      </c>
      <c r="N230" s="331">
        <f t="shared" si="3"/>
        <v>311</v>
      </c>
      <c r="O230" s="382">
        <f t="shared" si="4"/>
        <v>7.7313949325802476E-4</v>
      </c>
      <c r="P230" s="354"/>
      <c r="Q230" s="373"/>
      <c r="R230" s="5"/>
    </row>
    <row r="231" spans="1:18" ht="15.6" x14ac:dyDescent="0.3">
      <c r="A231" s="260"/>
      <c r="B231" s="330" t="s">
        <v>231</v>
      </c>
      <c r="C231" s="381"/>
      <c r="D231" s="261"/>
      <c r="E231" s="382"/>
      <c r="F231" s="381"/>
      <c r="G231" s="381"/>
      <c r="H231" s="381"/>
      <c r="I231" s="381"/>
      <c r="J231" s="381"/>
      <c r="K231" s="381"/>
      <c r="L231" s="330">
        <f t="shared" si="1"/>
        <v>12</v>
      </c>
      <c r="M231" s="382">
        <f t="shared" si="2"/>
        <v>3.3454139949818792E-3</v>
      </c>
      <c r="N231" s="331">
        <f t="shared" si="3"/>
        <v>2607</v>
      </c>
      <c r="O231" s="382">
        <f t="shared" si="4"/>
        <v>6.4809474563462073E-3</v>
      </c>
      <c r="P231" s="354"/>
      <c r="Q231" s="373"/>
      <c r="R231" s="5"/>
    </row>
    <row r="232" spans="1:18" ht="15.6" x14ac:dyDescent="0.3">
      <c r="A232" s="260"/>
      <c r="B232" s="261" t="s">
        <v>129</v>
      </c>
      <c r="C232" s="261"/>
      <c r="D232" s="261"/>
      <c r="E232" s="261"/>
      <c r="F232" s="383"/>
      <c r="G232" s="383"/>
      <c r="H232" s="383"/>
      <c r="I232" s="383"/>
      <c r="J232" s="383"/>
      <c r="K232" s="383"/>
      <c r="L232" s="330">
        <f>SUM(L224:L231)</f>
        <v>3587</v>
      </c>
      <c r="M232" s="382">
        <f>SUM(M224:M231)</f>
        <v>1</v>
      </c>
      <c r="N232" s="330">
        <f>SUM(N224:N231)</f>
        <v>402256</v>
      </c>
      <c r="O232" s="382">
        <f>SUM(O224:O231)</f>
        <v>1</v>
      </c>
      <c r="P232" s="261"/>
      <c r="Q232" s="264"/>
      <c r="R232" s="5"/>
    </row>
    <row r="233" spans="1:18" ht="15.6" x14ac:dyDescent="0.3">
      <c r="A233" s="348"/>
      <c r="B233" s="222"/>
      <c r="C233" s="223"/>
      <c r="D233" s="224"/>
      <c r="E233" s="190"/>
      <c r="F233" s="190"/>
      <c r="G233" s="190"/>
      <c r="H233" s="190"/>
      <c r="I233" s="190"/>
      <c r="J233" s="190"/>
      <c r="K233" s="190"/>
      <c r="L233" s="190"/>
      <c r="M233" s="190"/>
      <c r="N233" s="349"/>
      <c r="O233" s="190"/>
      <c r="P233" s="344"/>
      <c r="Q233" s="350"/>
      <c r="R233" s="5"/>
    </row>
    <row r="234" spans="1:18" ht="15.6" x14ac:dyDescent="0.3">
      <c r="A234" s="251"/>
      <c r="B234" s="317" t="s">
        <v>236</v>
      </c>
      <c r="C234" s="318"/>
      <c r="D234" s="319"/>
      <c r="E234" s="318"/>
      <c r="F234" s="318"/>
      <c r="G234" s="318"/>
      <c r="H234" s="318"/>
      <c r="I234" s="318"/>
      <c r="J234" s="318"/>
      <c r="K234" s="318"/>
      <c r="L234" s="319" t="s">
        <v>113</v>
      </c>
      <c r="M234" s="318" t="s">
        <v>114</v>
      </c>
      <c r="N234" s="319" t="s">
        <v>123</v>
      </c>
      <c r="O234" s="318" t="s">
        <v>114</v>
      </c>
      <c r="P234" s="252"/>
      <c r="Q234" s="317"/>
      <c r="R234" s="5"/>
    </row>
    <row r="235" spans="1:18" ht="15.6" x14ac:dyDescent="0.3">
      <c r="A235" s="198"/>
      <c r="B235" s="235" t="s">
        <v>98</v>
      </c>
      <c r="C235" s="309"/>
      <c r="D235" s="230"/>
      <c r="E235" s="309"/>
      <c r="F235" s="309"/>
      <c r="G235" s="309"/>
      <c r="H235" s="309"/>
      <c r="I235" s="309"/>
      <c r="J235" s="309"/>
      <c r="K235" s="309"/>
      <c r="L235" s="235">
        <v>3470</v>
      </c>
      <c r="M235" s="310">
        <f t="shared" ref="M235:M242" si="5">L235/$L$243</f>
        <v>0.98635588402501417</v>
      </c>
      <c r="N235" s="300">
        <v>386569</v>
      </c>
      <c r="O235" s="310">
        <f t="shared" ref="O235:O242" si="6">N235/$N$243</f>
        <v>0.98875602675431307</v>
      </c>
      <c r="P235" s="306"/>
      <c r="Q235" s="233"/>
      <c r="R235" s="5"/>
    </row>
    <row r="236" spans="1:18" ht="15.6" x14ac:dyDescent="0.3">
      <c r="A236" s="260"/>
      <c r="B236" s="330" t="s">
        <v>99</v>
      </c>
      <c r="C236" s="381"/>
      <c r="D236" s="261"/>
      <c r="E236" s="382"/>
      <c r="F236" s="381"/>
      <c r="G236" s="381"/>
      <c r="H236" s="381"/>
      <c r="I236" s="381"/>
      <c r="J236" s="381"/>
      <c r="K236" s="381"/>
      <c r="L236" s="330">
        <v>31</v>
      </c>
      <c r="M236" s="382">
        <f t="shared" si="5"/>
        <v>8.8118249005116542E-3</v>
      </c>
      <c r="N236" s="331">
        <v>3255</v>
      </c>
      <c r="O236" s="382">
        <f t="shared" si="6"/>
        <v>8.3255534382873156E-3</v>
      </c>
      <c r="P236" s="354"/>
      <c r="Q236" s="373"/>
      <c r="R236" s="5"/>
    </row>
    <row r="237" spans="1:18" ht="15.6" x14ac:dyDescent="0.3">
      <c r="A237" s="260"/>
      <c r="B237" s="330" t="s">
        <v>100</v>
      </c>
      <c r="C237" s="381"/>
      <c r="D237" s="261"/>
      <c r="E237" s="382"/>
      <c r="F237" s="381"/>
      <c r="G237" s="381"/>
      <c r="H237" s="381"/>
      <c r="I237" s="381"/>
      <c r="J237" s="381"/>
      <c r="K237" s="381"/>
      <c r="L237" s="330">
        <v>8</v>
      </c>
      <c r="M237" s="382">
        <f t="shared" si="5"/>
        <v>2.2740193291642978E-3</v>
      </c>
      <c r="N237" s="331">
        <v>878</v>
      </c>
      <c r="O237" s="382">
        <f t="shared" si="6"/>
        <v>2.2457253206808795E-3</v>
      </c>
      <c r="P237" s="354"/>
      <c r="Q237" s="373"/>
      <c r="R237" s="5"/>
    </row>
    <row r="238" spans="1:18" ht="15.6" x14ac:dyDescent="0.3">
      <c r="A238" s="260"/>
      <c r="B238" s="330" t="s">
        <v>227</v>
      </c>
      <c r="C238" s="381"/>
      <c r="D238" s="261"/>
      <c r="E238" s="382"/>
      <c r="F238" s="381"/>
      <c r="G238" s="381"/>
      <c r="H238" s="381"/>
      <c r="I238" s="381"/>
      <c r="J238" s="381"/>
      <c r="K238" s="381"/>
      <c r="L238" s="330">
        <v>3</v>
      </c>
      <c r="M238" s="382">
        <f t="shared" si="5"/>
        <v>8.5275724843661166E-4</v>
      </c>
      <c r="N238" s="331">
        <v>68</v>
      </c>
      <c r="O238" s="382">
        <f t="shared" si="6"/>
        <v>1.7392861253564897E-4</v>
      </c>
      <c r="P238" s="354"/>
      <c r="Q238" s="373"/>
      <c r="R238" s="5"/>
    </row>
    <row r="239" spans="1:18" ht="15.6" x14ac:dyDescent="0.3">
      <c r="A239" s="260"/>
      <c r="B239" s="330" t="s">
        <v>228</v>
      </c>
      <c r="C239" s="381"/>
      <c r="D239" s="261"/>
      <c r="E239" s="382"/>
      <c r="F239" s="381"/>
      <c r="G239" s="381"/>
      <c r="H239" s="381"/>
      <c r="I239" s="381"/>
      <c r="J239" s="381"/>
      <c r="K239" s="381"/>
      <c r="L239" s="330">
        <v>2</v>
      </c>
      <c r="M239" s="382">
        <f t="shared" si="5"/>
        <v>5.6850483229107444E-4</v>
      </c>
      <c r="N239" s="331">
        <v>73</v>
      </c>
      <c r="O239" s="382">
        <f t="shared" si="6"/>
        <v>1.8671748110444668E-4</v>
      </c>
      <c r="P239" s="354"/>
      <c r="Q239" s="373"/>
      <c r="R239" s="5"/>
    </row>
    <row r="240" spans="1:18" ht="15.6" x14ac:dyDescent="0.3">
      <c r="A240" s="260"/>
      <c r="B240" s="330" t="s">
        <v>229</v>
      </c>
      <c r="C240" s="381"/>
      <c r="D240" s="261"/>
      <c r="E240" s="382"/>
      <c r="F240" s="381"/>
      <c r="G240" s="381"/>
      <c r="H240" s="381"/>
      <c r="I240" s="381"/>
      <c r="J240" s="381"/>
      <c r="K240" s="381"/>
      <c r="L240" s="330">
        <v>1</v>
      </c>
      <c r="M240" s="382">
        <f t="shared" si="5"/>
        <v>2.8425241614553722E-4</v>
      </c>
      <c r="N240" s="331">
        <v>36</v>
      </c>
      <c r="O240" s="382">
        <f t="shared" si="6"/>
        <v>9.2079853695343567E-5</v>
      </c>
      <c r="P240" s="354"/>
      <c r="Q240" s="373"/>
      <c r="R240" s="5"/>
    </row>
    <row r="241" spans="1:18" ht="15.6" x14ac:dyDescent="0.3">
      <c r="A241" s="260"/>
      <c r="B241" s="330" t="s">
        <v>230</v>
      </c>
      <c r="C241" s="381"/>
      <c r="D241" s="261"/>
      <c r="E241" s="382"/>
      <c r="F241" s="381"/>
      <c r="G241" s="381"/>
      <c r="H241" s="381"/>
      <c r="I241" s="381"/>
      <c r="J241" s="381"/>
      <c r="K241" s="381"/>
      <c r="L241" s="330">
        <v>2</v>
      </c>
      <c r="M241" s="382">
        <f t="shared" si="5"/>
        <v>5.6850483229107444E-4</v>
      </c>
      <c r="N241" s="331">
        <v>45</v>
      </c>
      <c r="O241" s="382">
        <f t="shared" si="6"/>
        <v>1.1509981711917947E-4</v>
      </c>
      <c r="P241" s="354"/>
      <c r="Q241" s="373"/>
      <c r="R241" s="5"/>
    </row>
    <row r="242" spans="1:18" ht="15.6" x14ac:dyDescent="0.3">
      <c r="A242" s="260"/>
      <c r="B242" s="330" t="s">
        <v>231</v>
      </c>
      <c r="C242" s="381"/>
      <c r="D242" s="261"/>
      <c r="E242" s="382"/>
      <c r="F242" s="381"/>
      <c r="G242" s="381"/>
      <c r="H242" s="381"/>
      <c r="I242" s="381"/>
      <c r="J242" s="381"/>
      <c r="K242" s="381"/>
      <c r="L242" s="330">
        <v>1</v>
      </c>
      <c r="M242" s="382">
        <f t="shared" si="5"/>
        <v>2.8425241614553722E-4</v>
      </c>
      <c r="N242" s="331">
        <v>41</v>
      </c>
      <c r="O242" s="382">
        <f t="shared" si="6"/>
        <v>1.0486872226414129E-4</v>
      </c>
      <c r="P242" s="354"/>
      <c r="Q242" s="373"/>
      <c r="R242" s="5"/>
    </row>
    <row r="243" spans="1:18" ht="15.6" x14ac:dyDescent="0.3">
      <c r="A243" s="260"/>
      <c r="B243" s="261" t="s">
        <v>129</v>
      </c>
      <c r="C243" s="261"/>
      <c r="D243" s="261"/>
      <c r="E243" s="261"/>
      <c r="F243" s="383"/>
      <c r="G243" s="383"/>
      <c r="H243" s="383"/>
      <c r="I243" s="383"/>
      <c r="J243" s="383"/>
      <c r="K243" s="383"/>
      <c r="L243" s="330">
        <f>SUM(L235:L242)</f>
        <v>3518</v>
      </c>
      <c r="M243" s="382">
        <f>SUM(M235:M242)</f>
        <v>0.99999999999999989</v>
      </c>
      <c r="N243" s="331">
        <f>SUM(N235:N242)</f>
        <v>390965</v>
      </c>
      <c r="O243" s="382">
        <f>SUM(O235:O242)</f>
        <v>1</v>
      </c>
      <c r="P243" s="261"/>
      <c r="Q243" s="264"/>
      <c r="R243" s="5"/>
    </row>
    <row r="244" spans="1:18" ht="15.6" x14ac:dyDescent="0.3">
      <c r="A244" s="183"/>
      <c r="B244" s="257"/>
      <c r="C244" s="257"/>
      <c r="D244" s="257"/>
      <c r="E244" s="257"/>
      <c r="F244" s="378"/>
      <c r="G244" s="378"/>
      <c r="H244" s="378"/>
      <c r="I244" s="378"/>
      <c r="J244" s="378"/>
      <c r="K244" s="378"/>
      <c r="L244" s="302"/>
      <c r="M244" s="379"/>
      <c r="N244" s="380"/>
      <c r="O244" s="379"/>
      <c r="P244" s="257"/>
      <c r="Q244" s="257"/>
      <c r="R244" s="5"/>
    </row>
    <row r="245" spans="1:18" ht="15.6" x14ac:dyDescent="0.3">
      <c r="A245" s="316"/>
      <c r="B245" s="317" t="s">
        <v>238</v>
      </c>
      <c r="C245" s="318"/>
      <c r="D245" s="319"/>
      <c r="E245" s="318"/>
      <c r="F245" s="318"/>
      <c r="G245" s="318"/>
      <c r="H245" s="318"/>
      <c r="I245" s="318"/>
      <c r="J245" s="318"/>
      <c r="K245" s="318"/>
      <c r="L245" s="319" t="s">
        <v>113</v>
      </c>
      <c r="M245" s="318" t="s">
        <v>114</v>
      </c>
      <c r="N245" s="319" t="s">
        <v>123</v>
      </c>
      <c r="O245" s="318" t="s">
        <v>114</v>
      </c>
      <c r="P245" s="252"/>
      <c r="Q245" s="321"/>
      <c r="R245" s="5"/>
    </row>
    <row r="246" spans="1:18" ht="15.6" x14ac:dyDescent="0.3">
      <c r="A246" s="198"/>
      <c r="B246" s="235" t="s">
        <v>98</v>
      </c>
      <c r="C246" s="309"/>
      <c r="D246" s="230"/>
      <c r="E246" s="309"/>
      <c r="F246" s="309"/>
      <c r="G246" s="309"/>
      <c r="H246" s="309"/>
      <c r="I246" s="309"/>
      <c r="J246" s="309"/>
      <c r="K246" s="309"/>
      <c r="L246" s="235">
        <v>44</v>
      </c>
      <c r="M246" s="310">
        <f t="shared" ref="M246:M253" si="7">L246/$L$254</f>
        <v>0.6376811594202898</v>
      </c>
      <c r="N246" s="300">
        <v>6518</v>
      </c>
      <c r="O246" s="310">
        <f t="shared" ref="O246:O253" si="8">N246/$N$254</f>
        <v>0.57727393499247193</v>
      </c>
      <c r="P246" s="306"/>
      <c r="Q246" s="230"/>
      <c r="R246" s="5"/>
    </row>
    <row r="247" spans="1:18" ht="15.6" x14ac:dyDescent="0.3">
      <c r="A247" s="260"/>
      <c r="B247" s="330" t="s">
        <v>99</v>
      </c>
      <c r="C247" s="381"/>
      <c r="D247" s="261"/>
      <c r="E247" s="382"/>
      <c r="F247" s="381"/>
      <c r="G247" s="381"/>
      <c r="H247" s="381"/>
      <c r="I247" s="381"/>
      <c r="J247" s="381"/>
      <c r="K247" s="381"/>
      <c r="L247" s="330">
        <v>3</v>
      </c>
      <c r="M247" s="382">
        <f t="shared" si="7"/>
        <v>4.3478260869565216E-2</v>
      </c>
      <c r="N247" s="331">
        <v>421</v>
      </c>
      <c r="O247" s="382">
        <f t="shared" si="8"/>
        <v>3.7286334248516517E-2</v>
      </c>
      <c r="P247" s="354"/>
      <c r="Q247" s="264"/>
      <c r="R247" s="5"/>
    </row>
    <row r="248" spans="1:18" ht="15.6" x14ac:dyDescent="0.3">
      <c r="A248" s="260"/>
      <c r="B248" s="330" t="s">
        <v>100</v>
      </c>
      <c r="C248" s="381"/>
      <c r="D248" s="261"/>
      <c r="E248" s="382"/>
      <c r="F248" s="381"/>
      <c r="G248" s="381"/>
      <c r="H248" s="381"/>
      <c r="I248" s="381"/>
      <c r="J248" s="381"/>
      <c r="K248" s="381"/>
      <c r="L248" s="330">
        <v>7</v>
      </c>
      <c r="M248" s="382">
        <f t="shared" si="7"/>
        <v>0.10144927536231885</v>
      </c>
      <c r="N248" s="331">
        <v>838</v>
      </c>
      <c r="O248" s="382">
        <f t="shared" si="8"/>
        <v>7.4218404038614821E-2</v>
      </c>
      <c r="P248" s="354"/>
      <c r="Q248" s="264"/>
      <c r="R248" s="5"/>
    </row>
    <row r="249" spans="1:18" ht="15.6" x14ac:dyDescent="0.3">
      <c r="A249" s="260"/>
      <c r="B249" s="330" t="s">
        <v>227</v>
      </c>
      <c r="C249" s="381"/>
      <c r="D249" s="261"/>
      <c r="E249" s="382"/>
      <c r="F249" s="381"/>
      <c r="G249" s="381"/>
      <c r="H249" s="381"/>
      <c r="I249" s="381"/>
      <c r="J249" s="381"/>
      <c r="K249" s="381"/>
      <c r="L249" s="330">
        <v>2</v>
      </c>
      <c r="M249" s="382">
        <f t="shared" si="7"/>
        <v>2.8985507246376812E-2</v>
      </c>
      <c r="N249" s="331">
        <v>682</v>
      </c>
      <c r="O249" s="382">
        <f t="shared" si="8"/>
        <v>6.0402090160304671E-2</v>
      </c>
      <c r="P249" s="354"/>
      <c r="Q249" s="264"/>
      <c r="R249" s="5"/>
    </row>
    <row r="250" spans="1:18" ht="15.6" x14ac:dyDescent="0.3">
      <c r="A250" s="260"/>
      <c r="B250" s="330" t="s">
        <v>228</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229</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230</v>
      </c>
      <c r="C252" s="381"/>
      <c r="D252" s="261"/>
      <c r="E252" s="382"/>
      <c r="F252" s="381"/>
      <c r="G252" s="381"/>
      <c r="H252" s="381"/>
      <c r="I252" s="381"/>
      <c r="J252" s="381"/>
      <c r="K252" s="381"/>
      <c r="L252" s="330">
        <v>2</v>
      </c>
      <c r="M252" s="382">
        <f t="shared" si="7"/>
        <v>2.8985507246376812E-2</v>
      </c>
      <c r="N252" s="331">
        <v>266</v>
      </c>
      <c r="O252" s="382">
        <f t="shared" si="8"/>
        <v>2.3558586484810913E-2</v>
      </c>
      <c r="P252" s="354"/>
      <c r="Q252" s="264"/>
      <c r="R252" s="5"/>
    </row>
    <row r="253" spans="1:18" ht="15.6" x14ac:dyDescent="0.3">
      <c r="A253" s="260"/>
      <c r="B253" s="330" t="s">
        <v>231</v>
      </c>
      <c r="C253" s="381"/>
      <c r="D253" s="261"/>
      <c r="E253" s="382"/>
      <c r="F253" s="381"/>
      <c r="G253" s="381"/>
      <c r="H253" s="381"/>
      <c r="I253" s="381"/>
      <c r="J253" s="381"/>
      <c r="K253" s="381"/>
      <c r="L253" s="330">
        <v>11</v>
      </c>
      <c r="M253" s="382">
        <f t="shared" si="7"/>
        <v>0.15942028985507245</v>
      </c>
      <c r="N253" s="331">
        <v>2566</v>
      </c>
      <c r="O253" s="382">
        <f t="shared" si="8"/>
        <v>0.22726065007528121</v>
      </c>
      <c r="P253" s="354"/>
      <c r="Q253" s="264"/>
      <c r="R253" s="5"/>
    </row>
    <row r="254" spans="1:18" ht="15.6" x14ac:dyDescent="0.3">
      <c r="A254" s="260"/>
      <c r="B254" s="261" t="s">
        <v>129</v>
      </c>
      <c r="C254" s="261"/>
      <c r="D254" s="261"/>
      <c r="E254" s="261"/>
      <c r="F254" s="383"/>
      <c r="G254" s="383"/>
      <c r="H254" s="383"/>
      <c r="I254" s="383"/>
      <c r="J254" s="383"/>
      <c r="K254" s="383"/>
      <c r="L254" s="330">
        <f>SUM(L246:L253)</f>
        <v>69</v>
      </c>
      <c r="M254" s="382">
        <f>SUM(M246:M253)</f>
        <v>1</v>
      </c>
      <c r="N254" s="331">
        <f>SUM(N246:N253)</f>
        <v>11291</v>
      </c>
      <c r="O254" s="382">
        <f>SUM(O246:O253)</f>
        <v>0.99999999999999989</v>
      </c>
      <c r="P254" s="261"/>
      <c r="Q254" s="264"/>
      <c r="R254" s="5"/>
    </row>
    <row r="255" spans="1:18" ht="15.6" x14ac:dyDescent="0.3">
      <c r="A255" s="183"/>
      <c r="B255" s="257"/>
      <c r="C255" s="257"/>
      <c r="D255" s="257"/>
      <c r="E255" s="257"/>
      <c r="F255" s="378"/>
      <c r="G255" s="378"/>
      <c r="H255" s="378"/>
      <c r="I255" s="378"/>
      <c r="J255" s="378"/>
      <c r="K255" s="378"/>
      <c r="L255" s="302"/>
      <c r="M255" s="379"/>
      <c r="N255" s="380"/>
      <c r="O255" s="379"/>
      <c r="P255" s="257"/>
      <c r="Q255" s="257"/>
      <c r="R255" s="5"/>
    </row>
    <row r="256" spans="1:18" ht="15.6" x14ac:dyDescent="0.3">
      <c r="A256" s="316"/>
      <c r="B256" s="317" t="s">
        <v>239</v>
      </c>
      <c r="C256" s="318"/>
      <c r="D256" s="319"/>
      <c r="E256" s="318"/>
      <c r="F256" s="318"/>
      <c r="G256" s="318"/>
      <c r="H256" s="318"/>
      <c r="I256" s="318"/>
      <c r="J256" s="318"/>
      <c r="K256" s="318"/>
      <c r="L256" s="319" t="s">
        <v>113</v>
      </c>
      <c r="M256" s="318" t="s">
        <v>114</v>
      </c>
      <c r="N256" s="319" t="s">
        <v>123</v>
      </c>
      <c r="O256" s="318" t="s">
        <v>114</v>
      </c>
      <c r="P256" s="320"/>
      <c r="Q256" s="321"/>
      <c r="R256" s="5"/>
    </row>
    <row r="257" spans="1:18" ht="15.6" x14ac:dyDescent="0.3">
      <c r="A257" s="198"/>
      <c r="B257" s="235" t="s">
        <v>98</v>
      </c>
      <c r="C257" s="309"/>
      <c r="D257" s="230"/>
      <c r="E257" s="309"/>
      <c r="F257" s="309"/>
      <c r="G257" s="309"/>
      <c r="H257" s="309"/>
      <c r="I257" s="309"/>
      <c r="J257" s="309"/>
      <c r="K257" s="309"/>
      <c r="L257" s="235">
        <v>0</v>
      </c>
      <c r="M257" s="310">
        <v>0</v>
      </c>
      <c r="N257" s="300">
        <v>0</v>
      </c>
      <c r="O257" s="310">
        <v>0</v>
      </c>
      <c r="P257" s="230"/>
      <c r="Q257" s="230"/>
      <c r="R257" s="5"/>
    </row>
    <row r="258" spans="1:18" ht="15.6" x14ac:dyDescent="0.3">
      <c r="A258" s="260"/>
      <c r="B258" s="330" t="s">
        <v>99</v>
      </c>
      <c r="C258" s="381"/>
      <c r="D258" s="261"/>
      <c r="E258" s="382"/>
      <c r="F258" s="381"/>
      <c r="G258" s="381"/>
      <c r="H258" s="381"/>
      <c r="I258" s="381"/>
      <c r="J258" s="381"/>
      <c r="K258" s="381"/>
      <c r="L258" s="330">
        <v>0</v>
      </c>
      <c r="M258" s="382">
        <v>0</v>
      </c>
      <c r="N258" s="331">
        <v>0</v>
      </c>
      <c r="O258" s="382">
        <v>0</v>
      </c>
      <c r="P258" s="261"/>
      <c r="Q258" s="264"/>
      <c r="R258" s="5"/>
    </row>
    <row r="259" spans="1:18" ht="15.6" x14ac:dyDescent="0.3">
      <c r="A259" s="260"/>
      <c r="B259" s="330" t="s">
        <v>100</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227</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228</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229</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230</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231</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261" t="s">
        <v>129</v>
      </c>
      <c r="C265" s="261"/>
      <c r="D265" s="261"/>
      <c r="E265" s="261"/>
      <c r="F265" s="383"/>
      <c r="G265" s="383"/>
      <c r="H265" s="383"/>
      <c r="I265" s="383"/>
      <c r="J265" s="383"/>
      <c r="K265" s="383"/>
      <c r="L265" s="330">
        <f>SUM(L257:L264)</f>
        <v>0</v>
      </c>
      <c r="M265" s="382">
        <v>0</v>
      </c>
      <c r="N265" s="331">
        <f>SUM(N257:N264)</f>
        <v>0</v>
      </c>
      <c r="O265" s="382">
        <v>0</v>
      </c>
      <c r="P265" s="261"/>
      <c r="Q265" s="264"/>
      <c r="R265" s="5"/>
    </row>
    <row r="266" spans="1:18" ht="15.6" x14ac:dyDescent="0.3">
      <c r="A266" s="260"/>
      <c r="B266" s="261"/>
      <c r="C266" s="261"/>
      <c r="D266" s="261"/>
      <c r="E266" s="261"/>
      <c r="F266" s="383"/>
      <c r="G266" s="383"/>
      <c r="H266" s="383"/>
      <c r="I266" s="383"/>
      <c r="J266" s="383"/>
      <c r="K266" s="383"/>
      <c r="L266" s="330"/>
      <c r="M266" s="382"/>
      <c r="N266" s="331"/>
      <c r="O266" s="382"/>
      <c r="P266" s="261"/>
      <c r="Q266" s="264"/>
      <c r="R266" s="5"/>
    </row>
    <row r="267" spans="1:18" ht="15.6" x14ac:dyDescent="0.3">
      <c r="A267" s="260"/>
      <c r="B267" s="384" t="s">
        <v>240</v>
      </c>
      <c r="C267" s="261"/>
      <c r="D267" s="261"/>
      <c r="E267" s="261"/>
      <c r="F267" s="383"/>
      <c r="G267" s="383"/>
      <c r="H267" s="383"/>
      <c r="I267" s="383"/>
      <c r="J267" s="383"/>
      <c r="K267" s="383"/>
      <c r="L267" s="385">
        <f>+L243+L254+L265</f>
        <v>3587</v>
      </c>
      <c r="M267" s="382"/>
      <c r="N267" s="386">
        <f>+N265+N254+N243</f>
        <v>402256</v>
      </c>
      <c r="O267" s="382"/>
      <c r="P267" s="261"/>
      <c r="Q267" s="264"/>
      <c r="R267" s="5"/>
    </row>
    <row r="268" spans="1:18" ht="15.6" x14ac:dyDescent="0.3">
      <c r="A268" s="183"/>
      <c r="B268" s="257"/>
      <c r="C268" s="257"/>
      <c r="D268" s="257"/>
      <c r="E268" s="257"/>
      <c r="F268" s="378"/>
      <c r="G268" s="378"/>
      <c r="H268" s="378"/>
      <c r="I268" s="378"/>
      <c r="J268" s="378"/>
      <c r="K268" s="378"/>
      <c r="L268" s="378"/>
      <c r="M268" s="378"/>
      <c r="N268" s="380"/>
      <c r="O268" s="378"/>
      <c r="P268" s="257"/>
      <c r="Q268" s="257"/>
      <c r="R268" s="5"/>
    </row>
    <row r="269" spans="1:18" ht="15.6" x14ac:dyDescent="0.3">
      <c r="A269" s="183"/>
      <c r="B269" s="236"/>
      <c r="C269" s="236"/>
      <c r="D269" s="236"/>
      <c r="E269" s="236"/>
      <c r="F269" s="311"/>
      <c r="G269" s="311"/>
      <c r="H269" s="311"/>
      <c r="I269" s="311"/>
      <c r="J269" s="311"/>
      <c r="K269" s="311"/>
      <c r="L269" s="311"/>
      <c r="M269" s="311"/>
      <c r="N269" s="312"/>
      <c r="O269" s="311"/>
      <c r="P269" s="236"/>
      <c r="Q269" s="236"/>
      <c r="R269" s="5"/>
    </row>
    <row r="270" spans="1:18" ht="15.6" x14ac:dyDescent="0.3">
      <c r="A270" s="225"/>
      <c r="B270" s="228" t="s">
        <v>102</v>
      </c>
      <c r="C270" s="236"/>
      <c r="D270" s="236"/>
      <c r="E270" s="236"/>
      <c r="F270" s="246" t="s">
        <v>108</v>
      </c>
      <c r="G270" s="236"/>
      <c r="H270" s="228" t="s">
        <v>110</v>
      </c>
      <c r="I270" s="249"/>
      <c r="J270" s="249"/>
      <c r="K270" s="249"/>
      <c r="L270" s="249"/>
      <c r="M270" s="249"/>
      <c r="N270" s="249"/>
      <c r="O270" s="249"/>
      <c r="P270" s="249"/>
      <c r="Q270" s="249"/>
      <c r="R270" s="5"/>
    </row>
    <row r="271" spans="1:18" ht="15.6" x14ac:dyDescent="0.3">
      <c r="A271" s="225"/>
      <c r="B271" s="249"/>
      <c r="C271" s="236"/>
      <c r="D271" s="236"/>
      <c r="E271" s="236"/>
      <c r="F271" s="236"/>
      <c r="G271" s="236"/>
      <c r="H271" s="236"/>
      <c r="I271" s="249"/>
      <c r="J271" s="249"/>
      <c r="K271" s="249"/>
      <c r="L271" s="249"/>
      <c r="M271" s="249"/>
      <c r="N271" s="249"/>
      <c r="O271" s="249"/>
      <c r="P271" s="249"/>
      <c r="Q271" s="249"/>
      <c r="R271" s="5"/>
    </row>
    <row r="272" spans="1:18" ht="15.6" x14ac:dyDescent="0.3">
      <c r="A272" s="225"/>
      <c r="B272" s="228" t="s">
        <v>103</v>
      </c>
      <c r="C272" s="228"/>
      <c r="D272" s="228"/>
      <c r="E272" s="228"/>
      <c r="F272" s="313" t="s">
        <v>212</v>
      </c>
      <c r="G272" s="228"/>
      <c r="H272" s="228" t="s">
        <v>222</v>
      </c>
      <c r="I272" s="249"/>
      <c r="J272" s="249"/>
      <c r="K272" s="249"/>
      <c r="L272" s="249"/>
      <c r="M272" s="249"/>
      <c r="N272" s="249"/>
      <c r="O272" s="249"/>
      <c r="P272" s="249"/>
      <c r="Q272" s="249"/>
      <c r="R272" s="5"/>
    </row>
    <row r="273" spans="1:18" ht="15.6" x14ac:dyDescent="0.3">
      <c r="A273" s="225"/>
      <c r="B273" s="228" t="s">
        <v>263</v>
      </c>
      <c r="C273" s="228"/>
      <c r="D273" s="228"/>
      <c r="E273" s="228"/>
      <c r="F273" s="313" t="s">
        <v>264</v>
      </c>
      <c r="G273" s="228"/>
      <c r="H273" s="228" t="s">
        <v>265</v>
      </c>
      <c r="I273" s="249"/>
      <c r="J273" s="249"/>
      <c r="K273" s="249"/>
      <c r="L273" s="249"/>
      <c r="M273" s="249"/>
      <c r="N273" s="249"/>
      <c r="O273" s="249"/>
      <c r="P273" s="249"/>
      <c r="Q273" s="249"/>
      <c r="R273" s="5"/>
    </row>
    <row r="274" spans="1:18" ht="15.6" x14ac:dyDescent="0.3">
      <c r="A274" s="225"/>
      <c r="B274" s="228" t="s">
        <v>104</v>
      </c>
      <c r="C274" s="228"/>
      <c r="D274" s="228"/>
      <c r="E274" s="228"/>
      <c r="F274" s="313" t="s">
        <v>211</v>
      </c>
      <c r="G274" s="228"/>
      <c r="H274" s="228" t="s">
        <v>223</v>
      </c>
      <c r="I274" s="249"/>
      <c r="J274" s="249"/>
      <c r="K274" s="249"/>
      <c r="L274" s="249"/>
      <c r="M274" s="249"/>
      <c r="N274" s="249"/>
      <c r="O274" s="249"/>
      <c r="P274" s="249"/>
      <c r="Q274" s="249"/>
      <c r="R274" s="5"/>
    </row>
    <row r="275" spans="1:18" ht="15.6" x14ac:dyDescent="0.3">
      <c r="A275" s="225"/>
      <c r="B275" s="228"/>
      <c r="C275" s="228"/>
      <c r="D275" s="228"/>
      <c r="E275" s="314"/>
      <c r="F275" s="249"/>
      <c r="G275" s="249"/>
      <c r="H275" s="249"/>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8" thickBot="1" x14ac:dyDescent="0.35">
      <c r="A277" s="225"/>
      <c r="B277" s="315" t="str">
        <f>B184</f>
        <v>PM7 INVESTOR REPORT QUARTER ENDING JANUARY 2011</v>
      </c>
      <c r="C277" s="228"/>
      <c r="D277" s="228"/>
      <c r="E277" s="314"/>
      <c r="F277" s="249"/>
      <c r="G277" s="249"/>
      <c r="H277" s="249"/>
      <c r="I277" s="249"/>
      <c r="J277" s="249"/>
      <c r="K277" s="249"/>
      <c r="L277" s="249"/>
      <c r="M277" s="249"/>
      <c r="N277" s="249"/>
      <c r="O277" s="249"/>
      <c r="P277" s="249"/>
      <c r="Q277" s="24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phoneticPr fontId="0" type="noConversion"/>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7" man="1"/>
    <brk id="132" max="14" man="1"/>
    <brk id="184" max="14"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0.95709999999999995</v>
      </c>
      <c r="N17" s="246" t="s">
        <v>173</v>
      </c>
      <c r="O17" s="245">
        <v>4.2900000000000001E-2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40681</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177</v>
      </c>
      <c r="E28" s="392"/>
      <c r="F28" s="392" t="s">
        <v>177</v>
      </c>
      <c r="G28" s="392"/>
      <c r="H28" s="392" t="s">
        <v>177</v>
      </c>
      <c r="I28" s="392"/>
      <c r="J28" s="392" t="s">
        <v>262</v>
      </c>
      <c r="K28" s="392"/>
      <c r="L28" s="392" t="s">
        <v>262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178601.08499999999</v>
      </c>
      <c r="E34" s="271"/>
      <c r="F34" s="272">
        <f>+F33*F40</f>
        <v>87290.676000000007</v>
      </c>
      <c r="G34" s="271"/>
      <c r="H34" s="273">
        <f>+H33*H40</f>
        <v>198458.35</v>
      </c>
      <c r="I34" s="271"/>
      <c r="J34" s="270">
        <f>J33*J40</f>
        <v>73690.278749999998</v>
      </c>
      <c r="K34" s="271"/>
      <c r="L34" s="273">
        <f>L33*L40</f>
        <v>58058.981500000002</v>
      </c>
      <c r="M34" s="271"/>
      <c r="N34" s="271"/>
      <c r="O34" s="274"/>
      <c r="P34" s="271"/>
      <c r="Q34" s="275"/>
      <c r="R34" s="5"/>
    </row>
    <row r="35" spans="1:19" ht="15.6" x14ac:dyDescent="0.3">
      <c r="A35" s="265"/>
      <c r="B35" s="266" t="s">
        <v>158</v>
      </c>
      <c r="C35" s="276"/>
      <c r="D35" s="277">
        <f>+D33*D39</f>
        <v>177161.535</v>
      </c>
      <c r="E35" s="278"/>
      <c r="F35" s="279">
        <f>+F33*F39</f>
        <v>86587.115999999995</v>
      </c>
      <c r="G35" s="278"/>
      <c r="H35" s="280">
        <f>+H33*H39</f>
        <v>196858.7</v>
      </c>
      <c r="I35" s="278"/>
      <c r="J35" s="277">
        <f>J33*J39</f>
        <v>73096.311749999993</v>
      </c>
      <c r="K35" s="278"/>
      <c r="L35" s="280">
        <f>L33*L39</f>
        <v>57591.0075</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100394.08937605396</v>
      </c>
      <c r="E37" s="271"/>
      <c r="F37" s="271">
        <f>+F34</f>
        <v>87290.676000000007</v>
      </c>
      <c r="G37" s="271"/>
      <c r="H37" s="271">
        <f>+H34/1.481481</f>
        <v>133959.42978681467</v>
      </c>
      <c r="I37" s="271"/>
      <c r="J37" s="271">
        <f>J36*J40</f>
        <v>41421.975597000004</v>
      </c>
      <c r="K37" s="271"/>
      <c r="L37" s="271">
        <f>L36*L40</f>
        <v>39189.812512500001</v>
      </c>
      <c r="M37" s="271"/>
      <c r="N37" s="271"/>
      <c r="O37" s="274"/>
      <c r="P37" s="271">
        <f>SUM(C37:L37)</f>
        <v>402255.98327236861</v>
      </c>
      <c r="Q37" s="275"/>
      <c r="R37" s="5"/>
      <c r="S37" s="154"/>
    </row>
    <row r="38" spans="1:19" ht="15.6" x14ac:dyDescent="0.3">
      <c r="A38" s="265"/>
      <c r="B38" s="266" t="s">
        <v>281</v>
      </c>
      <c r="C38" s="276"/>
      <c r="D38" s="278">
        <f>D35/1.779</f>
        <v>99584.898819561553</v>
      </c>
      <c r="E38" s="278"/>
      <c r="F38" s="278">
        <f>+F35</f>
        <v>86587.115999999995</v>
      </c>
      <c r="G38" s="278"/>
      <c r="H38" s="278">
        <f>H35/1.481481</f>
        <v>132879.66568589135</v>
      </c>
      <c r="I38" s="278"/>
      <c r="J38" s="278">
        <f>J36*J39</f>
        <v>41088.1013466</v>
      </c>
      <c r="K38" s="278"/>
      <c r="L38" s="278">
        <f>L36*L39</f>
        <v>38873.930062499996</v>
      </c>
      <c r="M38" s="278"/>
      <c r="N38" s="278"/>
      <c r="O38" s="281"/>
      <c r="P38" s="278">
        <f>SUM(D38:L38)</f>
        <v>399013.7119145529</v>
      </c>
      <c r="Q38" s="275"/>
      <c r="R38" s="5"/>
      <c r="S38" s="176"/>
    </row>
    <row r="39" spans="1:19" ht="15.6" x14ac:dyDescent="0.3">
      <c r="A39" s="265"/>
      <c r="B39" s="282" t="s">
        <v>154</v>
      </c>
      <c r="C39" s="283"/>
      <c r="D39" s="284">
        <v>0.3936923</v>
      </c>
      <c r="E39" s="284"/>
      <c r="F39" s="284">
        <v>0.39357779999999998</v>
      </c>
      <c r="G39" s="284"/>
      <c r="H39" s="284">
        <v>0.3937174</v>
      </c>
      <c r="I39" s="284"/>
      <c r="J39" s="284">
        <v>0.88601589999999997</v>
      </c>
      <c r="K39" s="284"/>
      <c r="L39" s="284">
        <v>0.88601549999999996</v>
      </c>
      <c r="M39" s="285"/>
      <c r="N39" s="285"/>
      <c r="O39" s="286"/>
      <c r="P39" s="285"/>
      <c r="Q39" s="287"/>
      <c r="R39" s="5"/>
    </row>
    <row r="40" spans="1:19" ht="15.6" x14ac:dyDescent="0.3">
      <c r="A40" s="265"/>
      <c r="B40" s="282" t="s">
        <v>155</v>
      </c>
      <c r="C40" s="283"/>
      <c r="D40" s="284">
        <v>0.3968913</v>
      </c>
      <c r="E40" s="284"/>
      <c r="F40" s="284">
        <v>0.39677580000000001</v>
      </c>
      <c r="G40" s="284"/>
      <c r="H40" s="284">
        <v>0.39691670000000001</v>
      </c>
      <c r="I40" s="284"/>
      <c r="J40" s="284">
        <v>0.89321550000000005</v>
      </c>
      <c r="K40" s="284"/>
      <c r="L40" s="284">
        <v>0.89321510000000004</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7.3299999999999997E-3</v>
      </c>
      <c r="E42" s="290"/>
      <c r="F42" s="289">
        <v>1.22338E-2</v>
      </c>
      <c r="G42" s="290"/>
      <c r="H42" s="289">
        <v>1.5129999999999999E-2</v>
      </c>
      <c r="I42" s="290"/>
      <c r="J42" s="289">
        <v>1.813E-2</v>
      </c>
      <c r="K42" s="290"/>
      <c r="L42" s="289">
        <v>2.5930000000000002E-2</v>
      </c>
      <c r="M42" s="290"/>
      <c r="N42" s="289"/>
      <c r="O42" s="263"/>
      <c r="P42" s="290"/>
      <c r="Q42" s="264"/>
      <c r="R42" s="5"/>
    </row>
    <row r="43" spans="1:19" ht="15.6" x14ac:dyDescent="0.3">
      <c r="A43" s="260"/>
      <c r="B43" s="261" t="s">
        <v>14</v>
      </c>
      <c r="C43" s="261"/>
      <c r="D43" s="289">
        <v>7.0562999999999997E-3</v>
      </c>
      <c r="E43" s="290"/>
      <c r="F43" s="289">
        <v>1.1575E-2</v>
      </c>
      <c r="G43" s="290"/>
      <c r="H43" s="289">
        <v>1.47E-2</v>
      </c>
      <c r="I43" s="290"/>
      <c r="J43" s="289">
        <v>1.7856299999999999E-2</v>
      </c>
      <c r="K43" s="290"/>
      <c r="L43" s="289">
        <v>2.5499999999999998E-2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1.4123800000000001E-2</v>
      </c>
      <c r="E45" s="290"/>
      <c r="F45" s="289">
        <f>+F42</f>
        <v>1.22338E-2</v>
      </c>
      <c r="G45" s="290"/>
      <c r="H45" s="289">
        <v>1.38838E-2</v>
      </c>
      <c r="I45" s="290"/>
      <c r="J45" s="289">
        <v>2.6383799999999999E-2</v>
      </c>
      <c r="K45" s="290"/>
      <c r="L45" s="289">
        <v>2.6383799999999999E-2</v>
      </c>
      <c r="M45" s="290"/>
      <c r="N45" s="289"/>
      <c r="O45" s="263"/>
      <c r="P45" s="290">
        <f>SUMPRODUCT(D45:L45,D37:L37)/P37</f>
        <v>1.6090634340156802E-2</v>
      </c>
      <c r="Q45" s="264"/>
      <c r="R45" s="5"/>
    </row>
    <row r="46" spans="1:19" ht="15.6" x14ac:dyDescent="0.3">
      <c r="A46" s="260"/>
      <c r="B46" s="261" t="s">
        <v>283</v>
      </c>
      <c r="C46" s="261"/>
      <c r="D46" s="289">
        <v>1.3465E-2</v>
      </c>
      <c r="E46" s="290"/>
      <c r="F46" s="289">
        <f>+F43</f>
        <v>1.1575E-2</v>
      </c>
      <c r="G46" s="290"/>
      <c r="H46" s="289">
        <v>1.3225000000000001E-2</v>
      </c>
      <c r="I46" s="290"/>
      <c r="J46" s="289">
        <v>2.5725000000000001E-2</v>
      </c>
      <c r="K46" s="290"/>
      <c r="L46" s="289">
        <v>2.5725000000000001E-2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0.25062407219551808</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40679</v>
      </c>
      <c r="Q57" s="264"/>
      <c r="R57" s="5"/>
    </row>
    <row r="58" spans="1:18" ht="15.6" x14ac:dyDescent="0.3">
      <c r="A58" s="260"/>
      <c r="B58" s="261" t="s">
        <v>142</v>
      </c>
      <c r="C58" s="261"/>
      <c r="D58" s="261"/>
      <c r="E58" s="261"/>
      <c r="F58" s="297"/>
      <c r="G58" s="297"/>
      <c r="H58" s="297"/>
      <c r="I58" s="297"/>
      <c r="J58" s="297"/>
      <c r="K58" s="297"/>
      <c r="L58" s="261">
        <f>+P58-N58+1</f>
        <v>92</v>
      </c>
      <c r="M58" s="297"/>
      <c r="N58" s="298">
        <v>40497</v>
      </c>
      <c r="O58" s="299"/>
      <c r="P58" s="298">
        <v>40588</v>
      </c>
      <c r="Q58" s="264"/>
      <c r="R58" s="5"/>
    </row>
    <row r="59" spans="1:18" ht="15.6" x14ac:dyDescent="0.3">
      <c r="A59" s="260"/>
      <c r="B59" s="261" t="s">
        <v>143</v>
      </c>
      <c r="C59" s="261"/>
      <c r="D59" s="261"/>
      <c r="E59" s="261"/>
      <c r="F59" s="261"/>
      <c r="G59" s="261"/>
      <c r="H59" s="261"/>
      <c r="I59" s="261"/>
      <c r="J59" s="261"/>
      <c r="K59" s="261"/>
      <c r="L59" s="261">
        <f>+P59-N59+1</f>
        <v>90</v>
      </c>
      <c r="M59" s="261"/>
      <c r="N59" s="298">
        <v>40589</v>
      </c>
      <c r="O59" s="299"/>
      <c r="P59" s="298">
        <v>40678</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40666</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294</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402256</v>
      </c>
      <c r="I69" s="330"/>
      <c r="J69" s="330">
        <f>3242+313+9</f>
        <v>3564</v>
      </c>
      <c r="K69" s="330"/>
      <c r="L69" s="330">
        <f>313+9</f>
        <v>322</v>
      </c>
      <c r="M69" s="330"/>
      <c r="N69" s="330">
        <v>0</v>
      </c>
      <c r="O69" s="330"/>
      <c r="P69" s="331">
        <f>+H69-J69+L69-N69</f>
        <v>399014</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402256</v>
      </c>
      <c r="I72" s="330"/>
      <c r="J72" s="330">
        <f>SUM(J69:J71)</f>
        <v>3564</v>
      </c>
      <c r="K72" s="330"/>
      <c r="L72" s="330">
        <f>SUM(L69:L71)</f>
        <v>322</v>
      </c>
      <c r="M72" s="330"/>
      <c r="N72" s="330">
        <f>SUM(N69:N71)</f>
        <v>0</v>
      </c>
      <c r="O72" s="330"/>
      <c r="P72" s="330">
        <f>SUM(P69:P71)</f>
        <v>399014</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+N129</f>
        <v>0</v>
      </c>
      <c r="Q85" s="264"/>
      <c r="R85" s="5"/>
    </row>
    <row r="86" spans="1:18" ht="15.6" x14ac:dyDescent="0.3">
      <c r="A86" s="260"/>
      <c r="B86" s="261" t="s">
        <v>30</v>
      </c>
      <c r="C86" s="330"/>
      <c r="D86" s="330"/>
      <c r="E86" s="330"/>
      <c r="F86" s="330">
        <f>SUM(F72:F85)</f>
        <v>900700</v>
      </c>
      <c r="G86" s="330"/>
      <c r="H86" s="330">
        <f>SUM(H72:H85)</f>
        <v>402256</v>
      </c>
      <c r="I86" s="330"/>
      <c r="J86" s="330">
        <f>SUM(J72:J85)</f>
        <v>3564</v>
      </c>
      <c r="K86" s="330"/>
      <c r="L86" s="330">
        <f>SUM(L72:L85)</f>
        <v>322</v>
      </c>
      <c r="M86" s="330"/>
      <c r="N86" s="330"/>
      <c r="O86" s="330"/>
      <c r="P86" s="330">
        <f>SUM(P72:P85)</f>
        <v>399014</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40661</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3564-84</f>
        <v>3480</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3295+215-831-103+96</f>
        <v>2672</v>
      </c>
      <c r="Q92" s="264"/>
      <c r="R92" s="5"/>
    </row>
    <row r="93" spans="1:18" ht="15.6" x14ac:dyDescent="0.3">
      <c r="A93" s="260"/>
      <c r="B93" s="261" t="s">
        <v>249</v>
      </c>
      <c r="C93" s="261"/>
      <c r="D93" s="261"/>
      <c r="E93" s="261"/>
      <c r="F93" s="292"/>
      <c r="G93" s="332"/>
      <c r="H93" s="333"/>
      <c r="I93" s="261"/>
      <c r="J93" s="261"/>
      <c r="K93" s="261"/>
      <c r="L93" s="261"/>
      <c r="M93" s="261"/>
      <c r="N93" s="330"/>
      <c r="O93" s="261"/>
      <c r="P93" s="331">
        <f>29</f>
        <v>29</v>
      </c>
      <c r="Q93" s="264"/>
      <c r="R93" s="5"/>
    </row>
    <row r="94" spans="1:18" ht="15.6" x14ac:dyDescent="0.3">
      <c r="A94" s="260"/>
      <c r="B94" s="261" t="s">
        <v>250</v>
      </c>
      <c r="C94" s="261"/>
      <c r="D94" s="261"/>
      <c r="E94" s="261"/>
      <c r="F94" s="292"/>
      <c r="G94" s="332"/>
      <c r="H94" s="333"/>
      <c r="I94" s="261"/>
      <c r="J94" s="261"/>
      <c r="K94" s="261"/>
      <c r="L94" s="261"/>
      <c r="M94" s="261"/>
      <c r="N94" s="330"/>
      <c r="O94" s="261"/>
      <c r="P94" s="331">
        <v>28</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235</v>
      </c>
      <c r="Q97" s="264"/>
      <c r="R97" s="5"/>
    </row>
    <row r="98" spans="1:19" ht="15.6" x14ac:dyDescent="0.3">
      <c r="A98" s="260"/>
      <c r="B98" s="261" t="s">
        <v>35</v>
      </c>
      <c r="C98" s="261"/>
      <c r="D98" s="261"/>
      <c r="E98" s="261"/>
      <c r="F98" s="261"/>
      <c r="G98" s="261"/>
      <c r="H98" s="261"/>
      <c r="I98" s="261"/>
      <c r="J98" s="261"/>
      <c r="K98" s="261"/>
      <c r="L98" s="261"/>
      <c r="M98" s="261"/>
      <c r="N98" s="330">
        <f>SUM(N90:N97)</f>
        <v>3480</v>
      </c>
      <c r="O98" s="261"/>
      <c r="P98" s="330">
        <f>SUM(P90:P97)</f>
        <v>2964</v>
      </c>
      <c r="Q98" s="264"/>
      <c r="R98" s="5"/>
    </row>
    <row r="99" spans="1:19" ht="15.6" x14ac:dyDescent="0.3">
      <c r="A99" s="260"/>
      <c r="B99" s="261" t="s">
        <v>237</v>
      </c>
      <c r="C99" s="261"/>
      <c r="D99" s="261"/>
      <c r="E99" s="261"/>
      <c r="F99" s="261"/>
      <c r="G99" s="261"/>
      <c r="H99" s="261"/>
      <c r="I99" s="261"/>
      <c r="J99" s="261"/>
      <c r="K99" s="261"/>
      <c r="L99" s="261"/>
      <c r="M99" s="261"/>
      <c r="N99" s="330">
        <v>-3</v>
      </c>
      <c r="O99" s="261"/>
      <c r="P99" s="330">
        <f>-N99</f>
        <v>3</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-53</v>
      </c>
      <c r="Q101" s="264"/>
      <c r="R101" s="5"/>
    </row>
    <row r="102" spans="1:19" ht="15.6" x14ac:dyDescent="0.3">
      <c r="A102" s="260"/>
      <c r="B102" s="261" t="s">
        <v>37</v>
      </c>
      <c r="C102" s="261"/>
      <c r="D102" s="261"/>
      <c r="E102" s="261"/>
      <c r="F102" s="261"/>
      <c r="G102" s="261"/>
      <c r="H102" s="261"/>
      <c r="I102" s="261"/>
      <c r="J102" s="261"/>
      <c r="K102" s="261"/>
      <c r="L102" s="261"/>
      <c r="M102" s="261"/>
      <c r="N102" s="330">
        <f>N98+N100+N99</f>
        <v>3477</v>
      </c>
      <c r="O102" s="261"/>
      <c r="P102" s="330">
        <f>P98+P100+P99+P101</f>
        <v>2914</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40</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226</v>
      </c>
      <c r="C106" s="261"/>
      <c r="D106" s="261"/>
      <c r="E106" s="261"/>
      <c r="F106" s="261"/>
      <c r="G106" s="261"/>
      <c r="H106" s="261"/>
      <c r="I106" s="261"/>
      <c r="J106" s="261"/>
      <c r="K106" s="261"/>
      <c r="L106" s="261"/>
      <c r="M106" s="261"/>
      <c r="N106" s="261"/>
      <c r="O106" s="261"/>
      <c r="P106" s="331">
        <f>-98-175-5</f>
        <v>-278</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-106</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-350</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-263</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-459</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-270</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-255</v>
      </c>
      <c r="Q112" s="264"/>
      <c r="R112" s="5"/>
      <c r="S112" s="109"/>
    </row>
    <row r="113" spans="1:18" ht="15.6" x14ac:dyDescent="0.3">
      <c r="A113" s="339">
        <v>6</v>
      </c>
      <c r="B113" s="261" t="s">
        <v>41</v>
      </c>
      <c r="C113" s="261"/>
      <c r="D113" s="261"/>
      <c r="E113" s="261"/>
      <c r="F113" s="261"/>
      <c r="G113" s="261"/>
      <c r="H113" s="261"/>
      <c r="I113" s="261"/>
      <c r="J113" s="261"/>
      <c r="K113" s="261"/>
      <c r="L113" s="261"/>
      <c r="M113" s="261"/>
      <c r="N113" s="261"/>
      <c r="O113" s="261"/>
      <c r="P113" s="331">
        <v>-10</v>
      </c>
      <c r="Q113" s="264"/>
      <c r="R113" s="5"/>
    </row>
    <row r="114" spans="1:18" ht="15.6" x14ac:dyDescent="0.3">
      <c r="A114" s="339">
        <f t="shared" ref="A114:A119" si="0">+A113+1</f>
        <v>7</v>
      </c>
      <c r="B114" s="261" t="s">
        <v>53</v>
      </c>
      <c r="C114" s="261"/>
      <c r="D114" s="261"/>
      <c r="E114" s="261"/>
      <c r="F114" s="261"/>
      <c r="G114" s="261"/>
      <c r="H114" s="261"/>
      <c r="I114" s="261"/>
      <c r="J114" s="261"/>
      <c r="K114" s="261"/>
      <c r="L114" s="261"/>
      <c r="M114" s="261"/>
      <c r="N114" s="330">
        <f>-P114</f>
        <v>84</v>
      </c>
      <c r="O114" s="261"/>
      <c r="P114" s="331">
        <v>-84</v>
      </c>
      <c r="Q114" s="264"/>
      <c r="R114" s="5"/>
    </row>
    <row r="115" spans="1:18" ht="15.6" x14ac:dyDescent="0.3">
      <c r="A115" s="339">
        <f t="shared" si="0"/>
        <v>8</v>
      </c>
      <c r="B115" s="261" t="s">
        <v>149</v>
      </c>
      <c r="C115" s="261"/>
      <c r="D115" s="261"/>
      <c r="E115" s="261"/>
      <c r="F115" s="261"/>
      <c r="G115" s="261"/>
      <c r="H115" s="261"/>
      <c r="I115" s="261"/>
      <c r="J115" s="261"/>
      <c r="K115" s="261"/>
      <c r="L115" s="261"/>
      <c r="M115" s="261"/>
      <c r="N115" s="261"/>
      <c r="O115" s="261"/>
      <c r="P115" s="331">
        <v>0</v>
      </c>
      <c r="Q115" s="264"/>
      <c r="R115" s="5"/>
    </row>
    <row r="116" spans="1:18" ht="15.6" x14ac:dyDescent="0.3">
      <c r="A116" s="339">
        <f t="shared" si="0"/>
        <v>9</v>
      </c>
      <c r="B116" s="261" t="s">
        <v>42</v>
      </c>
      <c r="C116" s="261"/>
      <c r="D116" s="261"/>
      <c r="E116" s="261"/>
      <c r="F116" s="261"/>
      <c r="G116" s="261"/>
      <c r="H116" s="261"/>
      <c r="I116" s="261"/>
      <c r="J116" s="261"/>
      <c r="K116" s="261"/>
      <c r="L116" s="261"/>
      <c r="M116" s="261"/>
      <c r="N116" s="261"/>
      <c r="O116" s="261"/>
      <c r="P116" s="331">
        <v>0</v>
      </c>
      <c r="Q116" s="264"/>
      <c r="R116" s="5"/>
    </row>
    <row r="117" spans="1:18" ht="15.6" x14ac:dyDescent="0.3">
      <c r="A117" s="339">
        <f t="shared" si="0"/>
        <v>10</v>
      </c>
      <c r="B117" s="261" t="s">
        <v>43</v>
      </c>
      <c r="C117" s="261"/>
      <c r="D117" s="261"/>
      <c r="E117" s="261"/>
      <c r="F117" s="261"/>
      <c r="G117" s="261"/>
      <c r="H117" s="261"/>
      <c r="I117" s="261"/>
      <c r="J117" s="261"/>
      <c r="K117" s="261"/>
      <c r="L117" s="261"/>
      <c r="M117" s="261"/>
      <c r="N117" s="261"/>
      <c r="O117" s="261"/>
      <c r="P117" s="331">
        <v>0</v>
      </c>
      <c r="Q117" s="264"/>
      <c r="R117" s="5"/>
    </row>
    <row r="118" spans="1:18" ht="15.6" x14ac:dyDescent="0.3">
      <c r="A118" s="339">
        <f t="shared" si="0"/>
        <v>11</v>
      </c>
      <c r="B118" s="261" t="s">
        <v>215</v>
      </c>
      <c r="C118" s="261"/>
      <c r="D118" s="261"/>
      <c r="E118" s="261"/>
      <c r="F118" s="261"/>
      <c r="G118" s="261"/>
      <c r="H118" s="261"/>
      <c r="I118" s="261"/>
      <c r="J118" s="261"/>
      <c r="K118" s="261"/>
      <c r="L118" s="261"/>
      <c r="M118" s="261"/>
      <c r="N118" s="261"/>
      <c r="O118" s="261"/>
      <c r="P118" s="331">
        <v>-200</v>
      </c>
      <c r="Q118" s="264"/>
      <c r="R118" s="5"/>
    </row>
    <row r="119" spans="1:18" ht="15.6" x14ac:dyDescent="0.3">
      <c r="A119" s="339">
        <f t="shared" si="0"/>
        <v>12</v>
      </c>
      <c r="B119" s="261" t="s">
        <v>150</v>
      </c>
      <c r="C119" s="261"/>
      <c r="D119" s="261"/>
      <c r="E119" s="261"/>
      <c r="F119" s="261"/>
      <c r="G119" s="261"/>
      <c r="H119" s="261"/>
      <c r="I119" s="261"/>
      <c r="J119" s="261"/>
      <c r="K119" s="261"/>
      <c r="L119" s="261"/>
      <c r="M119" s="261"/>
      <c r="N119" s="261"/>
      <c r="O119" s="261"/>
      <c r="P119" s="331">
        <f>-P102-SUM(P104:P118)</f>
        <v>-637</v>
      </c>
      <c r="Q119" s="264"/>
      <c r="R119" s="5"/>
    </row>
    <row r="120" spans="1:18" ht="15.6" x14ac:dyDescent="0.3">
      <c r="A120" s="260"/>
      <c r="B120" s="334" t="s">
        <v>44</v>
      </c>
      <c r="C120" s="335"/>
      <c r="D120" s="335"/>
      <c r="E120" s="335"/>
      <c r="F120" s="335"/>
      <c r="G120" s="335"/>
      <c r="H120" s="335"/>
      <c r="I120" s="335"/>
      <c r="J120" s="335"/>
      <c r="K120" s="335"/>
      <c r="L120" s="335"/>
      <c r="M120" s="335"/>
      <c r="N120" s="335"/>
      <c r="O120" s="335"/>
      <c r="P120" s="340"/>
      <c r="Q120" s="338"/>
      <c r="R120" s="5"/>
    </row>
    <row r="121" spans="1:18" ht="15.6" x14ac:dyDescent="0.3">
      <c r="A121" s="339"/>
      <c r="B121" s="261" t="s">
        <v>45</v>
      </c>
      <c r="C121" s="261"/>
      <c r="D121" s="261"/>
      <c r="E121" s="261"/>
      <c r="F121" s="261"/>
      <c r="G121" s="261"/>
      <c r="H121" s="261"/>
      <c r="I121" s="261"/>
      <c r="J121" s="261"/>
      <c r="K121" s="261"/>
      <c r="L121" s="261"/>
      <c r="M121" s="261"/>
      <c r="N121" s="330">
        <v>0</v>
      </c>
      <c r="O121" s="330"/>
      <c r="P121" s="331"/>
      <c r="Q121" s="264"/>
      <c r="R121" s="5"/>
    </row>
    <row r="122" spans="1:18" ht="15.6" x14ac:dyDescent="0.3">
      <c r="A122" s="339"/>
      <c r="B122" s="261" t="s">
        <v>46</v>
      </c>
      <c r="C122" s="261"/>
      <c r="D122" s="261"/>
      <c r="E122" s="261"/>
      <c r="F122" s="261"/>
      <c r="G122" s="261"/>
      <c r="H122" s="261"/>
      <c r="I122" s="261"/>
      <c r="J122" s="261"/>
      <c r="K122" s="261"/>
      <c r="L122" s="261"/>
      <c r="M122" s="261"/>
      <c r="N122" s="330">
        <f>-M171</f>
        <v>-319</v>
      </c>
      <c r="O122" s="330"/>
      <c r="P122" s="331"/>
      <c r="Q122" s="264"/>
      <c r="R122" s="5"/>
    </row>
    <row r="123" spans="1:18" ht="15.6" x14ac:dyDescent="0.3">
      <c r="A123" s="339"/>
      <c r="B123" s="261" t="s">
        <v>199</v>
      </c>
      <c r="C123" s="261"/>
      <c r="D123" s="261"/>
      <c r="E123" s="261"/>
      <c r="F123" s="261"/>
      <c r="G123" s="261"/>
      <c r="H123" s="261"/>
      <c r="I123" s="261"/>
      <c r="J123" s="261"/>
      <c r="K123" s="261"/>
      <c r="L123" s="261"/>
      <c r="M123" s="261"/>
      <c r="N123" s="330">
        <v>-809</v>
      </c>
      <c r="O123" s="330"/>
      <c r="P123" s="331"/>
      <c r="Q123" s="264"/>
      <c r="R123" s="5"/>
    </row>
    <row r="124" spans="1:18" ht="15.6" x14ac:dyDescent="0.3">
      <c r="A124" s="339"/>
      <c r="B124" s="261" t="s">
        <v>200</v>
      </c>
      <c r="C124" s="261"/>
      <c r="D124" s="261"/>
      <c r="E124" s="261"/>
      <c r="F124" s="261"/>
      <c r="G124" s="261"/>
      <c r="H124" s="261"/>
      <c r="I124" s="261"/>
      <c r="J124" s="261"/>
      <c r="K124" s="261"/>
      <c r="L124" s="261"/>
      <c r="M124" s="261"/>
      <c r="N124" s="330">
        <v>-703</v>
      </c>
      <c r="O124" s="330"/>
      <c r="P124" s="331"/>
      <c r="Q124" s="264"/>
      <c r="R124" s="5"/>
    </row>
    <row r="125" spans="1:18" ht="15.6" x14ac:dyDescent="0.3">
      <c r="A125" s="339"/>
      <c r="B125" s="261" t="s">
        <v>201</v>
      </c>
      <c r="C125" s="261"/>
      <c r="D125" s="261"/>
      <c r="E125" s="261"/>
      <c r="F125" s="261"/>
      <c r="G125" s="261"/>
      <c r="H125" s="261"/>
      <c r="I125" s="261"/>
      <c r="J125" s="261"/>
      <c r="K125" s="261"/>
      <c r="L125" s="261"/>
      <c r="M125" s="261"/>
      <c r="N125" s="330">
        <v>-1080</v>
      </c>
      <c r="O125" s="330"/>
      <c r="P125" s="331"/>
      <c r="Q125" s="264"/>
      <c r="R125" s="5"/>
    </row>
    <row r="126" spans="1:18" ht="15.6" x14ac:dyDescent="0.3">
      <c r="A126" s="339"/>
      <c r="B126" s="261" t="s">
        <v>159</v>
      </c>
      <c r="C126" s="261"/>
      <c r="D126" s="261"/>
      <c r="E126" s="261"/>
      <c r="F126" s="261"/>
      <c r="G126" s="261"/>
      <c r="H126" s="261"/>
      <c r="I126" s="261"/>
      <c r="J126" s="261"/>
      <c r="K126" s="261"/>
      <c r="L126" s="261"/>
      <c r="M126" s="261"/>
      <c r="N126" s="330">
        <v>-334</v>
      </c>
      <c r="O126" s="330"/>
      <c r="P126" s="331"/>
      <c r="Q126" s="264"/>
      <c r="R126" s="5"/>
    </row>
    <row r="127" spans="1:18" ht="15.6" x14ac:dyDescent="0.3">
      <c r="A127" s="339"/>
      <c r="B127" s="261" t="s">
        <v>214</v>
      </c>
      <c r="C127" s="261"/>
      <c r="D127" s="261"/>
      <c r="E127" s="261"/>
      <c r="F127" s="261"/>
      <c r="G127" s="261"/>
      <c r="H127" s="261"/>
      <c r="I127" s="261"/>
      <c r="J127" s="261"/>
      <c r="K127" s="261"/>
      <c r="L127" s="261"/>
      <c r="M127" s="261"/>
      <c r="N127" s="330">
        <v>-316</v>
      </c>
      <c r="O127" s="330"/>
      <c r="P127" s="331"/>
      <c r="Q127" s="264"/>
      <c r="R127" s="5"/>
    </row>
    <row r="128" spans="1:18" ht="15.6" x14ac:dyDescent="0.3">
      <c r="A128" s="339"/>
      <c r="B128" s="261" t="s">
        <v>47</v>
      </c>
      <c r="C128" s="261"/>
      <c r="D128" s="261"/>
      <c r="E128" s="261"/>
      <c r="F128" s="261"/>
      <c r="G128" s="261"/>
      <c r="H128" s="261"/>
      <c r="I128" s="261"/>
      <c r="J128" s="261"/>
      <c r="K128" s="261"/>
      <c r="L128" s="261"/>
      <c r="M128" s="261"/>
      <c r="N128" s="330">
        <f>SUM(N121:N127)</f>
        <v>-3561</v>
      </c>
      <c r="O128" s="330"/>
      <c r="P128" s="330">
        <f>SUM(P103:P127)</f>
        <v>-2914</v>
      </c>
      <c r="Q128" s="264"/>
      <c r="R128" s="5"/>
    </row>
    <row r="129" spans="1:19" ht="15.6" x14ac:dyDescent="0.3">
      <c r="A129" s="339"/>
      <c r="B129" s="261" t="s">
        <v>48</v>
      </c>
      <c r="C129" s="261"/>
      <c r="D129" s="261"/>
      <c r="E129" s="261"/>
      <c r="F129" s="261"/>
      <c r="G129" s="261"/>
      <c r="H129" s="261"/>
      <c r="I129" s="261"/>
      <c r="J129" s="261"/>
      <c r="K129" s="261"/>
      <c r="L129" s="261"/>
      <c r="M129" s="261"/>
      <c r="N129" s="330">
        <f>N102+N128+N114</f>
        <v>0</v>
      </c>
      <c r="O129" s="330"/>
      <c r="P129" s="330">
        <f>P102+P128</f>
        <v>0</v>
      </c>
      <c r="Q129" s="264"/>
      <c r="R129" s="5"/>
    </row>
    <row r="130" spans="1:19" ht="15.6" x14ac:dyDescent="0.3">
      <c r="A130" s="301"/>
      <c r="B130" s="257"/>
      <c r="C130" s="257"/>
      <c r="D130" s="257"/>
      <c r="E130" s="257"/>
      <c r="F130" s="257"/>
      <c r="G130" s="257"/>
      <c r="H130" s="257"/>
      <c r="I130" s="257"/>
      <c r="J130" s="257"/>
      <c r="K130" s="257"/>
      <c r="L130" s="257"/>
      <c r="M130" s="257"/>
      <c r="N130" s="302"/>
      <c r="O130" s="302"/>
      <c r="P130" s="302"/>
      <c r="Q130" s="257"/>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8" thickBot="1" x14ac:dyDescent="0.35">
      <c r="A132" s="303"/>
      <c r="B132" s="239" t="str">
        <f>B65</f>
        <v>PM7 INVESTOR REPORT QUARTER ENDING APRIL 2011</v>
      </c>
      <c r="C132" s="240"/>
      <c r="D132" s="240"/>
      <c r="E132" s="240"/>
      <c r="F132" s="240"/>
      <c r="G132" s="240"/>
      <c r="H132" s="240"/>
      <c r="I132" s="240"/>
      <c r="J132" s="240"/>
      <c r="K132" s="240"/>
      <c r="L132" s="240"/>
      <c r="M132" s="240"/>
      <c r="N132" s="240"/>
      <c r="O132" s="240"/>
      <c r="P132" s="304"/>
      <c r="Q132" s="242"/>
      <c r="R132" s="5"/>
    </row>
    <row r="133" spans="1:19" ht="15.6" x14ac:dyDescent="0.3">
      <c r="A133" s="323"/>
      <c r="B133" s="397" t="s">
        <v>49</v>
      </c>
      <c r="C133" s="326"/>
      <c r="D133" s="326"/>
      <c r="E133" s="326"/>
      <c r="F133" s="326"/>
      <c r="G133" s="326"/>
      <c r="H133" s="326"/>
      <c r="I133" s="326"/>
      <c r="J133" s="326"/>
      <c r="K133" s="326"/>
      <c r="L133" s="326"/>
      <c r="M133" s="326"/>
      <c r="N133" s="326"/>
      <c r="O133" s="326"/>
      <c r="P133" s="328"/>
      <c r="Q133" s="326"/>
      <c r="R133" s="5"/>
    </row>
    <row r="134" spans="1:19" ht="15.6" x14ac:dyDescent="0.3">
      <c r="A134" s="183"/>
      <c r="B134" s="196"/>
      <c r="C134" s="185"/>
      <c r="D134" s="185"/>
      <c r="E134" s="185"/>
      <c r="F134" s="185"/>
      <c r="G134" s="185"/>
      <c r="H134" s="185"/>
      <c r="I134" s="185"/>
      <c r="J134" s="185"/>
      <c r="K134" s="185"/>
      <c r="L134" s="185"/>
      <c r="M134" s="185"/>
      <c r="N134" s="185"/>
      <c r="O134" s="185"/>
      <c r="P134" s="201"/>
      <c r="Q134" s="185"/>
      <c r="R134" s="5"/>
    </row>
    <row r="135" spans="1:19" ht="15.6" x14ac:dyDescent="0.3">
      <c r="A135" s="183"/>
      <c r="B135" s="209" t="s">
        <v>50</v>
      </c>
      <c r="C135" s="185"/>
      <c r="D135" s="185"/>
      <c r="E135" s="185"/>
      <c r="F135" s="185"/>
      <c r="G135" s="185"/>
      <c r="H135" s="185"/>
      <c r="I135" s="185"/>
      <c r="J135" s="185"/>
      <c r="K135" s="185"/>
      <c r="L135" s="185"/>
      <c r="M135" s="185"/>
      <c r="N135" s="185"/>
      <c r="O135" s="185"/>
      <c r="P135" s="201"/>
      <c r="Q135" s="185"/>
      <c r="R135" s="5"/>
    </row>
    <row r="136" spans="1:19" ht="15.6" x14ac:dyDescent="0.3">
      <c r="A136" s="260"/>
      <c r="B136" s="261" t="s">
        <v>51</v>
      </c>
      <c r="C136" s="261"/>
      <c r="D136" s="261"/>
      <c r="E136" s="261"/>
      <c r="F136" s="261"/>
      <c r="G136" s="261"/>
      <c r="H136" s="261"/>
      <c r="I136" s="261"/>
      <c r="J136" s="261"/>
      <c r="K136" s="261"/>
      <c r="L136" s="261"/>
      <c r="M136" s="261"/>
      <c r="N136" s="261"/>
      <c r="O136" s="261"/>
      <c r="P136" s="331">
        <f>+P36*0.022</f>
        <v>19815.399999999998</v>
      </c>
      <c r="Q136" s="264"/>
      <c r="R136" s="5"/>
    </row>
    <row r="137" spans="1:19" ht="15.6" x14ac:dyDescent="0.3">
      <c r="A137" s="260"/>
      <c r="B137" s="261" t="s">
        <v>52</v>
      </c>
      <c r="C137" s="261"/>
      <c r="D137" s="261"/>
      <c r="E137" s="261"/>
      <c r="F137" s="261"/>
      <c r="G137" s="261"/>
      <c r="H137" s="261"/>
      <c r="I137" s="261"/>
      <c r="J137" s="261"/>
      <c r="K137" s="261"/>
      <c r="L137" s="261"/>
      <c r="M137" s="261"/>
      <c r="N137" s="261"/>
      <c r="O137" s="261"/>
      <c r="P137" s="331">
        <v>19815</v>
      </c>
      <c r="Q137" s="264"/>
      <c r="R137" s="5"/>
    </row>
    <row r="138" spans="1:19" ht="15.6" x14ac:dyDescent="0.3">
      <c r="A138" s="260"/>
      <c r="B138" s="261" t="s">
        <v>161</v>
      </c>
      <c r="C138" s="261"/>
      <c r="D138" s="261"/>
      <c r="E138" s="261"/>
      <c r="F138" s="261"/>
      <c r="G138" s="261"/>
      <c r="H138" s="261"/>
      <c r="I138" s="261"/>
      <c r="J138" s="261"/>
      <c r="K138" s="261"/>
      <c r="L138" s="261"/>
      <c r="M138" s="261"/>
      <c r="N138" s="261"/>
      <c r="O138" s="261"/>
      <c r="P138" s="331">
        <v>0</v>
      </c>
      <c r="Q138" s="264"/>
      <c r="R138" s="5"/>
    </row>
    <row r="139" spans="1:19" ht="15.6" x14ac:dyDescent="0.3">
      <c r="A139" s="260"/>
      <c r="B139" s="261" t="s">
        <v>144</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145</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53</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153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202</v>
      </c>
      <c r="C143" s="261"/>
      <c r="D143" s="261"/>
      <c r="E143" s="261"/>
      <c r="F143" s="261"/>
      <c r="G143" s="261"/>
      <c r="H143" s="261"/>
      <c r="I143" s="261"/>
      <c r="J143" s="261"/>
      <c r="K143" s="261"/>
      <c r="L143" s="261"/>
      <c r="M143" s="261"/>
      <c r="N143" s="261"/>
      <c r="O143" s="261"/>
      <c r="P143" s="331">
        <v>0</v>
      </c>
      <c r="Q143" s="264"/>
      <c r="R143" s="5"/>
      <c r="S143" s="109"/>
    </row>
    <row r="144" spans="1:19" ht="15.6" x14ac:dyDescent="0.3">
      <c r="A144" s="260"/>
      <c r="B144" s="261" t="s">
        <v>54</v>
      </c>
      <c r="C144" s="261"/>
      <c r="D144" s="261"/>
      <c r="E144" s="261"/>
      <c r="F144" s="261"/>
      <c r="G144" s="261"/>
      <c r="H144" s="261"/>
      <c r="I144" s="261"/>
      <c r="J144" s="261"/>
      <c r="K144" s="261"/>
      <c r="L144" s="261"/>
      <c r="M144" s="261"/>
      <c r="N144" s="261"/>
      <c r="O144" s="261"/>
      <c r="P144" s="331">
        <f>SUM(P137:P143)</f>
        <v>19815</v>
      </c>
      <c r="Q144" s="264"/>
      <c r="R144" s="5"/>
    </row>
    <row r="145" spans="1:18" ht="15.6" x14ac:dyDescent="0.3">
      <c r="A145" s="183"/>
      <c r="B145" s="190"/>
      <c r="C145" s="190"/>
      <c r="D145" s="190"/>
      <c r="E145" s="190"/>
      <c r="F145" s="190"/>
      <c r="G145" s="190"/>
      <c r="H145" s="190"/>
      <c r="I145" s="190"/>
      <c r="J145" s="190"/>
      <c r="K145" s="190"/>
      <c r="L145" s="190"/>
      <c r="M145" s="190"/>
      <c r="N145" s="190"/>
      <c r="O145" s="190"/>
      <c r="P145" s="341"/>
      <c r="Q145" s="190"/>
      <c r="R145" s="5"/>
    </row>
    <row r="146" spans="1:18" ht="15.6" x14ac:dyDescent="0.3">
      <c r="A146" s="183"/>
      <c r="B146" s="209" t="s">
        <v>28</v>
      </c>
      <c r="C146" s="185"/>
      <c r="D146" s="185"/>
      <c r="E146" s="185"/>
      <c r="F146" s="185"/>
      <c r="G146" s="185"/>
      <c r="H146" s="185"/>
      <c r="I146" s="185"/>
      <c r="J146" s="185"/>
      <c r="K146" s="185"/>
      <c r="L146" s="185"/>
      <c r="M146" s="185"/>
      <c r="N146" s="185"/>
      <c r="O146" s="185"/>
      <c r="P146" s="201"/>
      <c r="Q146" s="185"/>
      <c r="R146" s="5"/>
    </row>
    <row r="147" spans="1:18" ht="15.6" x14ac:dyDescent="0.3">
      <c r="A147" s="260"/>
      <c r="B147" s="261" t="s">
        <v>55</v>
      </c>
      <c r="C147" s="261"/>
      <c r="D147" s="261"/>
      <c r="E147" s="261"/>
      <c r="F147" s="261"/>
      <c r="G147" s="261"/>
      <c r="H147" s="261"/>
      <c r="I147" s="261"/>
      <c r="J147" s="261"/>
      <c r="K147" s="261"/>
      <c r="L147" s="261"/>
      <c r="M147" s="261"/>
      <c r="N147" s="261"/>
      <c r="O147" s="261"/>
      <c r="P147" s="342" t="s">
        <v>137</v>
      </c>
      <c r="Q147" s="338"/>
      <c r="R147" s="5"/>
    </row>
    <row r="148" spans="1:18" ht="15.6" x14ac:dyDescent="0.3">
      <c r="A148" s="260"/>
      <c r="B148" s="261" t="s">
        <v>56</v>
      </c>
      <c r="C148" s="263"/>
      <c r="D148" s="263"/>
      <c r="E148" s="263"/>
      <c r="F148" s="263"/>
      <c r="G148" s="263"/>
      <c r="H148" s="263"/>
      <c r="I148" s="263"/>
      <c r="J148" s="263"/>
      <c r="K148" s="263"/>
      <c r="L148" s="263"/>
      <c r="M148" s="263"/>
      <c r="N148" s="263"/>
      <c r="O148" s="263"/>
      <c r="P148" s="342" t="s">
        <v>137</v>
      </c>
      <c r="Q148" s="338"/>
      <c r="R148" s="5"/>
    </row>
    <row r="149" spans="1:18" ht="15.6" x14ac:dyDescent="0.3">
      <c r="A149" s="260"/>
      <c r="B149" s="261" t="s">
        <v>57</v>
      </c>
      <c r="C149" s="261"/>
      <c r="D149" s="261"/>
      <c r="E149" s="261"/>
      <c r="F149" s="261"/>
      <c r="G149" s="261"/>
      <c r="H149" s="261"/>
      <c r="I149" s="261"/>
      <c r="J149" s="261"/>
      <c r="K149" s="261"/>
      <c r="L149" s="261"/>
      <c r="M149" s="261"/>
      <c r="N149" s="261"/>
      <c r="O149" s="261"/>
      <c r="P149" s="342" t="s">
        <v>137</v>
      </c>
      <c r="Q149" s="338"/>
      <c r="R149" s="5"/>
    </row>
    <row r="150" spans="1:18" ht="15.6" x14ac:dyDescent="0.3">
      <c r="A150" s="260"/>
      <c r="B150" s="261" t="s">
        <v>58</v>
      </c>
      <c r="C150" s="261"/>
      <c r="D150" s="261"/>
      <c r="E150" s="261"/>
      <c r="F150" s="261"/>
      <c r="G150" s="261"/>
      <c r="H150" s="261"/>
      <c r="I150" s="261"/>
      <c r="J150" s="261"/>
      <c r="K150" s="261"/>
      <c r="L150" s="261"/>
      <c r="M150" s="261"/>
      <c r="N150" s="261"/>
      <c r="O150" s="261"/>
      <c r="P150" s="342" t="s">
        <v>137</v>
      </c>
      <c r="Q150" s="338"/>
      <c r="R150" s="5"/>
    </row>
    <row r="151" spans="1:18" ht="15.6" x14ac:dyDescent="0.3">
      <c r="A151" s="183"/>
      <c r="B151" s="190"/>
      <c r="C151" s="190"/>
      <c r="D151" s="190"/>
      <c r="E151" s="190"/>
      <c r="F151" s="190"/>
      <c r="G151" s="190"/>
      <c r="H151" s="190"/>
      <c r="I151" s="190"/>
      <c r="J151" s="190"/>
      <c r="K151" s="190"/>
      <c r="L151" s="190"/>
      <c r="M151" s="190"/>
      <c r="N151" s="190"/>
      <c r="O151" s="190"/>
      <c r="P151" s="341"/>
      <c r="Q151" s="190"/>
      <c r="R151" s="5"/>
    </row>
    <row r="152" spans="1:18" ht="15.6" x14ac:dyDescent="0.3">
      <c r="A152" s="183"/>
      <c r="B152" s="209" t="s">
        <v>59</v>
      </c>
      <c r="C152" s="185"/>
      <c r="D152" s="185"/>
      <c r="E152" s="185"/>
      <c r="F152" s="185"/>
      <c r="G152" s="185"/>
      <c r="H152" s="185"/>
      <c r="I152" s="185"/>
      <c r="J152" s="185"/>
      <c r="K152" s="185"/>
      <c r="L152" s="185"/>
      <c r="M152" s="185"/>
      <c r="N152" s="185"/>
      <c r="O152" s="185"/>
      <c r="P152" s="210"/>
      <c r="Q152" s="185"/>
      <c r="R152" s="5"/>
    </row>
    <row r="153" spans="1:18" ht="15.6" x14ac:dyDescent="0.3">
      <c r="A153" s="260"/>
      <c r="B153" s="261" t="s">
        <v>60</v>
      </c>
      <c r="C153" s="261"/>
      <c r="D153" s="261"/>
      <c r="E153" s="261"/>
      <c r="F153" s="261"/>
      <c r="G153" s="261"/>
      <c r="H153" s="261"/>
      <c r="I153" s="261"/>
      <c r="J153" s="261"/>
      <c r="K153" s="261"/>
      <c r="L153" s="261"/>
      <c r="M153" s="261"/>
      <c r="N153" s="261"/>
      <c r="O153" s="261"/>
      <c r="P153" s="331">
        <v>0</v>
      </c>
      <c r="Q153" s="264"/>
      <c r="R153" s="5"/>
    </row>
    <row r="154" spans="1:18" ht="15.6" x14ac:dyDescent="0.3">
      <c r="A154" s="260"/>
      <c r="B154" s="261" t="s">
        <v>61</v>
      </c>
      <c r="C154" s="261"/>
      <c r="D154" s="261"/>
      <c r="E154" s="261"/>
      <c r="F154" s="261"/>
      <c r="G154" s="261"/>
      <c r="H154" s="261"/>
      <c r="I154" s="261"/>
      <c r="J154" s="261"/>
      <c r="K154" s="261"/>
      <c r="L154" s="261"/>
      <c r="M154" s="261"/>
      <c r="N154" s="261"/>
      <c r="O154" s="261"/>
      <c r="P154" s="331">
        <f>-P114</f>
        <v>84</v>
      </c>
      <c r="Q154" s="264"/>
      <c r="R154" s="5"/>
    </row>
    <row r="155" spans="1:18" ht="15.6" x14ac:dyDescent="0.3">
      <c r="A155" s="260"/>
      <c r="B155" s="261" t="s">
        <v>62</v>
      </c>
      <c r="C155" s="261"/>
      <c r="D155" s="261"/>
      <c r="E155" s="261"/>
      <c r="F155" s="261"/>
      <c r="G155" s="261"/>
      <c r="H155" s="261"/>
      <c r="I155" s="261"/>
      <c r="J155" s="261"/>
      <c r="K155" s="261"/>
      <c r="L155" s="261"/>
      <c r="M155" s="261"/>
      <c r="N155" s="261"/>
      <c r="O155" s="261"/>
      <c r="P155" s="331">
        <f>P154+P153</f>
        <v>84</v>
      </c>
      <c r="Q155" s="264"/>
      <c r="R155" s="5"/>
    </row>
    <row r="156" spans="1:18" ht="15.6" x14ac:dyDescent="0.3">
      <c r="A156" s="260"/>
      <c r="B156" s="402" t="s">
        <v>297</v>
      </c>
      <c r="C156" s="261"/>
      <c r="D156" s="261"/>
      <c r="E156" s="261"/>
      <c r="F156" s="261"/>
      <c r="G156" s="261"/>
      <c r="H156" s="261"/>
      <c r="I156" s="261"/>
      <c r="J156" s="261"/>
      <c r="K156" s="261"/>
      <c r="L156" s="261"/>
      <c r="M156" s="261"/>
      <c r="N156" s="261"/>
      <c r="O156" s="261"/>
      <c r="P156" s="331">
        <f>P114</f>
        <v>-84</v>
      </c>
      <c r="Q156" s="264"/>
      <c r="R156" s="5"/>
    </row>
    <row r="157" spans="1:18" ht="15.6" x14ac:dyDescent="0.3">
      <c r="A157" s="260"/>
      <c r="B157" s="261" t="s">
        <v>63</v>
      </c>
      <c r="C157" s="261"/>
      <c r="D157" s="261"/>
      <c r="E157" s="261"/>
      <c r="F157" s="261"/>
      <c r="G157" s="261"/>
      <c r="H157" s="261"/>
      <c r="I157" s="261"/>
      <c r="J157" s="261"/>
      <c r="K157" s="261"/>
      <c r="L157" s="261"/>
      <c r="M157" s="261"/>
      <c r="N157" s="261"/>
      <c r="O157" s="261"/>
      <c r="P157" s="331">
        <f>P155+P156</f>
        <v>0</v>
      </c>
      <c r="Q157" s="264"/>
      <c r="R157" s="5"/>
    </row>
    <row r="158" spans="1:18" ht="15.6" x14ac:dyDescent="0.3">
      <c r="A158" s="260"/>
      <c r="B158" s="261" t="s">
        <v>268</v>
      </c>
      <c r="C158" s="261"/>
      <c r="D158" s="261"/>
      <c r="E158" s="261"/>
      <c r="F158" s="261"/>
      <c r="G158" s="261"/>
      <c r="H158" s="261"/>
      <c r="I158" s="261"/>
      <c r="J158" s="261"/>
      <c r="K158" s="261"/>
      <c r="L158" s="261"/>
      <c r="M158" s="261"/>
      <c r="N158" s="261"/>
      <c r="O158" s="261"/>
      <c r="P158" s="331">
        <f>-P101</f>
        <v>53</v>
      </c>
      <c r="Q158" s="264"/>
      <c r="R158" s="5"/>
    </row>
    <row r="159" spans="1:18" ht="16.2" thickBot="1" x14ac:dyDescent="0.35">
      <c r="A159" s="183"/>
      <c r="B159" s="190"/>
      <c r="C159" s="190"/>
      <c r="D159" s="190"/>
      <c r="E159" s="190"/>
      <c r="F159" s="190"/>
      <c r="G159" s="190"/>
      <c r="H159" s="190"/>
      <c r="I159" s="190"/>
      <c r="J159" s="190"/>
      <c r="K159" s="190"/>
      <c r="L159" s="190"/>
      <c r="M159" s="190"/>
      <c r="N159" s="190"/>
      <c r="O159" s="190"/>
      <c r="P159" s="341"/>
      <c r="Q159" s="190"/>
      <c r="R159" s="5"/>
    </row>
    <row r="160" spans="1:18" ht="15.6" x14ac:dyDescent="0.3">
      <c r="A160" s="180"/>
      <c r="B160" s="181"/>
      <c r="C160" s="181"/>
      <c r="D160" s="181"/>
      <c r="E160" s="181"/>
      <c r="F160" s="181"/>
      <c r="G160" s="181"/>
      <c r="H160" s="181"/>
      <c r="I160" s="181"/>
      <c r="J160" s="181"/>
      <c r="K160" s="181"/>
      <c r="L160" s="181"/>
      <c r="M160" s="181"/>
      <c r="N160" s="181"/>
      <c r="O160" s="181"/>
      <c r="P160" s="200"/>
      <c r="Q160" s="181"/>
      <c r="R160" s="5"/>
    </row>
    <row r="161" spans="1:19" ht="15.6" x14ac:dyDescent="0.3">
      <c r="A161" s="183"/>
      <c r="B161" s="209" t="s">
        <v>64</v>
      </c>
      <c r="C161" s="185"/>
      <c r="D161" s="185"/>
      <c r="E161" s="185"/>
      <c r="F161" s="185"/>
      <c r="G161" s="185"/>
      <c r="H161" s="185"/>
      <c r="I161" s="185"/>
      <c r="J161" s="185"/>
      <c r="K161" s="185"/>
      <c r="L161" s="185"/>
      <c r="M161" s="185"/>
      <c r="N161" s="185"/>
      <c r="O161" s="185"/>
      <c r="P161" s="201"/>
      <c r="Q161" s="185"/>
      <c r="R161" s="5"/>
    </row>
    <row r="162" spans="1:19" ht="15.6" x14ac:dyDescent="0.3">
      <c r="A162" s="183"/>
      <c r="B162" s="196"/>
      <c r="C162" s="185"/>
      <c r="D162" s="185"/>
      <c r="E162" s="185"/>
      <c r="F162" s="185"/>
      <c r="G162" s="185"/>
      <c r="H162" s="185"/>
      <c r="I162" s="185"/>
      <c r="J162" s="185"/>
      <c r="K162" s="185"/>
      <c r="L162" s="185"/>
      <c r="M162" s="185"/>
      <c r="N162" s="185"/>
      <c r="O162" s="185"/>
      <c r="P162" s="201"/>
      <c r="Q162" s="185"/>
      <c r="R162" s="5"/>
    </row>
    <row r="163" spans="1:19" ht="15.6" x14ac:dyDescent="0.3">
      <c r="A163" s="260"/>
      <c r="B163" s="261" t="s">
        <v>221</v>
      </c>
      <c r="C163" s="261"/>
      <c r="D163" s="261"/>
      <c r="E163" s="261"/>
      <c r="F163" s="261"/>
      <c r="G163" s="261"/>
      <c r="H163" s="261"/>
      <c r="I163" s="261"/>
      <c r="J163" s="261"/>
      <c r="K163" s="261"/>
      <c r="L163" s="261"/>
      <c r="M163" s="261"/>
      <c r="N163" s="261"/>
      <c r="O163" s="261"/>
      <c r="P163" s="331">
        <f>P72</f>
        <v>399014</v>
      </c>
      <c r="Q163" s="264"/>
      <c r="R163" s="5"/>
    </row>
    <row r="164" spans="1:19" ht="15.6" x14ac:dyDescent="0.3">
      <c r="A164" s="260"/>
      <c r="B164" s="261" t="s">
        <v>273</v>
      </c>
      <c r="C164" s="261"/>
      <c r="D164" s="261"/>
      <c r="E164" s="261"/>
      <c r="F164" s="261"/>
      <c r="G164" s="261"/>
      <c r="H164" s="261"/>
      <c r="I164" s="261"/>
      <c r="J164" s="261"/>
      <c r="K164" s="261"/>
      <c r="L164" s="261"/>
      <c r="M164" s="261"/>
      <c r="N164" s="261"/>
      <c r="O164" s="261"/>
      <c r="P164" s="331">
        <f>+P85</f>
        <v>0</v>
      </c>
      <c r="Q164" s="264"/>
      <c r="R164" s="5"/>
    </row>
    <row r="165" spans="1:19" ht="15.6" x14ac:dyDescent="0.3">
      <c r="A165" s="260"/>
      <c r="B165" s="261" t="s">
        <v>65</v>
      </c>
      <c r="C165" s="261"/>
      <c r="D165" s="261"/>
      <c r="E165" s="261"/>
      <c r="F165" s="261"/>
      <c r="G165" s="261"/>
      <c r="H165" s="261"/>
      <c r="I165" s="261"/>
      <c r="J165" s="261"/>
      <c r="K165" s="261"/>
      <c r="L165" s="261"/>
      <c r="M165" s="261"/>
      <c r="N165" s="261"/>
      <c r="O165" s="261"/>
      <c r="P165" s="331">
        <f>P38</f>
        <v>399013.7119145529</v>
      </c>
      <c r="Q165" s="264"/>
      <c r="R165" s="5"/>
      <c r="S165" s="109"/>
    </row>
    <row r="166" spans="1:19" ht="16.2" thickBot="1" x14ac:dyDescent="0.35">
      <c r="A166" s="183"/>
      <c r="B166" s="190"/>
      <c r="C166" s="190"/>
      <c r="D166" s="190"/>
      <c r="E166" s="190"/>
      <c r="F166" s="190"/>
      <c r="G166" s="190"/>
      <c r="H166" s="190"/>
      <c r="I166" s="190"/>
      <c r="J166" s="190"/>
      <c r="K166" s="190"/>
      <c r="L166" s="190"/>
      <c r="M166" s="190"/>
      <c r="N166" s="190"/>
      <c r="O166" s="190"/>
      <c r="P166" s="341"/>
      <c r="Q166" s="190"/>
      <c r="R166" s="5"/>
    </row>
    <row r="167" spans="1:19" ht="15.6" x14ac:dyDescent="0.3">
      <c r="A167" s="180"/>
      <c r="B167" s="181"/>
      <c r="C167" s="181"/>
      <c r="D167" s="181"/>
      <c r="E167" s="181"/>
      <c r="F167" s="181"/>
      <c r="G167" s="181"/>
      <c r="H167" s="181"/>
      <c r="I167" s="181"/>
      <c r="J167" s="181"/>
      <c r="K167" s="181"/>
      <c r="L167" s="181"/>
      <c r="M167" s="181"/>
      <c r="N167" s="181"/>
      <c r="O167" s="181"/>
      <c r="P167" s="200"/>
      <c r="Q167" s="181"/>
      <c r="R167" s="5"/>
    </row>
    <row r="168" spans="1:19" ht="15.6" x14ac:dyDescent="0.3">
      <c r="A168" s="183"/>
      <c r="B168" s="209" t="s">
        <v>66</v>
      </c>
      <c r="C168" s="205"/>
      <c r="D168" s="205"/>
      <c r="E168" s="205"/>
      <c r="F168" s="211"/>
      <c r="G168" s="211"/>
      <c r="H168" s="211"/>
      <c r="I168" s="211"/>
      <c r="J168" s="211"/>
      <c r="K168" s="211"/>
      <c r="L168" s="211"/>
      <c r="M168" s="211" t="s">
        <v>112</v>
      </c>
      <c r="N168" s="211" t="s">
        <v>120</v>
      </c>
      <c r="O168" s="187"/>
      <c r="P168" s="212" t="s">
        <v>129</v>
      </c>
      <c r="Q168" s="213"/>
      <c r="R168" s="5"/>
    </row>
    <row r="169" spans="1:19" ht="15.6" x14ac:dyDescent="0.3">
      <c r="A169" s="260"/>
      <c r="B169" s="261" t="s">
        <v>67</v>
      </c>
      <c r="C169" s="261"/>
      <c r="D169" s="261"/>
      <c r="E169" s="261"/>
      <c r="F169" s="261"/>
      <c r="G169" s="261"/>
      <c r="H169" s="261"/>
      <c r="I169" s="261"/>
      <c r="J169" s="261"/>
      <c r="K169" s="261"/>
      <c r="L169" s="261"/>
      <c r="M169" s="331">
        <v>144000</v>
      </c>
      <c r="N169" s="292">
        <v>0</v>
      </c>
      <c r="O169" s="261"/>
      <c r="P169" s="331"/>
      <c r="Q169" s="264"/>
      <c r="R169" s="5"/>
    </row>
    <row r="170" spans="1:19" ht="15.6" x14ac:dyDescent="0.3">
      <c r="A170" s="260"/>
      <c r="B170" s="261" t="s">
        <v>68</v>
      </c>
      <c r="C170" s="261"/>
      <c r="D170" s="261"/>
      <c r="E170" s="261"/>
      <c r="F170" s="261"/>
      <c r="G170" s="261"/>
      <c r="H170" s="261"/>
      <c r="I170" s="261"/>
      <c r="J170" s="261"/>
      <c r="K170" s="261"/>
      <c r="L170" s="261"/>
      <c r="M170" s="331">
        <f>+'Jan 11'!M172</f>
        <v>86993</v>
      </c>
      <c r="N170" s="331">
        <f>+'Jan 11'!N172</f>
        <v>10207</v>
      </c>
      <c r="O170" s="261"/>
      <c r="P170" s="331">
        <f>M170+N170</f>
        <v>97200</v>
      </c>
      <c r="Q170" s="264"/>
      <c r="R170" s="5"/>
    </row>
    <row r="171" spans="1:19" ht="15.6" x14ac:dyDescent="0.3">
      <c r="A171" s="260"/>
      <c r="B171" s="261" t="s">
        <v>69</v>
      </c>
      <c r="C171" s="261"/>
      <c r="D171" s="261"/>
      <c r="E171" s="261"/>
      <c r="F171" s="261"/>
      <c r="G171" s="261"/>
      <c r="H171" s="261"/>
      <c r="I171" s="261"/>
      <c r="J171" s="261"/>
      <c r="K171" s="261"/>
      <c r="L171" s="261"/>
      <c r="M171" s="330">
        <v>319</v>
      </c>
      <c r="N171" s="330">
        <f>-N99-N121</f>
        <v>3</v>
      </c>
      <c r="O171" s="261"/>
      <c r="P171" s="331">
        <f>M171+N171</f>
        <v>322</v>
      </c>
      <c r="Q171" s="264"/>
      <c r="R171" s="5"/>
    </row>
    <row r="172" spans="1:19" ht="15.6" x14ac:dyDescent="0.3">
      <c r="A172" s="260"/>
      <c r="B172" s="261" t="s">
        <v>70</v>
      </c>
      <c r="C172" s="261"/>
      <c r="D172" s="261"/>
      <c r="E172" s="261"/>
      <c r="F172" s="261"/>
      <c r="G172" s="261"/>
      <c r="H172" s="261"/>
      <c r="I172" s="261"/>
      <c r="J172" s="261"/>
      <c r="K172" s="261"/>
      <c r="L172" s="261"/>
      <c r="M172" s="331">
        <f>M170+M171</f>
        <v>87312</v>
      </c>
      <c r="N172" s="331">
        <f>N171+N170</f>
        <v>10210</v>
      </c>
      <c r="O172" s="261"/>
      <c r="P172" s="331">
        <f>M172+N172</f>
        <v>97522</v>
      </c>
      <c r="Q172" s="264"/>
      <c r="R172" s="5"/>
    </row>
    <row r="173" spans="1:19" ht="15.6" x14ac:dyDescent="0.3">
      <c r="A173" s="260"/>
      <c r="B173" s="261" t="s">
        <v>71</v>
      </c>
      <c r="C173" s="261"/>
      <c r="D173" s="261"/>
      <c r="E173" s="261"/>
      <c r="F173" s="261"/>
      <c r="G173" s="261"/>
      <c r="H173" s="261"/>
      <c r="I173" s="261"/>
      <c r="J173" s="261"/>
      <c r="K173" s="261"/>
      <c r="L173" s="261"/>
      <c r="M173" s="331">
        <f>M169-M172-N172</f>
        <v>46478</v>
      </c>
      <c r="N173" s="292"/>
      <c r="O173" s="261"/>
      <c r="P173" s="331"/>
      <c r="Q173" s="264"/>
      <c r="R173" s="5"/>
    </row>
    <row r="174" spans="1:19" ht="16.2" thickBot="1" x14ac:dyDescent="0.35">
      <c r="A174" s="183"/>
      <c r="B174" s="190"/>
      <c r="C174" s="190"/>
      <c r="D174" s="190"/>
      <c r="E174" s="190"/>
      <c r="F174" s="190"/>
      <c r="G174" s="190"/>
      <c r="H174" s="190"/>
      <c r="I174" s="190"/>
      <c r="J174" s="190"/>
      <c r="K174" s="190"/>
      <c r="L174" s="190"/>
      <c r="M174" s="190"/>
      <c r="N174" s="190"/>
      <c r="O174" s="190"/>
      <c r="P174" s="341"/>
      <c r="Q174" s="190"/>
      <c r="R174" s="5"/>
    </row>
    <row r="175" spans="1:19" ht="15.6" x14ac:dyDescent="0.3">
      <c r="A175" s="180"/>
      <c r="B175" s="181"/>
      <c r="C175" s="181"/>
      <c r="D175" s="181"/>
      <c r="E175" s="181"/>
      <c r="F175" s="181"/>
      <c r="G175" s="181"/>
      <c r="H175" s="181"/>
      <c r="I175" s="181"/>
      <c r="J175" s="181"/>
      <c r="K175" s="181"/>
      <c r="L175" s="181"/>
      <c r="M175" s="181"/>
      <c r="N175" s="181"/>
      <c r="O175" s="181"/>
      <c r="P175" s="200"/>
      <c r="Q175" s="181"/>
      <c r="R175" s="5"/>
    </row>
    <row r="176" spans="1:19" ht="15.6" x14ac:dyDescent="0.3">
      <c r="A176" s="183"/>
      <c r="B176" s="209" t="s">
        <v>72</v>
      </c>
      <c r="C176" s="185"/>
      <c r="D176" s="185"/>
      <c r="E176" s="185"/>
      <c r="F176" s="185"/>
      <c r="G176" s="185"/>
      <c r="H176" s="185"/>
      <c r="I176" s="185"/>
      <c r="J176" s="185"/>
      <c r="K176" s="185"/>
      <c r="L176" s="185"/>
      <c r="M176" s="185"/>
      <c r="N176" s="185"/>
      <c r="O176" s="185"/>
      <c r="P176" s="214"/>
      <c r="Q176" s="185"/>
      <c r="R176" s="5"/>
    </row>
    <row r="177" spans="1:18" ht="15.6" x14ac:dyDescent="0.3">
      <c r="A177" s="260"/>
      <c r="B177" s="261" t="s">
        <v>73</v>
      </c>
      <c r="C177" s="261"/>
      <c r="D177" s="261"/>
      <c r="E177" s="261"/>
      <c r="F177" s="261"/>
      <c r="G177" s="261"/>
      <c r="H177" s="261"/>
      <c r="I177" s="261"/>
      <c r="J177" s="261"/>
      <c r="K177" s="261"/>
      <c r="L177" s="261"/>
      <c r="M177" s="261"/>
      <c r="N177" s="261"/>
      <c r="O177" s="261"/>
      <c r="P177" s="343">
        <f>(P102+P104+P105+P106+P107)/-(P108+P109+P110)</f>
        <v>2.3582089552238807</v>
      </c>
      <c r="Q177" s="264" t="s">
        <v>130</v>
      </c>
      <c r="R177" s="5"/>
    </row>
    <row r="178" spans="1:18" ht="15.6" x14ac:dyDescent="0.3">
      <c r="A178" s="260"/>
      <c r="B178" s="261" t="s">
        <v>74</v>
      </c>
      <c r="C178" s="261"/>
      <c r="D178" s="261"/>
      <c r="E178" s="261"/>
      <c r="F178" s="261"/>
      <c r="G178" s="261"/>
      <c r="H178" s="261"/>
      <c r="I178" s="261"/>
      <c r="J178" s="261"/>
      <c r="K178" s="261"/>
      <c r="L178" s="261"/>
      <c r="M178" s="261"/>
      <c r="N178" s="261"/>
      <c r="O178" s="261"/>
      <c r="P178" s="343">
        <v>1.47</v>
      </c>
      <c r="Q178" s="264" t="s">
        <v>130</v>
      </c>
      <c r="R178" s="5"/>
    </row>
    <row r="179" spans="1:18" ht="15.6" x14ac:dyDescent="0.3">
      <c r="A179" s="260"/>
      <c r="B179" s="261" t="s">
        <v>75</v>
      </c>
      <c r="C179" s="261"/>
      <c r="D179" s="261"/>
      <c r="E179" s="261"/>
      <c r="F179" s="261"/>
      <c r="G179" s="261"/>
      <c r="H179" s="261"/>
      <c r="I179" s="261"/>
      <c r="J179" s="261"/>
      <c r="K179" s="261"/>
      <c r="L179" s="261"/>
      <c r="M179" s="261"/>
      <c r="N179" s="261"/>
      <c r="O179" s="261"/>
      <c r="P179" s="342">
        <f>(P102+P104+P105+P106+P107+P108+P109+P110)/-(P111+P112)</f>
        <v>2.7733333333333334</v>
      </c>
      <c r="Q179" s="264" t="s">
        <v>130</v>
      </c>
      <c r="R179" s="5"/>
    </row>
    <row r="180" spans="1:18" ht="15.6" x14ac:dyDescent="0.3">
      <c r="A180" s="260"/>
      <c r="B180" s="261" t="s">
        <v>76</v>
      </c>
      <c r="C180" s="261"/>
      <c r="D180" s="261"/>
      <c r="E180" s="261"/>
      <c r="F180" s="261"/>
      <c r="G180" s="261"/>
      <c r="H180" s="261"/>
      <c r="I180" s="261"/>
      <c r="J180" s="261"/>
      <c r="K180" s="261"/>
      <c r="L180" s="261"/>
      <c r="M180" s="261"/>
      <c r="N180" s="261"/>
      <c r="O180" s="261"/>
      <c r="P180" s="343">
        <v>2.4300000000000002</v>
      </c>
      <c r="Q180" s="264" t="s">
        <v>130</v>
      </c>
      <c r="R180" s="5"/>
    </row>
    <row r="181" spans="1:18" ht="15.6" x14ac:dyDescent="0.3">
      <c r="A181" s="260"/>
      <c r="B181" s="335"/>
      <c r="C181" s="335"/>
      <c r="D181" s="335"/>
      <c r="E181" s="335"/>
      <c r="F181" s="335"/>
      <c r="G181" s="335"/>
      <c r="H181" s="335"/>
      <c r="I181" s="335"/>
      <c r="J181" s="335"/>
      <c r="K181" s="335"/>
      <c r="L181" s="335"/>
      <c r="M181" s="335"/>
      <c r="N181" s="335"/>
      <c r="O181" s="335"/>
      <c r="P181" s="335"/>
      <c r="Q181" s="338"/>
      <c r="R181" s="5"/>
    </row>
    <row r="182" spans="1:18" ht="15.6" x14ac:dyDescent="0.3">
      <c r="A182" s="183"/>
      <c r="B182" s="190"/>
      <c r="C182" s="190"/>
      <c r="D182" s="190"/>
      <c r="E182" s="190"/>
      <c r="F182" s="190"/>
      <c r="G182" s="190"/>
      <c r="H182" s="190"/>
      <c r="I182" s="190"/>
      <c r="J182" s="190"/>
      <c r="K182" s="190"/>
      <c r="L182" s="190"/>
      <c r="M182" s="190"/>
      <c r="N182" s="190"/>
      <c r="O182" s="190"/>
      <c r="P182" s="190"/>
      <c r="Q182" s="190"/>
      <c r="R182" s="5"/>
    </row>
    <row r="183" spans="1:18" ht="15.6" x14ac:dyDescent="0.3">
      <c r="A183" s="183"/>
      <c r="B183" s="185"/>
      <c r="C183" s="185"/>
      <c r="D183" s="185"/>
      <c r="E183" s="185"/>
      <c r="F183" s="185"/>
      <c r="G183" s="185"/>
      <c r="H183" s="185"/>
      <c r="I183" s="185"/>
      <c r="J183" s="185"/>
      <c r="K183" s="185"/>
      <c r="L183" s="185"/>
      <c r="M183" s="185"/>
      <c r="N183" s="185"/>
      <c r="O183" s="185"/>
      <c r="P183" s="185"/>
      <c r="Q183" s="185"/>
      <c r="R183" s="5"/>
    </row>
    <row r="184" spans="1:18" ht="18" thickBot="1" x14ac:dyDescent="0.35">
      <c r="A184" s="199"/>
      <c r="B184" s="239" t="str">
        <f>B132</f>
        <v>PM7 INVESTOR REPORT QUARTER ENDING APRIL 2011</v>
      </c>
      <c r="C184" s="215"/>
      <c r="D184" s="215"/>
      <c r="E184" s="215"/>
      <c r="F184" s="215"/>
      <c r="G184" s="215"/>
      <c r="H184" s="215"/>
      <c r="I184" s="215"/>
      <c r="J184" s="215"/>
      <c r="K184" s="215"/>
      <c r="L184" s="215"/>
      <c r="M184" s="215"/>
      <c r="N184" s="215"/>
      <c r="O184" s="215"/>
      <c r="P184" s="215"/>
      <c r="Q184" s="216"/>
      <c r="R184" s="5"/>
    </row>
    <row r="185" spans="1:18" ht="15.6" x14ac:dyDescent="0.3">
      <c r="A185" s="323"/>
      <c r="B185" s="397" t="s">
        <v>77</v>
      </c>
      <c r="C185" s="398"/>
      <c r="D185" s="398"/>
      <c r="E185" s="399"/>
      <c r="F185" s="399"/>
      <c r="G185" s="399"/>
      <c r="H185" s="399"/>
      <c r="I185" s="399"/>
      <c r="J185" s="399"/>
      <c r="K185" s="399"/>
      <c r="L185" s="399"/>
      <c r="M185" s="399"/>
      <c r="N185" s="399">
        <v>40661</v>
      </c>
      <c r="O185" s="326"/>
      <c r="P185" s="326"/>
      <c r="Q185" s="326"/>
      <c r="R185" s="5"/>
    </row>
    <row r="186" spans="1:18" ht="15.6" x14ac:dyDescent="0.3">
      <c r="A186" s="217"/>
      <c r="B186" s="218"/>
      <c r="C186" s="219"/>
      <c r="D186" s="219"/>
      <c r="E186" s="220"/>
      <c r="F186" s="220"/>
      <c r="G186" s="220"/>
      <c r="H186" s="220"/>
      <c r="I186" s="220"/>
      <c r="J186" s="220"/>
      <c r="K186" s="220"/>
      <c r="L186" s="220"/>
      <c r="M186" s="220"/>
      <c r="N186" s="220"/>
      <c r="O186" s="185"/>
      <c r="P186" s="185"/>
      <c r="Q186" s="185"/>
      <c r="R186" s="5"/>
    </row>
    <row r="187" spans="1:18" ht="15.6" x14ac:dyDescent="0.3">
      <c r="A187" s="345"/>
      <c r="B187" s="261" t="s">
        <v>78</v>
      </c>
      <c r="C187" s="346"/>
      <c r="D187" s="346"/>
      <c r="E187" s="295"/>
      <c r="F187" s="295"/>
      <c r="G187" s="295"/>
      <c r="H187" s="295"/>
      <c r="I187" s="295"/>
      <c r="J187" s="295"/>
      <c r="K187" s="295"/>
      <c r="L187" s="295"/>
      <c r="M187" s="295"/>
      <c r="N187" s="290">
        <v>5.8069999999999997E-2</v>
      </c>
      <c r="O187" s="261"/>
      <c r="P187" s="261"/>
      <c r="Q187" s="264"/>
      <c r="R187" s="5"/>
    </row>
    <row r="188" spans="1:18" ht="15.6" x14ac:dyDescent="0.3">
      <c r="A188" s="345"/>
      <c r="B188" s="261" t="s">
        <v>219</v>
      </c>
      <c r="C188" s="346"/>
      <c r="D188" s="346"/>
      <c r="E188" s="295"/>
      <c r="F188" s="295"/>
      <c r="G188" s="295"/>
      <c r="H188" s="295"/>
      <c r="I188" s="295"/>
      <c r="J188" s="295"/>
      <c r="K188" s="295"/>
      <c r="L188" s="295"/>
      <c r="M188" s="295"/>
      <c r="N188" s="290">
        <v>5.1499999999999997E-2</v>
      </c>
      <c r="O188" s="261"/>
      <c r="P188" s="261"/>
      <c r="Q188" s="264"/>
      <c r="R188" s="5"/>
    </row>
    <row r="189" spans="1:18" ht="15.6" x14ac:dyDescent="0.3">
      <c r="A189" s="345"/>
      <c r="B189" s="261" t="s">
        <v>79</v>
      </c>
      <c r="C189" s="346"/>
      <c r="D189" s="346"/>
      <c r="E189" s="295"/>
      <c r="F189" s="295"/>
      <c r="G189" s="295"/>
      <c r="H189" s="295"/>
      <c r="I189" s="295"/>
      <c r="J189" s="295"/>
      <c r="K189" s="295"/>
      <c r="L189" s="295"/>
      <c r="M189" s="295"/>
      <c r="N189" s="290">
        <f>N187-N188</f>
        <v>6.5699999999999995E-3</v>
      </c>
      <c r="O189" s="261"/>
      <c r="P189" s="261"/>
      <c r="Q189" s="264"/>
      <c r="R189" s="5"/>
    </row>
    <row r="190" spans="1:18" ht="15.6" x14ac:dyDescent="0.3">
      <c r="A190" s="345"/>
      <c r="B190" s="261" t="s">
        <v>80</v>
      </c>
      <c r="C190" s="346"/>
      <c r="D190" s="346"/>
      <c r="E190" s="295"/>
      <c r="F190" s="295"/>
      <c r="G190" s="295"/>
      <c r="H190" s="295"/>
      <c r="I190" s="295"/>
      <c r="J190" s="295"/>
      <c r="K190" s="295"/>
      <c r="L190" s="295"/>
      <c r="M190" s="295"/>
      <c r="N190" s="290">
        <v>2.6790000000000001E-2</v>
      </c>
      <c r="O190" s="261"/>
      <c r="P190" s="261"/>
      <c r="Q190" s="264"/>
      <c r="R190" s="5"/>
    </row>
    <row r="191" spans="1:18" ht="15.6" x14ac:dyDescent="0.3">
      <c r="A191" s="345"/>
      <c r="B191" s="261" t="s">
        <v>241</v>
      </c>
      <c r="C191" s="346"/>
      <c r="D191" s="346"/>
      <c r="E191" s="295"/>
      <c r="F191" s="295"/>
      <c r="G191" s="295"/>
      <c r="H191" s="295"/>
      <c r="I191" s="295"/>
      <c r="J191" s="295"/>
      <c r="K191" s="295"/>
      <c r="L191" s="295"/>
      <c r="M191" s="295"/>
      <c r="N191" s="290">
        <f>+P45</f>
        <v>1.6090634340156802E-2</v>
      </c>
      <c r="O191" s="261"/>
      <c r="P191" s="261"/>
      <c r="Q191" s="264"/>
      <c r="R191" s="5"/>
    </row>
    <row r="192" spans="1:18" ht="15.6" x14ac:dyDescent="0.3">
      <c r="A192" s="345"/>
      <c r="B192" s="261" t="s">
        <v>81</v>
      </c>
      <c r="C192" s="346"/>
      <c r="D192" s="346"/>
      <c r="E192" s="295"/>
      <c r="F192" s="295"/>
      <c r="G192" s="295"/>
      <c r="H192" s="295"/>
      <c r="I192" s="295"/>
      <c r="J192" s="295"/>
      <c r="K192" s="295"/>
      <c r="L192" s="295"/>
      <c r="M192" s="295"/>
      <c r="N192" s="290">
        <f>N190-N191</f>
        <v>1.06993656598432E-2</v>
      </c>
      <c r="O192" s="261"/>
      <c r="P192" s="261"/>
      <c r="Q192" s="264"/>
      <c r="R192" s="5"/>
    </row>
    <row r="193" spans="1:18" ht="15.6" x14ac:dyDescent="0.3">
      <c r="A193" s="345"/>
      <c r="B193" s="261" t="s">
        <v>257</v>
      </c>
      <c r="C193" s="346"/>
      <c r="D193" s="346"/>
      <c r="E193" s="295"/>
      <c r="F193" s="295"/>
      <c r="G193" s="295"/>
      <c r="H193" s="295"/>
      <c r="I193" s="295"/>
      <c r="J193" s="295"/>
      <c r="K193" s="295"/>
      <c r="L193" s="295"/>
      <c r="M193" s="295"/>
      <c r="N193" s="290">
        <f>+P102/H72</f>
        <v>7.2441430332922316E-3</v>
      </c>
      <c r="O193" s="261"/>
      <c r="P193" s="261"/>
      <c r="Q193" s="264"/>
      <c r="R193" s="5"/>
    </row>
    <row r="194" spans="1:18" ht="15.6" x14ac:dyDescent="0.3">
      <c r="A194" s="345"/>
      <c r="B194" s="261" t="s">
        <v>170</v>
      </c>
      <c r="C194" s="346"/>
      <c r="D194" s="346"/>
      <c r="E194" s="295"/>
      <c r="F194" s="295"/>
      <c r="G194" s="295"/>
      <c r="H194" s="295"/>
      <c r="I194" s="295"/>
      <c r="J194" s="295"/>
      <c r="K194" s="295"/>
      <c r="L194" s="295"/>
      <c r="M194" s="295"/>
      <c r="N194" s="347">
        <v>49065</v>
      </c>
      <c r="O194" s="261"/>
      <c r="P194" s="261"/>
      <c r="Q194" s="264"/>
      <c r="R194" s="5"/>
    </row>
    <row r="195" spans="1:18" ht="15.6" x14ac:dyDescent="0.3">
      <c r="A195" s="345"/>
      <c r="B195" s="261" t="s">
        <v>171</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172</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138</v>
      </c>
      <c r="C197" s="346"/>
      <c r="D197" s="346"/>
      <c r="E197" s="295"/>
      <c r="F197" s="295"/>
      <c r="G197" s="295"/>
      <c r="H197" s="295"/>
      <c r="I197" s="295"/>
      <c r="J197" s="295"/>
      <c r="K197" s="295"/>
      <c r="L197" s="295"/>
      <c r="M197" s="295"/>
      <c r="N197" s="347">
        <v>52352</v>
      </c>
      <c r="O197" s="261"/>
      <c r="P197" s="261"/>
      <c r="Q197" s="264"/>
      <c r="R197" s="5"/>
    </row>
    <row r="198" spans="1:18" ht="15.6" x14ac:dyDescent="0.3">
      <c r="A198" s="345"/>
      <c r="B198" s="261" t="s">
        <v>139</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82</v>
      </c>
      <c r="C199" s="346"/>
      <c r="D199" s="346"/>
      <c r="E199" s="295"/>
      <c r="F199" s="295"/>
      <c r="G199" s="295"/>
      <c r="H199" s="295"/>
      <c r="I199" s="295"/>
      <c r="J199" s="295"/>
      <c r="K199" s="295"/>
      <c r="L199" s="295"/>
      <c r="M199" s="295"/>
      <c r="N199" s="294">
        <v>20.45</v>
      </c>
      <c r="O199" s="261" t="s">
        <v>125</v>
      </c>
      <c r="P199" s="261"/>
      <c r="Q199" s="264"/>
      <c r="R199" s="5"/>
    </row>
    <row r="200" spans="1:18" ht="15.6" x14ac:dyDescent="0.3">
      <c r="A200" s="345"/>
      <c r="B200" s="261" t="s">
        <v>83</v>
      </c>
      <c r="C200" s="346"/>
      <c r="D200" s="346"/>
      <c r="E200" s="295"/>
      <c r="F200" s="295"/>
      <c r="G200" s="295"/>
      <c r="H200" s="295"/>
      <c r="I200" s="295"/>
      <c r="J200" s="295"/>
      <c r="K200" s="295"/>
      <c r="L200" s="295"/>
      <c r="M200" s="295"/>
      <c r="N200" s="294">
        <v>15.18</v>
      </c>
      <c r="O200" s="261" t="s">
        <v>125</v>
      </c>
      <c r="P200" s="261"/>
      <c r="Q200" s="264"/>
      <c r="R200" s="5"/>
    </row>
    <row r="201" spans="1:18" ht="15.6" x14ac:dyDescent="0.3">
      <c r="A201" s="345"/>
      <c r="B201" s="261" t="s">
        <v>84</v>
      </c>
      <c r="C201" s="346"/>
      <c r="D201" s="346"/>
      <c r="E201" s="295"/>
      <c r="F201" s="295"/>
      <c r="G201" s="295"/>
      <c r="H201" s="295"/>
      <c r="I201" s="295"/>
      <c r="J201" s="295"/>
      <c r="K201" s="295"/>
      <c r="L201" s="295"/>
      <c r="M201" s="295"/>
      <c r="N201" s="290">
        <f>J69/H69</f>
        <v>8.8600294339922833E-3</v>
      </c>
      <c r="O201" s="261"/>
      <c r="P201" s="261"/>
      <c r="Q201" s="264"/>
      <c r="R201" s="5"/>
    </row>
    <row r="202" spans="1:18" ht="15.6" x14ac:dyDescent="0.3">
      <c r="A202" s="345"/>
      <c r="B202" s="261" t="s">
        <v>85</v>
      </c>
      <c r="C202" s="346"/>
      <c r="D202" s="346"/>
      <c r="E202" s="295"/>
      <c r="F202" s="295"/>
      <c r="G202" s="295"/>
      <c r="H202" s="295"/>
      <c r="I202" s="295"/>
      <c r="J202" s="295"/>
      <c r="K202" s="295"/>
      <c r="L202" s="295"/>
      <c r="M202" s="295"/>
      <c r="N202" s="290">
        <v>0.13109999999999999</v>
      </c>
      <c r="O202" s="261"/>
      <c r="P202" s="261"/>
      <c r="Q202" s="264"/>
      <c r="R202" s="5"/>
    </row>
    <row r="203" spans="1:18" ht="15.6" x14ac:dyDescent="0.3">
      <c r="A203" s="217"/>
      <c r="B203" s="222"/>
      <c r="C203" s="222"/>
      <c r="D203" s="222"/>
      <c r="E203" s="190"/>
      <c r="F203" s="190"/>
      <c r="G203" s="190"/>
      <c r="H203" s="190"/>
      <c r="I203" s="190"/>
      <c r="J203" s="190"/>
      <c r="K203" s="190"/>
      <c r="L203" s="190"/>
      <c r="M203" s="190"/>
      <c r="N203" s="341"/>
      <c r="O203" s="190"/>
      <c r="P203" s="344"/>
      <c r="Q203" s="190"/>
      <c r="R203" s="5"/>
    </row>
    <row r="204" spans="1:18" ht="15.6" x14ac:dyDescent="0.3">
      <c r="A204" s="322"/>
      <c r="B204" s="393" t="s">
        <v>86</v>
      </c>
      <c r="C204" s="395"/>
      <c r="D204" s="400"/>
      <c r="E204" s="395"/>
      <c r="F204" s="395"/>
      <c r="G204" s="395"/>
      <c r="H204" s="395"/>
      <c r="I204" s="395"/>
      <c r="J204" s="395"/>
      <c r="K204" s="395"/>
      <c r="L204" s="395"/>
      <c r="M204" s="395" t="s">
        <v>113</v>
      </c>
      <c r="N204" s="400" t="s">
        <v>121</v>
      </c>
      <c r="O204" s="252"/>
      <c r="P204" s="252"/>
      <c r="Q204" s="252"/>
      <c r="R204" s="5"/>
    </row>
    <row r="205" spans="1:18" ht="15.6" x14ac:dyDescent="0.3">
      <c r="A205" s="221"/>
      <c r="B205" s="230" t="s">
        <v>87</v>
      </c>
      <c r="C205" s="235"/>
      <c r="D205" s="230"/>
      <c r="E205" s="230"/>
      <c r="F205" s="234"/>
      <c r="G205" s="234"/>
      <c r="H205" s="234"/>
      <c r="I205" s="234"/>
      <c r="J205" s="234"/>
      <c r="K205" s="234"/>
      <c r="L205" s="234"/>
      <c r="M205" s="234">
        <v>0</v>
      </c>
      <c r="N205" s="305">
        <v>0</v>
      </c>
      <c r="O205" s="230"/>
      <c r="P205" s="306"/>
      <c r="Q205" s="307"/>
      <c r="R205" s="5"/>
    </row>
    <row r="206" spans="1:18" ht="15.6" x14ac:dyDescent="0.3">
      <c r="A206" s="351"/>
      <c r="B206" s="261" t="s">
        <v>203</v>
      </c>
      <c r="C206" s="330"/>
      <c r="D206" s="261"/>
      <c r="E206" s="261"/>
      <c r="F206" s="268"/>
      <c r="G206" s="268"/>
      <c r="H206" s="268"/>
      <c r="I206" s="268"/>
      <c r="J206" s="268"/>
      <c r="K206" s="268"/>
      <c r="L206" s="268"/>
      <c r="M206" s="352">
        <f>+L254</f>
        <v>64</v>
      </c>
      <c r="N206" s="353">
        <f>+N254</f>
        <v>10690</v>
      </c>
      <c r="O206" s="261"/>
      <c r="P206" s="354"/>
      <c r="Q206" s="355"/>
      <c r="R206" s="5"/>
    </row>
    <row r="207" spans="1:18" ht="15.6" x14ac:dyDescent="0.3">
      <c r="A207" s="351"/>
      <c r="B207" s="261" t="s">
        <v>88</v>
      </c>
      <c r="C207" s="330"/>
      <c r="D207" s="261"/>
      <c r="E207" s="261"/>
      <c r="F207" s="268"/>
      <c r="G207" s="268"/>
      <c r="H207" s="268"/>
      <c r="I207" s="268"/>
      <c r="J207" s="268"/>
      <c r="K207" s="268"/>
      <c r="L207" s="268"/>
      <c r="M207" s="352">
        <f>+L265</f>
        <v>0</v>
      </c>
      <c r="N207" s="353">
        <f>+N265</f>
        <v>0</v>
      </c>
      <c r="O207" s="261"/>
      <c r="P207" s="354"/>
      <c r="Q207" s="355"/>
      <c r="R207" s="5"/>
    </row>
    <row r="208" spans="1:18" ht="15.6" x14ac:dyDescent="0.3">
      <c r="A208" s="351"/>
      <c r="B208" s="282" t="s">
        <v>89</v>
      </c>
      <c r="C208" s="356"/>
      <c r="D208" s="335"/>
      <c r="E208" s="335"/>
      <c r="F208" s="335"/>
      <c r="G208" s="335"/>
      <c r="H208" s="335"/>
      <c r="I208" s="335"/>
      <c r="J208" s="335"/>
      <c r="K208" s="335"/>
      <c r="L208" s="335"/>
      <c r="M208" s="335"/>
      <c r="N208" s="353">
        <v>0</v>
      </c>
      <c r="O208" s="335"/>
      <c r="P208" s="358"/>
      <c r="Q208" s="359"/>
      <c r="R208" s="5"/>
    </row>
    <row r="209" spans="1:18" ht="15.6" x14ac:dyDescent="0.3">
      <c r="A209" s="351"/>
      <c r="B209" s="282" t="s">
        <v>90</v>
      </c>
      <c r="C209" s="356"/>
      <c r="D209" s="335"/>
      <c r="E209" s="335"/>
      <c r="F209" s="335"/>
      <c r="G209" s="335"/>
      <c r="H209" s="335"/>
      <c r="I209" s="335"/>
      <c r="J209" s="335"/>
      <c r="K209" s="335"/>
      <c r="L209" s="335"/>
      <c r="M209" s="335"/>
      <c r="N209" s="369" t="s">
        <v>122</v>
      </c>
      <c r="O209" s="335"/>
      <c r="P209" s="358"/>
      <c r="Q209" s="359"/>
      <c r="R209" s="5"/>
    </row>
    <row r="210" spans="1:18" ht="15.6" x14ac:dyDescent="0.3">
      <c r="A210" s="360"/>
      <c r="B210" s="282" t="s">
        <v>91</v>
      </c>
      <c r="C210" s="361"/>
      <c r="D210" s="361"/>
      <c r="E210" s="335"/>
      <c r="F210" s="335"/>
      <c r="G210" s="335"/>
      <c r="H210" s="335"/>
      <c r="I210" s="335"/>
      <c r="J210" s="362"/>
      <c r="K210" s="335"/>
      <c r="L210" s="335"/>
      <c r="M210" s="335"/>
      <c r="N210" s="357"/>
      <c r="O210" s="335"/>
      <c r="P210" s="358"/>
      <c r="Q210" s="363"/>
      <c r="R210" s="5"/>
    </row>
    <row r="211" spans="1:18" ht="15.6" x14ac:dyDescent="0.3">
      <c r="A211" s="360"/>
      <c r="B211" s="261" t="s">
        <v>92</v>
      </c>
      <c r="C211" s="261"/>
      <c r="D211" s="261"/>
      <c r="E211" s="261"/>
      <c r="F211" s="261"/>
      <c r="G211" s="261"/>
      <c r="H211" s="261"/>
      <c r="I211" s="261"/>
      <c r="J211" s="261"/>
      <c r="K211" s="261"/>
      <c r="L211" s="261"/>
      <c r="M211" s="261"/>
      <c r="N211" s="353">
        <f>P154</f>
        <v>84</v>
      </c>
      <c r="O211" s="261"/>
      <c r="P211" s="354"/>
      <c r="Q211" s="363"/>
      <c r="R211" s="5"/>
    </row>
    <row r="212" spans="1:18" ht="15.6" x14ac:dyDescent="0.3">
      <c r="A212" s="351"/>
      <c r="B212" s="261" t="s">
        <v>93</v>
      </c>
      <c r="C212" s="330"/>
      <c r="D212" s="330"/>
      <c r="E212" s="261"/>
      <c r="F212" s="261"/>
      <c r="G212" s="261"/>
      <c r="H212" s="261"/>
      <c r="I212" s="261"/>
      <c r="J212" s="261"/>
      <c r="K212" s="261"/>
      <c r="L212" s="261"/>
      <c r="M212" s="261"/>
      <c r="N212" s="353">
        <f>'Jan 11'!N212+'April 11'!N211</f>
        <v>3659</v>
      </c>
      <c r="O212" s="261"/>
      <c r="P212" s="354"/>
      <c r="Q212" s="363"/>
      <c r="R212" s="5"/>
    </row>
    <row r="213" spans="1:18" ht="15.6" x14ac:dyDescent="0.3">
      <c r="A213" s="360"/>
      <c r="B213" s="282" t="s">
        <v>278</v>
      </c>
      <c r="C213" s="361"/>
      <c r="D213" s="361"/>
      <c r="E213" s="335"/>
      <c r="F213" s="335"/>
      <c r="G213" s="335"/>
      <c r="H213" s="335"/>
      <c r="I213" s="335"/>
      <c r="J213" s="335"/>
      <c r="K213" s="335"/>
      <c r="L213" s="335"/>
      <c r="M213" s="335"/>
      <c r="N213" s="357"/>
      <c r="O213" s="335"/>
      <c r="P213" s="358"/>
      <c r="Q213" s="363"/>
      <c r="R213" s="5"/>
    </row>
    <row r="214" spans="1:18" ht="15.6" x14ac:dyDescent="0.3">
      <c r="A214" s="360"/>
      <c r="B214" s="261" t="s">
        <v>276</v>
      </c>
      <c r="C214" s="261"/>
      <c r="D214" s="261"/>
      <c r="E214" s="261"/>
      <c r="F214" s="261"/>
      <c r="G214" s="261"/>
      <c r="H214" s="261"/>
      <c r="I214" s="261"/>
      <c r="J214" s="261"/>
      <c r="K214" s="261"/>
      <c r="L214" s="261"/>
      <c r="M214" s="268">
        <v>0</v>
      </c>
      <c r="N214" s="353">
        <v>0</v>
      </c>
      <c r="O214" s="261"/>
      <c r="P214" s="354"/>
      <c r="Q214" s="363"/>
      <c r="R214" s="5"/>
    </row>
    <row r="215" spans="1:18" ht="15.6" x14ac:dyDescent="0.3">
      <c r="A215" s="351"/>
      <c r="B215" s="261" t="s">
        <v>95</v>
      </c>
      <c r="C215" s="292"/>
      <c r="D215" s="368"/>
      <c r="E215" s="261"/>
      <c r="F215" s="261"/>
      <c r="G215" s="261"/>
      <c r="H215" s="261"/>
      <c r="I215" s="261"/>
      <c r="J215" s="261"/>
      <c r="K215" s="261"/>
      <c r="L215" s="261"/>
      <c r="M215" s="261"/>
      <c r="N215" s="369">
        <v>0</v>
      </c>
      <c r="O215" s="261"/>
      <c r="P215" s="354"/>
      <c r="Q215" s="363"/>
      <c r="R215" s="5"/>
    </row>
    <row r="216" spans="1:18" ht="15.6" x14ac:dyDescent="0.3">
      <c r="A216" s="351"/>
      <c r="B216" s="261" t="s">
        <v>96</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82" t="s">
        <v>251</v>
      </c>
      <c r="C217" s="370"/>
      <c r="D217" s="371"/>
      <c r="E217" s="335"/>
      <c r="F217" s="335"/>
      <c r="G217" s="335"/>
      <c r="H217" s="335"/>
      <c r="I217" s="335"/>
      <c r="J217" s="335"/>
      <c r="K217" s="335"/>
      <c r="L217" s="335"/>
      <c r="M217" s="335"/>
      <c r="N217" s="372"/>
      <c r="O217" s="335"/>
      <c r="P217" s="358"/>
      <c r="Q217" s="363"/>
      <c r="R217" s="5"/>
    </row>
    <row r="218" spans="1:18" ht="15.6" x14ac:dyDescent="0.3">
      <c r="A218" s="351"/>
      <c r="B218" s="261" t="s">
        <v>276</v>
      </c>
      <c r="C218" s="292"/>
      <c r="D218" s="368"/>
      <c r="E218" s="261"/>
      <c r="F218" s="261"/>
      <c r="G218" s="261"/>
      <c r="H218" s="261"/>
      <c r="I218" s="261"/>
      <c r="J218" s="261"/>
      <c r="K218" s="261"/>
      <c r="L218" s="261"/>
      <c r="M218" s="268">
        <v>3</v>
      </c>
      <c r="N218" s="353">
        <v>306</v>
      </c>
      <c r="O218" s="261"/>
      <c r="P218" s="354"/>
      <c r="Q218" s="373"/>
      <c r="R218" s="308"/>
    </row>
    <row r="219" spans="1:18" ht="15.6" x14ac:dyDescent="0.3">
      <c r="A219" s="351"/>
      <c r="B219" s="261" t="s">
        <v>252</v>
      </c>
      <c r="C219" s="292"/>
      <c r="D219" s="368"/>
      <c r="E219" s="261"/>
      <c r="F219" s="261"/>
      <c r="G219" s="261"/>
      <c r="H219" s="261"/>
      <c r="I219" s="261"/>
      <c r="J219" s="261"/>
      <c r="K219" s="261"/>
      <c r="L219" s="261"/>
      <c r="M219" s="261"/>
      <c r="N219" s="369">
        <v>5.79</v>
      </c>
      <c r="O219" s="261"/>
      <c r="P219" s="354"/>
      <c r="Q219" s="373"/>
      <c r="R219" s="308"/>
    </row>
    <row r="220" spans="1:18" ht="15.6" x14ac:dyDescent="0.3">
      <c r="A220" s="351"/>
      <c r="B220" s="361"/>
      <c r="C220" s="370"/>
      <c r="D220" s="371"/>
      <c r="E220" s="335"/>
      <c r="F220" s="335"/>
      <c r="G220" s="335"/>
      <c r="H220" s="335"/>
      <c r="I220" s="335"/>
      <c r="J220" s="335"/>
      <c r="K220" s="335"/>
      <c r="L220" s="335"/>
      <c r="M220" s="335"/>
      <c r="N220" s="374"/>
      <c r="O220" s="335"/>
      <c r="P220" s="358"/>
      <c r="Q220" s="363"/>
      <c r="R220" s="5"/>
    </row>
    <row r="221" spans="1:18" ht="17.399999999999999" x14ac:dyDescent="0.3">
      <c r="A221" s="351"/>
      <c r="B221" s="375" t="s">
        <v>244</v>
      </c>
      <c r="C221" s="370"/>
      <c r="D221" s="371"/>
      <c r="E221" s="335"/>
      <c r="F221" s="335"/>
      <c r="G221" s="335"/>
      <c r="H221" s="335"/>
      <c r="I221" s="376"/>
      <c r="J221" s="377" t="s">
        <v>243</v>
      </c>
      <c r="K221" s="335"/>
      <c r="L221" s="335"/>
      <c r="M221" s="335"/>
      <c r="N221" s="374"/>
      <c r="O221" s="335"/>
      <c r="P221" s="358"/>
      <c r="Q221" s="363"/>
      <c r="R221" s="5"/>
    </row>
    <row r="222" spans="1:18" ht="15.6" x14ac:dyDescent="0.3">
      <c r="A222" s="348"/>
      <c r="B222" s="222"/>
      <c r="C222" s="223"/>
      <c r="D222" s="224"/>
      <c r="E222" s="190"/>
      <c r="F222" s="190"/>
      <c r="G222" s="190"/>
      <c r="H222" s="190"/>
      <c r="I222" s="190"/>
      <c r="J222" s="190"/>
      <c r="K222" s="190"/>
      <c r="L222" s="190"/>
      <c r="M222" s="190"/>
      <c r="N222" s="349"/>
      <c r="O222" s="190"/>
      <c r="P222" s="344"/>
      <c r="Q222" s="350"/>
      <c r="R222" s="5"/>
    </row>
    <row r="223" spans="1:18" ht="15.6" x14ac:dyDescent="0.3">
      <c r="A223" s="251"/>
      <c r="B223" s="393" t="s">
        <v>290</v>
      </c>
      <c r="C223" s="395"/>
      <c r="D223" s="400"/>
      <c r="E223" s="395"/>
      <c r="F223" s="395"/>
      <c r="G223" s="395"/>
      <c r="H223" s="395"/>
      <c r="I223" s="395"/>
      <c r="J223" s="395"/>
      <c r="K223" s="395"/>
      <c r="L223" s="400" t="s">
        <v>113</v>
      </c>
      <c r="M223" s="395" t="s">
        <v>114</v>
      </c>
      <c r="N223" s="400" t="s">
        <v>123</v>
      </c>
      <c r="O223" s="395" t="s">
        <v>114</v>
      </c>
      <c r="P223" s="252"/>
      <c r="Q223" s="393"/>
      <c r="R223" s="5"/>
    </row>
    <row r="224" spans="1:18" ht="15.6" x14ac:dyDescent="0.3">
      <c r="A224" s="198"/>
      <c r="B224" s="235" t="s">
        <v>98</v>
      </c>
      <c r="C224" s="309"/>
      <c r="D224" s="230"/>
      <c r="E224" s="309"/>
      <c r="F224" s="309"/>
      <c r="G224" s="309"/>
      <c r="H224" s="309"/>
      <c r="I224" s="309"/>
      <c r="J224" s="309"/>
      <c r="K224" s="309"/>
      <c r="L224" s="330">
        <f t="shared" ref="L224:L231" si="1">+L235+L246+L257</f>
        <v>3463</v>
      </c>
      <c r="M224" s="382">
        <f t="shared" ref="M224:M231" si="2">L224/$L$232</f>
        <v>0.97466929355474252</v>
      </c>
      <c r="N224" s="331">
        <f t="shared" ref="N224:N231" si="3">+N235+N246+N257</f>
        <v>389125</v>
      </c>
      <c r="O224" s="382">
        <f t="shared" ref="O224:O231" si="4">N224/$N$232</f>
        <v>0.97521640844682145</v>
      </c>
      <c r="P224" s="306"/>
      <c r="Q224" s="233"/>
      <c r="R224" s="5"/>
    </row>
    <row r="225" spans="1:18" ht="15.6" x14ac:dyDescent="0.3">
      <c r="A225" s="260"/>
      <c r="B225" s="330" t="s">
        <v>99</v>
      </c>
      <c r="C225" s="381"/>
      <c r="D225" s="261"/>
      <c r="E225" s="382"/>
      <c r="F225" s="381"/>
      <c r="G225" s="381"/>
      <c r="H225" s="381"/>
      <c r="I225" s="381"/>
      <c r="J225" s="381"/>
      <c r="K225" s="381"/>
      <c r="L225" s="330">
        <f t="shared" si="1"/>
        <v>62</v>
      </c>
      <c r="M225" s="382">
        <f t="shared" si="2"/>
        <v>1.7450042217844075E-2</v>
      </c>
      <c r="N225" s="331">
        <f t="shared" si="3"/>
        <v>6316</v>
      </c>
      <c r="O225" s="382">
        <f t="shared" si="4"/>
        <v>1.5829018530678123E-2</v>
      </c>
      <c r="P225" s="354"/>
      <c r="Q225" s="373"/>
      <c r="R225" s="5"/>
    </row>
    <row r="226" spans="1:18" ht="15.6" x14ac:dyDescent="0.3">
      <c r="A226" s="260"/>
      <c r="B226" s="330" t="s">
        <v>100</v>
      </c>
      <c r="C226" s="381"/>
      <c r="D226" s="261"/>
      <c r="E226" s="382"/>
      <c r="F226" s="381"/>
      <c r="G226" s="381"/>
      <c r="H226" s="381"/>
      <c r="I226" s="381"/>
      <c r="J226" s="381"/>
      <c r="K226" s="381"/>
      <c r="L226" s="330">
        <f t="shared" si="1"/>
        <v>5</v>
      </c>
      <c r="M226" s="382">
        <f t="shared" si="2"/>
        <v>1.4072614691809737E-3</v>
      </c>
      <c r="N226" s="331">
        <f t="shared" si="3"/>
        <v>285</v>
      </c>
      <c r="O226" s="382">
        <f t="shared" si="4"/>
        <v>7.1426065250843333E-4</v>
      </c>
      <c r="P226" s="354"/>
      <c r="Q226" s="373"/>
      <c r="R226" s="5"/>
    </row>
    <row r="227" spans="1:18" ht="15.6" x14ac:dyDescent="0.3">
      <c r="A227" s="260"/>
      <c r="B227" s="330" t="s">
        <v>227</v>
      </c>
      <c r="C227" s="381"/>
      <c r="D227" s="261"/>
      <c r="E227" s="382"/>
      <c r="F227" s="381"/>
      <c r="G227" s="381"/>
      <c r="H227" s="381"/>
      <c r="I227" s="381"/>
      <c r="J227" s="381"/>
      <c r="K227" s="381"/>
      <c r="L227" s="330">
        <f t="shared" si="1"/>
        <v>4</v>
      </c>
      <c r="M227" s="382">
        <f t="shared" si="2"/>
        <v>1.125809175344779E-3</v>
      </c>
      <c r="N227" s="331">
        <f t="shared" si="3"/>
        <v>140</v>
      </c>
      <c r="O227" s="382">
        <f t="shared" si="4"/>
        <v>3.5086488193396726E-4</v>
      </c>
      <c r="P227" s="354"/>
      <c r="Q227" s="373"/>
      <c r="R227" s="5"/>
    </row>
    <row r="228" spans="1:18" ht="15.6" x14ac:dyDescent="0.3">
      <c r="A228" s="260"/>
      <c r="B228" s="330" t="s">
        <v>228</v>
      </c>
      <c r="C228" s="381"/>
      <c r="D228" s="261"/>
      <c r="E228" s="382"/>
      <c r="F228" s="381"/>
      <c r="G228" s="381"/>
      <c r="H228" s="381"/>
      <c r="I228" s="381"/>
      <c r="J228" s="381"/>
      <c r="K228" s="381"/>
      <c r="L228" s="330">
        <f t="shared" si="1"/>
        <v>2</v>
      </c>
      <c r="M228" s="382">
        <f t="shared" si="2"/>
        <v>5.6290458767238951E-4</v>
      </c>
      <c r="N228" s="331">
        <f t="shared" si="3"/>
        <v>86</v>
      </c>
      <c r="O228" s="382">
        <f t="shared" si="4"/>
        <v>2.1553128461657988E-4</v>
      </c>
      <c r="P228" s="354"/>
      <c r="Q228" s="373"/>
      <c r="R228" s="5"/>
    </row>
    <row r="229" spans="1:18" ht="15.6" x14ac:dyDescent="0.3">
      <c r="A229" s="260"/>
      <c r="B229" s="330" t="s">
        <v>229</v>
      </c>
      <c r="C229" s="381"/>
      <c r="D229" s="261"/>
      <c r="E229" s="382"/>
      <c r="F229" s="381"/>
      <c r="G229" s="381"/>
      <c r="H229" s="381"/>
      <c r="I229" s="381"/>
      <c r="J229" s="381"/>
      <c r="K229" s="381"/>
      <c r="L229" s="330">
        <f t="shared" si="1"/>
        <v>2</v>
      </c>
      <c r="M229" s="382">
        <f t="shared" si="2"/>
        <v>5.6290458767238951E-4</v>
      </c>
      <c r="N229" s="331">
        <f t="shared" si="3"/>
        <v>225</v>
      </c>
      <c r="O229" s="382">
        <f t="shared" si="4"/>
        <v>5.6388998882244735E-4</v>
      </c>
      <c r="P229" s="354"/>
      <c r="Q229" s="373"/>
      <c r="R229" s="5"/>
    </row>
    <row r="230" spans="1:18" ht="15.6" x14ac:dyDescent="0.3">
      <c r="A230" s="260"/>
      <c r="B230" s="330" t="s">
        <v>230</v>
      </c>
      <c r="C230" s="381"/>
      <c r="D230" s="261"/>
      <c r="E230" s="382"/>
      <c r="F230" s="381"/>
      <c r="G230" s="381"/>
      <c r="H230" s="381"/>
      <c r="I230" s="381"/>
      <c r="J230" s="381"/>
      <c r="K230" s="381"/>
      <c r="L230" s="330">
        <f t="shared" si="1"/>
        <v>3</v>
      </c>
      <c r="M230" s="382">
        <f t="shared" si="2"/>
        <v>8.4435688150858433E-4</v>
      </c>
      <c r="N230" s="331">
        <f t="shared" si="3"/>
        <v>326</v>
      </c>
      <c r="O230" s="382">
        <f t="shared" si="4"/>
        <v>8.1701393936052373E-4</v>
      </c>
      <c r="P230" s="354"/>
      <c r="Q230" s="373"/>
      <c r="R230" s="5"/>
    </row>
    <row r="231" spans="1:18" ht="15.6" x14ac:dyDescent="0.3">
      <c r="A231" s="260"/>
      <c r="B231" s="330" t="s">
        <v>231</v>
      </c>
      <c r="C231" s="381"/>
      <c r="D231" s="261"/>
      <c r="E231" s="382"/>
      <c r="F231" s="381"/>
      <c r="G231" s="381"/>
      <c r="H231" s="381"/>
      <c r="I231" s="381"/>
      <c r="J231" s="381"/>
      <c r="K231" s="381"/>
      <c r="L231" s="330">
        <f t="shared" si="1"/>
        <v>12</v>
      </c>
      <c r="M231" s="382">
        <f t="shared" si="2"/>
        <v>3.3774275260343373E-3</v>
      </c>
      <c r="N231" s="331">
        <f t="shared" si="3"/>
        <v>2511</v>
      </c>
      <c r="O231" s="382">
        <f t="shared" si="4"/>
        <v>6.2930122752585119E-3</v>
      </c>
      <c r="P231" s="354"/>
      <c r="Q231" s="373"/>
      <c r="R231" s="5"/>
    </row>
    <row r="232" spans="1:18" ht="15.6" x14ac:dyDescent="0.3">
      <c r="A232" s="260"/>
      <c r="B232" s="261" t="s">
        <v>129</v>
      </c>
      <c r="C232" s="261"/>
      <c r="D232" s="261"/>
      <c r="E232" s="261"/>
      <c r="F232" s="383"/>
      <c r="G232" s="383"/>
      <c r="H232" s="383"/>
      <c r="I232" s="383"/>
      <c r="J232" s="383"/>
      <c r="K232" s="383"/>
      <c r="L232" s="330">
        <f>SUM(L224:L231)</f>
        <v>3553</v>
      </c>
      <c r="M232" s="382">
        <f>SUM(M224:M231)</f>
        <v>1.0000000000000002</v>
      </c>
      <c r="N232" s="330">
        <f>SUM(N224:N231)</f>
        <v>399014</v>
      </c>
      <c r="O232" s="382">
        <f>SUM(O224:O231)</f>
        <v>0.99999999999999989</v>
      </c>
      <c r="P232" s="261"/>
      <c r="Q232" s="264"/>
      <c r="R232" s="5"/>
    </row>
    <row r="233" spans="1:18" ht="15.6" x14ac:dyDescent="0.3">
      <c r="A233" s="348"/>
      <c r="B233" s="222"/>
      <c r="C233" s="223"/>
      <c r="D233" s="224"/>
      <c r="E233" s="190"/>
      <c r="F233" s="190"/>
      <c r="G233" s="190"/>
      <c r="H233" s="190"/>
      <c r="I233" s="190"/>
      <c r="J233" s="190"/>
      <c r="K233" s="190"/>
      <c r="L233" s="190"/>
      <c r="M233" s="190"/>
      <c r="N233" s="349"/>
      <c r="O233" s="190"/>
      <c r="P233" s="344"/>
      <c r="Q233" s="350"/>
      <c r="R233" s="5"/>
    </row>
    <row r="234" spans="1:18" ht="15.6" x14ac:dyDescent="0.3">
      <c r="A234" s="251"/>
      <c r="B234" s="393" t="s">
        <v>236</v>
      </c>
      <c r="C234" s="395"/>
      <c r="D234" s="400"/>
      <c r="E234" s="395"/>
      <c r="F234" s="395"/>
      <c r="G234" s="395"/>
      <c r="H234" s="395"/>
      <c r="I234" s="395"/>
      <c r="J234" s="395"/>
      <c r="K234" s="395"/>
      <c r="L234" s="400" t="s">
        <v>113</v>
      </c>
      <c r="M234" s="395" t="s">
        <v>114</v>
      </c>
      <c r="N234" s="400" t="s">
        <v>123</v>
      </c>
      <c r="O234" s="395" t="s">
        <v>114</v>
      </c>
      <c r="P234" s="252"/>
      <c r="Q234" s="393"/>
      <c r="R234" s="5"/>
    </row>
    <row r="235" spans="1:18" ht="15.6" x14ac:dyDescent="0.3">
      <c r="A235" s="198"/>
      <c r="B235" s="235" t="s">
        <v>98</v>
      </c>
      <c r="C235" s="309"/>
      <c r="D235" s="230"/>
      <c r="E235" s="309"/>
      <c r="F235" s="309"/>
      <c r="G235" s="309"/>
      <c r="H235" s="309"/>
      <c r="I235" s="309"/>
      <c r="J235" s="309"/>
      <c r="K235" s="309"/>
      <c r="L235" s="235">
        <v>3417</v>
      </c>
      <c r="M235" s="310">
        <f t="shared" ref="M235:M242" si="5">L235/$L$243</f>
        <v>0.97936371453138438</v>
      </c>
      <c r="N235" s="300">
        <v>381888</v>
      </c>
      <c r="O235" s="310">
        <f t="shared" ref="O235:O242" si="6">N235/$N$243</f>
        <v>0.9834262111020694</v>
      </c>
      <c r="P235" s="306"/>
      <c r="Q235" s="233"/>
      <c r="R235" s="5"/>
    </row>
    <row r="236" spans="1:18" ht="15.6" x14ac:dyDescent="0.3">
      <c r="A236" s="260"/>
      <c r="B236" s="330" t="s">
        <v>99</v>
      </c>
      <c r="C236" s="381"/>
      <c r="D236" s="261"/>
      <c r="E236" s="382"/>
      <c r="F236" s="381"/>
      <c r="G236" s="381"/>
      <c r="H236" s="381"/>
      <c r="I236" s="381"/>
      <c r="J236" s="381"/>
      <c r="K236" s="381"/>
      <c r="L236" s="330">
        <v>60</v>
      </c>
      <c r="M236" s="382">
        <f t="shared" si="5"/>
        <v>1.7196904557179708E-2</v>
      </c>
      <c r="N236" s="331">
        <v>6012</v>
      </c>
      <c r="O236" s="382">
        <f t="shared" si="6"/>
        <v>1.5481917161957541E-2</v>
      </c>
      <c r="P236" s="354"/>
      <c r="Q236" s="373"/>
      <c r="R236" s="5"/>
    </row>
    <row r="237" spans="1:18" ht="15.6" x14ac:dyDescent="0.3">
      <c r="A237" s="260"/>
      <c r="B237" s="330" t="s">
        <v>100</v>
      </c>
      <c r="C237" s="381"/>
      <c r="D237" s="261"/>
      <c r="E237" s="382"/>
      <c r="F237" s="381"/>
      <c r="G237" s="381"/>
      <c r="H237" s="381"/>
      <c r="I237" s="381"/>
      <c r="J237" s="381"/>
      <c r="K237" s="381"/>
      <c r="L237" s="330">
        <v>4</v>
      </c>
      <c r="M237" s="382">
        <f t="shared" si="5"/>
        <v>1.1464603038119805E-3</v>
      </c>
      <c r="N237" s="331">
        <v>172</v>
      </c>
      <c r="O237" s="382">
        <f t="shared" si="6"/>
        <v>4.4292910044189905E-4</v>
      </c>
      <c r="P237" s="354"/>
      <c r="Q237" s="373"/>
      <c r="R237" s="5"/>
    </row>
    <row r="238" spans="1:18" ht="15.6" x14ac:dyDescent="0.3">
      <c r="A238" s="260"/>
      <c r="B238" s="330" t="s">
        <v>227</v>
      </c>
      <c r="C238" s="381"/>
      <c r="D238" s="261"/>
      <c r="E238" s="382"/>
      <c r="F238" s="381"/>
      <c r="G238" s="381"/>
      <c r="H238" s="381"/>
      <c r="I238" s="381"/>
      <c r="J238" s="381"/>
      <c r="K238" s="381"/>
      <c r="L238" s="330">
        <v>4</v>
      </c>
      <c r="M238" s="382">
        <f t="shared" si="5"/>
        <v>1.1464603038119805E-3</v>
      </c>
      <c r="N238" s="331">
        <v>140</v>
      </c>
      <c r="O238" s="382">
        <f t="shared" si="6"/>
        <v>3.6052368640619687E-4</v>
      </c>
      <c r="P238" s="354"/>
      <c r="Q238" s="373"/>
      <c r="R238" s="5"/>
    </row>
    <row r="239" spans="1:18" ht="15.6" x14ac:dyDescent="0.3">
      <c r="A239" s="260"/>
      <c r="B239" s="330" t="s">
        <v>228</v>
      </c>
      <c r="C239" s="381"/>
      <c r="D239" s="261"/>
      <c r="E239" s="382"/>
      <c r="F239" s="381"/>
      <c r="G239" s="381"/>
      <c r="H239" s="381"/>
      <c r="I239" s="381"/>
      <c r="J239" s="381"/>
      <c r="K239" s="381"/>
      <c r="L239" s="330">
        <v>1</v>
      </c>
      <c r="M239" s="382">
        <f t="shared" si="5"/>
        <v>2.8661507595299513E-4</v>
      </c>
      <c r="N239" s="331">
        <v>26</v>
      </c>
      <c r="O239" s="382">
        <f t="shared" si="6"/>
        <v>6.6954398904007993E-5</v>
      </c>
      <c r="P239" s="354"/>
      <c r="Q239" s="373"/>
      <c r="R239" s="5"/>
    </row>
    <row r="240" spans="1:18" ht="15.6" x14ac:dyDescent="0.3">
      <c r="A240" s="260"/>
      <c r="B240" s="330" t="s">
        <v>229</v>
      </c>
      <c r="C240" s="381"/>
      <c r="D240" s="261"/>
      <c r="E240" s="382"/>
      <c r="F240" s="381"/>
      <c r="G240" s="381"/>
      <c r="H240" s="381"/>
      <c r="I240" s="381"/>
      <c r="J240" s="381"/>
      <c r="K240" s="381"/>
      <c r="L240" s="330">
        <v>0</v>
      </c>
      <c r="M240" s="382">
        <f t="shared" si="5"/>
        <v>0</v>
      </c>
      <c r="N240" s="331">
        <v>0</v>
      </c>
      <c r="O240" s="382">
        <f t="shared" si="6"/>
        <v>0</v>
      </c>
      <c r="P240" s="354"/>
      <c r="Q240" s="373"/>
      <c r="R240" s="5"/>
    </row>
    <row r="241" spans="1:18" ht="15.6" x14ac:dyDescent="0.3">
      <c r="A241" s="260"/>
      <c r="B241" s="330" t="s">
        <v>230</v>
      </c>
      <c r="C241" s="381"/>
      <c r="D241" s="261"/>
      <c r="E241" s="382"/>
      <c r="F241" s="381"/>
      <c r="G241" s="381"/>
      <c r="H241" s="381"/>
      <c r="I241" s="381"/>
      <c r="J241" s="381"/>
      <c r="K241" s="381"/>
      <c r="L241" s="330">
        <v>1</v>
      </c>
      <c r="M241" s="382">
        <f t="shared" si="5"/>
        <v>2.8661507595299513E-4</v>
      </c>
      <c r="N241" s="331">
        <v>24</v>
      </c>
      <c r="O241" s="382">
        <f t="shared" si="6"/>
        <v>6.1804060526776604E-5</v>
      </c>
      <c r="P241" s="354"/>
      <c r="Q241" s="373"/>
      <c r="R241" s="5"/>
    </row>
    <row r="242" spans="1:18" ht="15.6" x14ac:dyDescent="0.3">
      <c r="A242" s="260"/>
      <c r="B242" s="330" t="s">
        <v>231</v>
      </c>
      <c r="C242" s="381"/>
      <c r="D242" s="261"/>
      <c r="E242" s="382"/>
      <c r="F242" s="381"/>
      <c r="G242" s="381"/>
      <c r="H242" s="381"/>
      <c r="I242" s="381"/>
      <c r="J242" s="381"/>
      <c r="K242" s="381"/>
      <c r="L242" s="330">
        <v>2</v>
      </c>
      <c r="M242" s="382">
        <f t="shared" si="5"/>
        <v>5.7323015190599027E-4</v>
      </c>
      <c r="N242" s="331">
        <v>62</v>
      </c>
      <c r="O242" s="382">
        <f t="shared" si="6"/>
        <v>1.5966048969417291E-4</v>
      </c>
      <c r="P242" s="354"/>
      <c r="Q242" s="373"/>
      <c r="R242" s="5"/>
    </row>
    <row r="243" spans="1:18" ht="15.6" x14ac:dyDescent="0.3">
      <c r="A243" s="260"/>
      <c r="B243" s="261" t="s">
        <v>129</v>
      </c>
      <c r="C243" s="261"/>
      <c r="D243" s="261"/>
      <c r="E243" s="261"/>
      <c r="F243" s="383"/>
      <c r="G243" s="383"/>
      <c r="H243" s="383"/>
      <c r="I243" s="383"/>
      <c r="J243" s="383"/>
      <c r="K243" s="383"/>
      <c r="L243" s="330">
        <f>SUM(L235:L242)</f>
        <v>3489</v>
      </c>
      <c r="M243" s="382">
        <f>SUM(M235:M242)</f>
        <v>0.99999999999999989</v>
      </c>
      <c r="N243" s="331">
        <f>SUM(N235:N242)</f>
        <v>388324</v>
      </c>
      <c r="O243" s="382">
        <f>SUM(O235:O242)</f>
        <v>1</v>
      </c>
      <c r="P243" s="261"/>
      <c r="Q243" s="264"/>
      <c r="R243" s="5"/>
    </row>
    <row r="244" spans="1:18" ht="15.6" x14ac:dyDescent="0.3">
      <c r="A244" s="183"/>
      <c r="B244" s="257"/>
      <c r="C244" s="257"/>
      <c r="D244" s="257"/>
      <c r="E244" s="257"/>
      <c r="F244" s="378"/>
      <c r="G244" s="378"/>
      <c r="H244" s="378"/>
      <c r="I244" s="378"/>
      <c r="J244" s="378"/>
      <c r="K244" s="378"/>
      <c r="L244" s="302"/>
      <c r="M244" s="379"/>
      <c r="N244" s="380"/>
      <c r="O244" s="379"/>
      <c r="P244" s="257"/>
      <c r="Q244" s="257"/>
      <c r="R244" s="5"/>
    </row>
    <row r="245" spans="1:18" ht="15.6" x14ac:dyDescent="0.3">
      <c r="A245" s="316"/>
      <c r="B245" s="393" t="s">
        <v>238</v>
      </c>
      <c r="C245" s="395"/>
      <c r="D245" s="400"/>
      <c r="E245" s="395"/>
      <c r="F245" s="395"/>
      <c r="G245" s="395"/>
      <c r="H245" s="395"/>
      <c r="I245" s="395"/>
      <c r="J245" s="395"/>
      <c r="K245" s="395"/>
      <c r="L245" s="400" t="s">
        <v>113</v>
      </c>
      <c r="M245" s="395" t="s">
        <v>114</v>
      </c>
      <c r="N245" s="400" t="s">
        <v>123</v>
      </c>
      <c r="O245" s="395" t="s">
        <v>114</v>
      </c>
      <c r="P245" s="252"/>
      <c r="Q245" s="321"/>
      <c r="R245" s="5"/>
    </row>
    <row r="246" spans="1:18" ht="15.6" x14ac:dyDescent="0.3">
      <c r="A246" s="198"/>
      <c r="B246" s="235" t="s">
        <v>98</v>
      </c>
      <c r="C246" s="309"/>
      <c r="D246" s="230"/>
      <c r="E246" s="309"/>
      <c r="F246" s="309"/>
      <c r="G246" s="309"/>
      <c r="H246" s="309"/>
      <c r="I246" s="309"/>
      <c r="J246" s="309"/>
      <c r="K246" s="309"/>
      <c r="L246" s="235">
        <v>46</v>
      </c>
      <c r="M246" s="310">
        <f t="shared" ref="M246:M253" si="7">L246/$L$254</f>
        <v>0.71875</v>
      </c>
      <c r="N246" s="300">
        <v>7237</v>
      </c>
      <c r="O246" s="310">
        <f t="shared" ref="O246:O253" si="8">N246/$N$254</f>
        <v>0.67698783910196447</v>
      </c>
      <c r="P246" s="306"/>
      <c r="Q246" s="230"/>
      <c r="R246" s="5"/>
    </row>
    <row r="247" spans="1:18" ht="15.6" x14ac:dyDescent="0.3">
      <c r="A247" s="260"/>
      <c r="B247" s="330" t="s">
        <v>99</v>
      </c>
      <c r="C247" s="381"/>
      <c r="D247" s="261"/>
      <c r="E247" s="382"/>
      <c r="F247" s="381"/>
      <c r="G247" s="381"/>
      <c r="H247" s="381"/>
      <c r="I247" s="381"/>
      <c r="J247" s="381"/>
      <c r="K247" s="381"/>
      <c r="L247" s="330">
        <v>2</v>
      </c>
      <c r="M247" s="382">
        <f t="shared" si="7"/>
        <v>3.125E-2</v>
      </c>
      <c r="N247" s="331">
        <v>304</v>
      </c>
      <c r="O247" s="382">
        <f t="shared" si="8"/>
        <v>2.8437792329279701E-2</v>
      </c>
      <c r="P247" s="354"/>
      <c r="Q247" s="264"/>
      <c r="R247" s="5"/>
    </row>
    <row r="248" spans="1:18" ht="15.6" x14ac:dyDescent="0.3">
      <c r="A248" s="260"/>
      <c r="B248" s="330" t="s">
        <v>100</v>
      </c>
      <c r="C248" s="381"/>
      <c r="D248" s="261"/>
      <c r="E248" s="382"/>
      <c r="F248" s="381"/>
      <c r="G248" s="381"/>
      <c r="H248" s="381"/>
      <c r="I248" s="381"/>
      <c r="J248" s="381"/>
      <c r="K248" s="381"/>
      <c r="L248" s="330">
        <v>1</v>
      </c>
      <c r="M248" s="382">
        <f t="shared" si="7"/>
        <v>1.5625E-2</v>
      </c>
      <c r="N248" s="331">
        <v>113</v>
      </c>
      <c r="O248" s="382">
        <f t="shared" si="8"/>
        <v>1.0570626753975678E-2</v>
      </c>
      <c r="P248" s="354"/>
      <c r="Q248" s="264"/>
      <c r="R248" s="5"/>
    </row>
    <row r="249" spans="1:18" ht="15.6" x14ac:dyDescent="0.3">
      <c r="A249" s="260"/>
      <c r="B249" s="330" t="s">
        <v>227</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228</v>
      </c>
      <c r="C250" s="381"/>
      <c r="D250" s="261"/>
      <c r="E250" s="382"/>
      <c r="F250" s="381"/>
      <c r="G250" s="381"/>
      <c r="H250" s="381"/>
      <c r="I250" s="381"/>
      <c r="J250" s="381"/>
      <c r="K250" s="381"/>
      <c r="L250" s="330">
        <v>1</v>
      </c>
      <c r="M250" s="382">
        <f t="shared" si="7"/>
        <v>1.5625E-2</v>
      </c>
      <c r="N250" s="331">
        <v>60</v>
      </c>
      <c r="O250" s="382">
        <f t="shared" si="8"/>
        <v>5.6127221702525721E-3</v>
      </c>
      <c r="P250" s="354"/>
      <c r="Q250" s="264"/>
      <c r="R250" s="5"/>
    </row>
    <row r="251" spans="1:18" ht="15.6" x14ac:dyDescent="0.3">
      <c r="A251" s="260"/>
      <c r="B251" s="330" t="s">
        <v>229</v>
      </c>
      <c r="C251" s="381"/>
      <c r="D251" s="261"/>
      <c r="E251" s="382"/>
      <c r="F251" s="381"/>
      <c r="G251" s="381"/>
      <c r="H251" s="381"/>
      <c r="I251" s="381"/>
      <c r="J251" s="381"/>
      <c r="K251" s="381"/>
      <c r="L251" s="330">
        <v>2</v>
      </c>
      <c r="M251" s="382">
        <f t="shared" si="7"/>
        <v>3.125E-2</v>
      </c>
      <c r="N251" s="331">
        <v>225</v>
      </c>
      <c r="O251" s="382">
        <f t="shared" si="8"/>
        <v>2.1047708138447148E-2</v>
      </c>
      <c r="P251" s="354"/>
      <c r="Q251" s="264"/>
      <c r="R251" s="5"/>
    </row>
    <row r="252" spans="1:18" ht="15.6" x14ac:dyDescent="0.3">
      <c r="A252" s="260"/>
      <c r="B252" s="330" t="s">
        <v>230</v>
      </c>
      <c r="C252" s="381"/>
      <c r="D252" s="261"/>
      <c r="E252" s="382"/>
      <c r="F252" s="381"/>
      <c r="G252" s="381"/>
      <c r="H252" s="381"/>
      <c r="I252" s="381"/>
      <c r="J252" s="381"/>
      <c r="K252" s="381"/>
      <c r="L252" s="330">
        <v>2</v>
      </c>
      <c r="M252" s="382">
        <f t="shared" si="7"/>
        <v>3.125E-2</v>
      </c>
      <c r="N252" s="331">
        <v>302</v>
      </c>
      <c r="O252" s="382">
        <f t="shared" si="8"/>
        <v>2.8250701590271283E-2</v>
      </c>
      <c r="P252" s="354"/>
      <c r="Q252" s="264"/>
      <c r="R252" s="5"/>
    </row>
    <row r="253" spans="1:18" ht="15.6" x14ac:dyDescent="0.3">
      <c r="A253" s="260"/>
      <c r="B253" s="330" t="s">
        <v>231</v>
      </c>
      <c r="C253" s="381"/>
      <c r="D253" s="261"/>
      <c r="E253" s="382"/>
      <c r="F253" s="381"/>
      <c r="G253" s="381"/>
      <c r="H253" s="381"/>
      <c r="I253" s="381"/>
      <c r="J253" s="381"/>
      <c r="K253" s="381"/>
      <c r="L253" s="330">
        <v>10</v>
      </c>
      <c r="M253" s="382">
        <f t="shared" si="7"/>
        <v>0.15625</v>
      </c>
      <c r="N253" s="331">
        <v>2449</v>
      </c>
      <c r="O253" s="382">
        <f t="shared" si="8"/>
        <v>0.22909260991580918</v>
      </c>
      <c r="P253" s="354"/>
      <c r="Q253" s="264"/>
      <c r="R253" s="5"/>
    </row>
    <row r="254" spans="1:18" ht="15.6" x14ac:dyDescent="0.3">
      <c r="A254" s="260"/>
      <c r="B254" s="261" t="s">
        <v>129</v>
      </c>
      <c r="C254" s="261"/>
      <c r="D254" s="261"/>
      <c r="E254" s="261"/>
      <c r="F254" s="383"/>
      <c r="G254" s="383"/>
      <c r="H254" s="383"/>
      <c r="I254" s="383"/>
      <c r="J254" s="383"/>
      <c r="K254" s="383"/>
      <c r="L254" s="330">
        <f>SUM(L246:L253)</f>
        <v>64</v>
      </c>
      <c r="M254" s="382">
        <f>SUM(M246:M253)</f>
        <v>1</v>
      </c>
      <c r="N254" s="331">
        <f>SUM(N246:N253)</f>
        <v>10690</v>
      </c>
      <c r="O254" s="382">
        <f>SUM(O246:O253)</f>
        <v>1</v>
      </c>
      <c r="P254" s="261"/>
      <c r="Q254" s="264"/>
      <c r="R254" s="5"/>
    </row>
    <row r="255" spans="1:18" ht="15.6" x14ac:dyDescent="0.3">
      <c r="A255" s="183"/>
      <c r="B255" s="257"/>
      <c r="C255" s="257"/>
      <c r="D255" s="257"/>
      <c r="E255" s="257"/>
      <c r="F255" s="378"/>
      <c r="G255" s="378"/>
      <c r="H255" s="378"/>
      <c r="I255" s="378"/>
      <c r="J255" s="378"/>
      <c r="K255" s="378"/>
      <c r="L255" s="302"/>
      <c r="M255" s="379"/>
      <c r="N255" s="380"/>
      <c r="O255" s="379"/>
      <c r="P255" s="257"/>
      <c r="Q255" s="257"/>
      <c r="R255" s="5"/>
    </row>
    <row r="256" spans="1:18" ht="15.6" x14ac:dyDescent="0.3">
      <c r="A256" s="316"/>
      <c r="B256" s="393" t="s">
        <v>239</v>
      </c>
      <c r="C256" s="395"/>
      <c r="D256" s="400"/>
      <c r="E256" s="395"/>
      <c r="F256" s="395"/>
      <c r="G256" s="395"/>
      <c r="H256" s="395"/>
      <c r="I256" s="395"/>
      <c r="J256" s="395"/>
      <c r="K256" s="395"/>
      <c r="L256" s="400" t="s">
        <v>113</v>
      </c>
      <c r="M256" s="395" t="s">
        <v>114</v>
      </c>
      <c r="N256" s="400" t="s">
        <v>123</v>
      </c>
      <c r="O256" s="395" t="s">
        <v>114</v>
      </c>
      <c r="P256" s="320"/>
      <c r="Q256" s="321"/>
      <c r="R256" s="5"/>
    </row>
    <row r="257" spans="1:18" ht="15.6" x14ac:dyDescent="0.3">
      <c r="A257" s="198"/>
      <c r="B257" s="235" t="s">
        <v>98</v>
      </c>
      <c r="C257" s="309"/>
      <c r="D257" s="230"/>
      <c r="E257" s="309"/>
      <c r="F257" s="309"/>
      <c r="G257" s="309"/>
      <c r="H257" s="309"/>
      <c r="I257" s="309"/>
      <c r="J257" s="309"/>
      <c r="K257" s="309"/>
      <c r="L257" s="235">
        <v>0</v>
      </c>
      <c r="M257" s="310">
        <v>0</v>
      </c>
      <c r="N257" s="300">
        <v>0</v>
      </c>
      <c r="O257" s="310">
        <v>0</v>
      </c>
      <c r="P257" s="230"/>
      <c r="Q257" s="230"/>
      <c r="R257" s="5"/>
    </row>
    <row r="258" spans="1:18" ht="15.6" x14ac:dyDescent="0.3">
      <c r="A258" s="260"/>
      <c r="B258" s="330" t="s">
        <v>99</v>
      </c>
      <c r="C258" s="381"/>
      <c r="D258" s="261"/>
      <c r="E258" s="382"/>
      <c r="F258" s="381"/>
      <c r="G258" s="381"/>
      <c r="H258" s="381"/>
      <c r="I258" s="381"/>
      <c r="J258" s="381"/>
      <c r="K258" s="381"/>
      <c r="L258" s="330">
        <v>0</v>
      </c>
      <c r="M258" s="382">
        <v>0</v>
      </c>
      <c r="N258" s="331">
        <v>0</v>
      </c>
      <c r="O258" s="382">
        <v>0</v>
      </c>
      <c r="P258" s="261"/>
      <c r="Q258" s="264"/>
      <c r="R258" s="5"/>
    </row>
    <row r="259" spans="1:18" ht="15.6" x14ac:dyDescent="0.3">
      <c r="A259" s="260"/>
      <c r="B259" s="330" t="s">
        <v>100</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227</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228</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229</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230</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231</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261" t="s">
        <v>129</v>
      </c>
      <c r="C265" s="261"/>
      <c r="D265" s="261"/>
      <c r="E265" s="261"/>
      <c r="F265" s="383"/>
      <c r="G265" s="383"/>
      <c r="H265" s="383"/>
      <c r="I265" s="383"/>
      <c r="J265" s="383"/>
      <c r="K265" s="383"/>
      <c r="L265" s="330">
        <f>SUM(L257:L264)</f>
        <v>0</v>
      </c>
      <c r="M265" s="382">
        <v>0</v>
      </c>
      <c r="N265" s="331">
        <f>SUM(N257:N264)</f>
        <v>0</v>
      </c>
      <c r="O265" s="382">
        <v>0</v>
      </c>
      <c r="P265" s="261"/>
      <c r="Q265" s="264"/>
      <c r="R265" s="5"/>
    </row>
    <row r="266" spans="1:18" ht="15.6" x14ac:dyDescent="0.3">
      <c r="A266" s="260"/>
      <c r="B266" s="261"/>
      <c r="C266" s="261"/>
      <c r="D266" s="261"/>
      <c r="E266" s="261"/>
      <c r="F266" s="383"/>
      <c r="G266" s="383"/>
      <c r="H266" s="383"/>
      <c r="I266" s="383"/>
      <c r="J266" s="383"/>
      <c r="K266" s="383"/>
      <c r="L266" s="330"/>
      <c r="M266" s="382"/>
      <c r="N266" s="331"/>
      <c r="O266" s="382"/>
      <c r="P266" s="261"/>
      <c r="Q266" s="264"/>
      <c r="R266" s="5"/>
    </row>
    <row r="267" spans="1:18" ht="15.6" x14ac:dyDescent="0.3">
      <c r="A267" s="260"/>
      <c r="B267" s="266" t="s">
        <v>240</v>
      </c>
      <c r="C267" s="261"/>
      <c r="D267" s="261"/>
      <c r="E267" s="261"/>
      <c r="F267" s="383"/>
      <c r="G267" s="383"/>
      <c r="H267" s="383"/>
      <c r="I267" s="383"/>
      <c r="J267" s="383"/>
      <c r="K267" s="383"/>
      <c r="L267" s="401">
        <f>+L243+L254+L265</f>
        <v>3553</v>
      </c>
      <c r="M267" s="382"/>
      <c r="N267" s="386">
        <f>+N265+N254+N243</f>
        <v>399014</v>
      </c>
      <c r="O267" s="382"/>
      <c r="P267" s="261"/>
      <c r="Q267" s="264"/>
      <c r="R267" s="5"/>
    </row>
    <row r="268" spans="1:18" ht="15.6" x14ac:dyDescent="0.3">
      <c r="A268" s="183"/>
      <c r="B268" s="257"/>
      <c r="C268" s="257"/>
      <c r="D268" s="257"/>
      <c r="E268" s="257"/>
      <c r="F268" s="378"/>
      <c r="G268" s="378"/>
      <c r="H268" s="378"/>
      <c r="I268" s="378"/>
      <c r="J268" s="378"/>
      <c r="K268" s="378"/>
      <c r="L268" s="378"/>
      <c r="M268" s="378"/>
      <c r="N268" s="380"/>
      <c r="O268" s="378"/>
      <c r="P268" s="257"/>
      <c r="Q268" s="257"/>
      <c r="R268" s="5"/>
    </row>
    <row r="269" spans="1:18" ht="15.6" x14ac:dyDescent="0.3">
      <c r="A269" s="183"/>
      <c r="B269" s="236"/>
      <c r="C269" s="236"/>
      <c r="D269" s="236"/>
      <c r="E269" s="236"/>
      <c r="F269" s="311"/>
      <c r="G269" s="311"/>
      <c r="H269" s="311"/>
      <c r="I269" s="311"/>
      <c r="J269" s="311"/>
      <c r="K269" s="311"/>
      <c r="L269" s="311"/>
      <c r="M269" s="311"/>
      <c r="N269" s="312"/>
      <c r="O269" s="311"/>
      <c r="P269" s="236"/>
      <c r="Q269" s="236"/>
      <c r="R269" s="5"/>
    </row>
    <row r="270" spans="1:18" ht="15.6" x14ac:dyDescent="0.3">
      <c r="A270" s="225"/>
      <c r="B270" s="228" t="s">
        <v>102</v>
      </c>
      <c r="C270" s="236"/>
      <c r="D270" s="236"/>
      <c r="E270" s="236"/>
      <c r="F270" s="246" t="s">
        <v>108</v>
      </c>
      <c r="G270" s="236"/>
      <c r="H270" s="228" t="s">
        <v>110</v>
      </c>
      <c r="I270" s="249"/>
      <c r="J270" s="249"/>
      <c r="K270" s="249"/>
      <c r="L270" s="249"/>
      <c r="M270" s="249"/>
      <c r="N270" s="249"/>
      <c r="O270" s="249"/>
      <c r="P270" s="249"/>
      <c r="Q270" s="249"/>
      <c r="R270" s="5"/>
    </row>
    <row r="271" spans="1:18" ht="15.6" x14ac:dyDescent="0.3">
      <c r="A271" s="225"/>
      <c r="B271" s="249"/>
      <c r="C271" s="236"/>
      <c r="D271" s="236"/>
      <c r="E271" s="236"/>
      <c r="F271" s="236"/>
      <c r="G271" s="236"/>
      <c r="H271" s="236"/>
      <c r="I271" s="249"/>
      <c r="J271" s="249"/>
      <c r="K271" s="249"/>
      <c r="L271" s="249"/>
      <c r="M271" s="249"/>
      <c r="N271" s="249"/>
      <c r="O271" s="249"/>
      <c r="P271" s="249"/>
      <c r="Q271" s="249"/>
      <c r="R271" s="5"/>
    </row>
    <row r="272" spans="1:18" ht="15.6" x14ac:dyDescent="0.3">
      <c r="A272" s="225"/>
      <c r="B272" s="228" t="s">
        <v>103</v>
      </c>
      <c r="C272" s="228"/>
      <c r="D272" s="228"/>
      <c r="E272" s="228"/>
      <c r="F272" s="313" t="s">
        <v>212</v>
      </c>
      <c r="G272" s="228"/>
      <c r="H272" s="228" t="s">
        <v>222</v>
      </c>
      <c r="I272" s="249"/>
      <c r="J272" s="249"/>
      <c r="K272" s="249"/>
      <c r="L272" s="249"/>
      <c r="M272" s="249"/>
      <c r="N272" s="249"/>
      <c r="O272" s="249"/>
      <c r="P272" s="249"/>
      <c r="Q272" s="249"/>
      <c r="R272" s="5"/>
    </row>
    <row r="273" spans="1:18" ht="15.6" x14ac:dyDescent="0.3">
      <c r="A273" s="225"/>
      <c r="B273" s="228" t="s">
        <v>263</v>
      </c>
      <c r="C273" s="228"/>
      <c r="D273" s="228"/>
      <c r="E273" s="228"/>
      <c r="F273" s="313" t="s">
        <v>264</v>
      </c>
      <c r="G273" s="228"/>
      <c r="H273" s="228" t="s">
        <v>265</v>
      </c>
      <c r="I273" s="249"/>
      <c r="J273" s="249"/>
      <c r="K273" s="249"/>
      <c r="L273" s="249"/>
      <c r="M273" s="249"/>
      <c r="N273" s="249"/>
      <c r="O273" s="249"/>
      <c r="P273" s="249"/>
      <c r="Q273" s="249"/>
      <c r="R273" s="5"/>
    </row>
    <row r="274" spans="1:18" ht="15.6" x14ac:dyDescent="0.3">
      <c r="A274" s="225"/>
      <c r="B274" s="228" t="s">
        <v>104</v>
      </c>
      <c r="C274" s="228"/>
      <c r="D274" s="228"/>
      <c r="E274" s="228"/>
      <c r="F274" s="313" t="s">
        <v>211</v>
      </c>
      <c r="G274" s="228"/>
      <c r="H274" s="228" t="s">
        <v>223</v>
      </c>
      <c r="I274" s="249"/>
      <c r="J274" s="249"/>
      <c r="K274" s="249"/>
      <c r="L274" s="249"/>
      <c r="M274" s="249"/>
      <c r="N274" s="249"/>
      <c r="O274" s="249"/>
      <c r="P274" s="249"/>
      <c r="Q274" s="249"/>
      <c r="R274" s="5"/>
    </row>
    <row r="275" spans="1:18" ht="15.6" x14ac:dyDescent="0.3">
      <c r="A275" s="225"/>
      <c r="B275" s="228"/>
      <c r="C275" s="228"/>
      <c r="D275" s="228"/>
      <c r="E275" s="314"/>
      <c r="F275" s="249"/>
      <c r="G275" s="249"/>
      <c r="H275" s="249"/>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8" thickBot="1" x14ac:dyDescent="0.35">
      <c r="A277" s="225"/>
      <c r="B277" s="315" t="str">
        <f>B184</f>
        <v>PM7 INVESTOR REPORT QUARTER ENDING APRIL 2011</v>
      </c>
      <c r="C277" s="228"/>
      <c r="D277" s="228"/>
      <c r="E277" s="314"/>
      <c r="F277" s="249"/>
      <c r="G277" s="249"/>
      <c r="H277" s="249"/>
      <c r="I277" s="249"/>
      <c r="J277" s="249"/>
      <c r="K277" s="249"/>
      <c r="L277" s="249"/>
      <c r="M277" s="249"/>
      <c r="N277" s="249"/>
      <c r="O277" s="249"/>
      <c r="P277" s="249"/>
      <c r="Q277" s="24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phoneticPr fontId="0" type="noConversion"/>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7" man="1"/>
    <brk id="132" max="14" man="1"/>
    <brk id="184" max="14"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0.95760000000000001</v>
      </c>
      <c r="N17" s="246" t="s">
        <v>173</v>
      </c>
      <c r="O17" s="245">
        <v>4.24E-2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40772</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292</v>
      </c>
      <c r="E28" s="392"/>
      <c r="F28" s="392" t="s">
        <v>292</v>
      </c>
      <c r="G28" s="392"/>
      <c r="H28" s="392" t="s">
        <v>292</v>
      </c>
      <c r="I28" s="392"/>
      <c r="J28" s="392" t="s">
        <v>262</v>
      </c>
      <c r="K28" s="392"/>
      <c r="L28" s="392" t="s">
        <v>262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177161.535</v>
      </c>
      <c r="E34" s="271"/>
      <c r="F34" s="272">
        <f>+F33*F40</f>
        <v>86587.115999999995</v>
      </c>
      <c r="G34" s="271"/>
      <c r="H34" s="273">
        <f>+H33*H40</f>
        <v>196858.7</v>
      </c>
      <c r="I34" s="271"/>
      <c r="J34" s="270">
        <f>J33*J40</f>
        <v>73096.311749999993</v>
      </c>
      <c r="K34" s="271"/>
      <c r="L34" s="273">
        <f>L33*L40</f>
        <v>57591.0075</v>
      </c>
      <c r="M34" s="271"/>
      <c r="N34" s="271"/>
      <c r="O34" s="274"/>
      <c r="P34" s="271"/>
      <c r="Q34" s="275"/>
      <c r="R34" s="5"/>
    </row>
    <row r="35" spans="1:19" ht="15.6" x14ac:dyDescent="0.3">
      <c r="A35" s="265"/>
      <c r="B35" s="266" t="s">
        <v>158</v>
      </c>
      <c r="C35" s="276"/>
      <c r="D35" s="277">
        <f>+D33*D39</f>
        <v>176230.125</v>
      </c>
      <c r="E35" s="278"/>
      <c r="F35" s="279">
        <f>+F33*F39</f>
        <v>86131.891999999993</v>
      </c>
      <c r="G35" s="278"/>
      <c r="H35" s="280">
        <f>+H33*H39</f>
        <v>195823.69999999998</v>
      </c>
      <c r="I35" s="278"/>
      <c r="J35" s="277">
        <f>J33*J39</f>
        <v>72712.001999999993</v>
      </c>
      <c r="K35" s="278"/>
      <c r="L35" s="280">
        <f>L33*L39</f>
        <v>57288.217999999993</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99584.898819561553</v>
      </c>
      <c r="E37" s="271"/>
      <c r="F37" s="271">
        <f>+F34</f>
        <v>86587.115999999995</v>
      </c>
      <c r="G37" s="271"/>
      <c r="H37" s="271">
        <f>+H34/1.481481</f>
        <v>132879.66568589135</v>
      </c>
      <c r="I37" s="271"/>
      <c r="J37" s="271">
        <f>J36*J40</f>
        <v>41088.1013466</v>
      </c>
      <c r="K37" s="271"/>
      <c r="L37" s="271">
        <f>L36*L40</f>
        <v>38873.930062499996</v>
      </c>
      <c r="M37" s="271"/>
      <c r="N37" s="271"/>
      <c r="O37" s="274"/>
      <c r="P37" s="271">
        <f>SUM(C37:L37)</f>
        <v>399013.7119145529</v>
      </c>
      <c r="Q37" s="275"/>
      <c r="R37" s="5"/>
      <c r="S37" s="154"/>
    </row>
    <row r="38" spans="1:19" ht="15.6" x14ac:dyDescent="0.3">
      <c r="A38" s="265"/>
      <c r="B38" s="266" t="s">
        <v>281</v>
      </c>
      <c r="C38" s="276"/>
      <c r="D38" s="278">
        <f>D35/1.779</f>
        <v>99061.340640809445</v>
      </c>
      <c r="E38" s="278"/>
      <c r="F38" s="278">
        <f>+F35</f>
        <v>86131.891999999993</v>
      </c>
      <c r="G38" s="278"/>
      <c r="H38" s="278">
        <f>H35/1.481481</f>
        <v>132181.04045883814</v>
      </c>
      <c r="I38" s="278"/>
      <c r="J38" s="278">
        <f>J36*J39</f>
        <v>40872.0773424</v>
      </c>
      <c r="K38" s="278"/>
      <c r="L38" s="278">
        <f>L36*L39</f>
        <v>38669.547149999999</v>
      </c>
      <c r="M38" s="278"/>
      <c r="N38" s="278"/>
      <c r="O38" s="281"/>
      <c r="P38" s="278">
        <f>SUM(D38:L38)</f>
        <v>396915.89759204758</v>
      </c>
      <c r="Q38" s="275"/>
      <c r="R38" s="5"/>
      <c r="S38" s="176"/>
    </row>
    <row r="39" spans="1:19" ht="15.6" x14ac:dyDescent="0.3">
      <c r="A39" s="265"/>
      <c r="B39" s="282" t="s">
        <v>154</v>
      </c>
      <c r="C39" s="283"/>
      <c r="D39" s="284">
        <v>0.39162249999999998</v>
      </c>
      <c r="E39" s="284"/>
      <c r="F39" s="284">
        <v>0.39150859999999998</v>
      </c>
      <c r="G39" s="284"/>
      <c r="H39" s="284">
        <v>0.39164739999999998</v>
      </c>
      <c r="I39" s="284"/>
      <c r="J39" s="284">
        <v>0.88135759999999996</v>
      </c>
      <c r="K39" s="284"/>
      <c r="L39" s="284">
        <v>0.88135719999999995</v>
      </c>
      <c r="M39" s="285"/>
      <c r="N39" s="285"/>
      <c r="O39" s="286"/>
      <c r="P39" s="285"/>
      <c r="Q39" s="287"/>
      <c r="R39" s="5"/>
    </row>
    <row r="40" spans="1:19" ht="15.6" x14ac:dyDescent="0.3">
      <c r="A40" s="265"/>
      <c r="B40" s="282" t="s">
        <v>155</v>
      </c>
      <c r="C40" s="283"/>
      <c r="D40" s="284">
        <v>0.3936923</v>
      </c>
      <c r="E40" s="284"/>
      <c r="F40" s="284">
        <v>0.39357779999999998</v>
      </c>
      <c r="G40" s="284"/>
      <c r="H40" s="284">
        <v>0.3937174</v>
      </c>
      <c r="I40" s="284"/>
      <c r="J40" s="284">
        <v>0.88601589999999997</v>
      </c>
      <c r="K40" s="284"/>
      <c r="L40" s="284">
        <v>0.88601549999999996</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6.8075000000000002E-3</v>
      </c>
      <c r="E42" s="290"/>
      <c r="F42" s="289">
        <v>1.2418800000000001E-2</v>
      </c>
      <c r="G42" s="290"/>
      <c r="H42" s="289">
        <v>1.84E-2</v>
      </c>
      <c r="I42" s="290"/>
      <c r="J42" s="289">
        <v>1.7607500000000002E-2</v>
      </c>
      <c r="K42" s="290"/>
      <c r="L42" s="289">
        <v>2.92E-2</v>
      </c>
      <c r="M42" s="290"/>
      <c r="N42" s="289"/>
      <c r="O42" s="263"/>
      <c r="P42" s="290"/>
      <c r="Q42" s="264"/>
      <c r="R42" s="5"/>
    </row>
    <row r="43" spans="1:19" ht="15.6" x14ac:dyDescent="0.3">
      <c r="A43" s="260"/>
      <c r="B43" s="261" t="s">
        <v>14</v>
      </c>
      <c r="C43" s="261"/>
      <c r="D43" s="289">
        <v>7.3299999999999997E-3</v>
      </c>
      <c r="E43" s="290"/>
      <c r="F43" s="289">
        <v>1.22338E-2</v>
      </c>
      <c r="G43" s="290"/>
      <c r="H43" s="289">
        <v>1.5129999999999999E-2</v>
      </c>
      <c r="I43" s="290"/>
      <c r="J43" s="289">
        <v>1.813E-2</v>
      </c>
      <c r="K43" s="290"/>
      <c r="L43" s="289">
        <v>2.5930000000000002E-2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1.43088E-2</v>
      </c>
      <c r="E45" s="290"/>
      <c r="F45" s="289">
        <f>+F42</f>
        <v>1.2418800000000001E-2</v>
      </c>
      <c r="G45" s="290"/>
      <c r="H45" s="289">
        <v>1.4068799999999999E-2</v>
      </c>
      <c r="I45" s="290"/>
      <c r="J45" s="289">
        <v>2.65688E-2</v>
      </c>
      <c r="K45" s="290"/>
      <c r="L45" s="289">
        <v>2.65688E-2</v>
      </c>
      <c r="M45" s="290"/>
      <c r="N45" s="289"/>
      <c r="O45" s="263"/>
      <c r="P45" s="290">
        <f>SUMPRODUCT(D45:L45,D37:L37)/P37</f>
        <v>1.6275634002534262E-2</v>
      </c>
      <c r="Q45" s="264"/>
      <c r="R45" s="5"/>
    </row>
    <row r="46" spans="1:19" ht="15.6" x14ac:dyDescent="0.3">
      <c r="A46" s="260"/>
      <c r="B46" s="261" t="s">
        <v>283</v>
      </c>
      <c r="C46" s="261"/>
      <c r="D46" s="289">
        <v>1.4123800000000001E-2</v>
      </c>
      <c r="E46" s="290"/>
      <c r="F46" s="289">
        <f>+F43</f>
        <v>1.22338E-2</v>
      </c>
      <c r="G46" s="290"/>
      <c r="H46" s="289">
        <v>1.38838E-2</v>
      </c>
      <c r="I46" s="290"/>
      <c r="J46" s="289">
        <v>2.6383799999999999E-2</v>
      </c>
      <c r="K46" s="290"/>
      <c r="L46" s="289">
        <v>2.6383799999999999E-2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0.25062404622641204</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40770</v>
      </c>
      <c r="Q57" s="264"/>
      <c r="R57" s="5"/>
    </row>
    <row r="58" spans="1:18" ht="15.6" x14ac:dyDescent="0.3">
      <c r="A58" s="260"/>
      <c r="B58" s="261" t="s">
        <v>142</v>
      </c>
      <c r="C58" s="261"/>
      <c r="D58" s="261"/>
      <c r="E58" s="261"/>
      <c r="F58" s="297"/>
      <c r="G58" s="297"/>
      <c r="H58" s="297"/>
      <c r="I58" s="297"/>
      <c r="J58" s="297"/>
      <c r="K58" s="297"/>
      <c r="L58" s="261">
        <f>+P58-N58+1</f>
        <v>90</v>
      </c>
      <c r="M58" s="297"/>
      <c r="N58" s="298">
        <v>40589</v>
      </c>
      <c r="O58" s="299"/>
      <c r="P58" s="298">
        <v>40678</v>
      </c>
      <c r="Q58" s="264"/>
      <c r="R58" s="5"/>
    </row>
    <row r="59" spans="1:18" ht="15.6" x14ac:dyDescent="0.3">
      <c r="A59" s="260"/>
      <c r="B59" s="261" t="s">
        <v>143</v>
      </c>
      <c r="C59" s="261"/>
      <c r="D59" s="261"/>
      <c r="E59" s="261"/>
      <c r="F59" s="261"/>
      <c r="G59" s="261"/>
      <c r="H59" s="261"/>
      <c r="I59" s="261"/>
      <c r="J59" s="261"/>
      <c r="K59" s="261"/>
      <c r="L59" s="261">
        <f>+P59-N59+1</f>
        <v>91</v>
      </c>
      <c r="M59" s="261"/>
      <c r="N59" s="298">
        <v>40679</v>
      </c>
      <c r="O59" s="299"/>
      <c r="P59" s="298">
        <v>40769</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40756</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295</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399014</v>
      </c>
      <c r="I69" s="330"/>
      <c r="J69" s="330">
        <f>2098+229+18</f>
        <v>2345</v>
      </c>
      <c r="K69" s="330"/>
      <c r="L69" s="330">
        <f>229+18</f>
        <v>247</v>
      </c>
      <c r="M69" s="330"/>
      <c r="N69" s="330">
        <v>0</v>
      </c>
      <c r="O69" s="330"/>
      <c r="P69" s="331">
        <f>+H69-J69+L69-N69</f>
        <v>396916</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399014</v>
      </c>
      <c r="I72" s="330"/>
      <c r="J72" s="330">
        <f>SUM(J69:J71)</f>
        <v>2345</v>
      </c>
      <c r="K72" s="330"/>
      <c r="L72" s="330">
        <f>SUM(L69:L71)</f>
        <v>247</v>
      </c>
      <c r="M72" s="330"/>
      <c r="N72" s="330">
        <f>SUM(N69:N71)</f>
        <v>0</v>
      </c>
      <c r="O72" s="330"/>
      <c r="P72" s="330">
        <f>SUM(P69:P71)</f>
        <v>396916</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+N129</f>
        <v>0</v>
      </c>
      <c r="Q85" s="264"/>
      <c r="R85" s="5"/>
    </row>
    <row r="86" spans="1:18" ht="15.6" x14ac:dyDescent="0.3">
      <c r="A86" s="260"/>
      <c r="B86" s="261" t="s">
        <v>30</v>
      </c>
      <c r="C86" s="330"/>
      <c r="D86" s="330"/>
      <c r="E86" s="330"/>
      <c r="F86" s="330">
        <f>SUM(F72:F85)</f>
        <v>900700</v>
      </c>
      <c r="G86" s="330"/>
      <c r="H86" s="330">
        <f>SUM(H72:H85)</f>
        <v>399014</v>
      </c>
      <c r="I86" s="330"/>
      <c r="J86" s="330">
        <f>SUM(J72:J85)</f>
        <v>2345</v>
      </c>
      <c r="K86" s="330"/>
      <c r="L86" s="330">
        <f>SUM(L72:L85)</f>
        <v>247</v>
      </c>
      <c r="M86" s="330"/>
      <c r="N86" s="330"/>
      <c r="O86" s="330"/>
      <c r="P86" s="330">
        <f>SUM(P72:P85)</f>
        <v>396916</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40753</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2345-243</f>
        <v>2102</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3442+175+32-931-64</f>
        <v>2654</v>
      </c>
      <c r="Q92" s="264"/>
      <c r="R92" s="5"/>
    </row>
    <row r="93" spans="1:18" ht="15.6" x14ac:dyDescent="0.3">
      <c r="A93" s="260"/>
      <c r="B93" s="261" t="s">
        <v>249</v>
      </c>
      <c r="C93" s="261"/>
      <c r="D93" s="261"/>
      <c r="E93" s="261"/>
      <c r="F93" s="292"/>
      <c r="G93" s="332"/>
      <c r="H93" s="333"/>
      <c r="I93" s="261"/>
      <c r="J93" s="261"/>
      <c r="K93" s="261"/>
      <c r="L93" s="261"/>
      <c r="M93" s="261"/>
      <c r="N93" s="330"/>
      <c r="O93" s="261"/>
      <c r="P93" s="331">
        <f>85+1</f>
        <v>86</v>
      </c>
      <c r="Q93" s="264"/>
      <c r="R93" s="5"/>
    </row>
    <row r="94" spans="1:18" ht="15.6" x14ac:dyDescent="0.3">
      <c r="A94" s="260"/>
      <c r="B94" s="261" t="s">
        <v>250</v>
      </c>
      <c r="C94" s="261"/>
      <c r="D94" s="261"/>
      <c r="E94" s="261"/>
      <c r="F94" s="292"/>
      <c r="G94" s="332"/>
      <c r="H94" s="333"/>
      <c r="I94" s="261"/>
      <c r="J94" s="261"/>
      <c r="K94" s="261"/>
      <c r="L94" s="261"/>
      <c r="M94" s="261"/>
      <c r="N94" s="330"/>
      <c r="O94" s="261"/>
      <c r="P94" s="331">
        <v>33</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185</v>
      </c>
      <c r="Q97" s="264"/>
      <c r="R97" s="5"/>
    </row>
    <row r="98" spans="1:19" ht="15.6" x14ac:dyDescent="0.3">
      <c r="A98" s="260"/>
      <c r="B98" s="261" t="s">
        <v>35</v>
      </c>
      <c r="C98" s="261"/>
      <c r="D98" s="261"/>
      <c r="E98" s="261"/>
      <c r="F98" s="261"/>
      <c r="G98" s="261"/>
      <c r="H98" s="261"/>
      <c r="I98" s="261"/>
      <c r="J98" s="261"/>
      <c r="K98" s="261"/>
      <c r="L98" s="261"/>
      <c r="M98" s="261"/>
      <c r="N98" s="330">
        <f>SUM(N90:N97)</f>
        <v>2102</v>
      </c>
      <c r="O98" s="261"/>
      <c r="P98" s="330">
        <f>SUM(P90:P97)</f>
        <v>2958</v>
      </c>
      <c r="Q98" s="264"/>
      <c r="R98" s="5"/>
    </row>
    <row r="99" spans="1:19" ht="15.6" x14ac:dyDescent="0.3">
      <c r="A99" s="260"/>
      <c r="B99" s="261" t="s">
        <v>237</v>
      </c>
      <c r="C99" s="261"/>
      <c r="D99" s="261"/>
      <c r="E99" s="261"/>
      <c r="F99" s="261"/>
      <c r="G99" s="261"/>
      <c r="H99" s="261"/>
      <c r="I99" s="261"/>
      <c r="J99" s="261"/>
      <c r="K99" s="261"/>
      <c r="L99" s="261"/>
      <c r="M99" s="261"/>
      <c r="N99" s="330">
        <v>-1</v>
      </c>
      <c r="O99" s="261"/>
      <c r="P99" s="330">
        <f>-N99</f>
        <v>1</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204</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2101</v>
      </c>
      <c r="O102" s="261"/>
      <c r="P102" s="330">
        <f>P98+P100+P99+P101</f>
        <v>3163</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40</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226</v>
      </c>
      <c r="C106" s="261"/>
      <c r="D106" s="261"/>
      <c r="E106" s="261"/>
      <c r="F106" s="261"/>
      <c r="G106" s="261"/>
      <c r="H106" s="261"/>
      <c r="I106" s="261"/>
      <c r="J106" s="261"/>
      <c r="K106" s="261"/>
      <c r="L106" s="261"/>
      <c r="M106" s="261"/>
      <c r="N106" s="261"/>
      <c r="O106" s="261"/>
      <c r="P106" s="331">
        <f>-101-110-5</f>
        <v>-216</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-45</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-355</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-268</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-466</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-272</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-258</v>
      </c>
      <c r="Q112" s="264"/>
      <c r="R112" s="5"/>
      <c r="S112" s="109"/>
    </row>
    <row r="113" spans="1:18" ht="15.6" x14ac:dyDescent="0.3">
      <c r="A113" s="339">
        <v>6</v>
      </c>
      <c r="B113" s="261" t="s">
        <v>41</v>
      </c>
      <c r="C113" s="261"/>
      <c r="D113" s="261"/>
      <c r="E113" s="261"/>
      <c r="F113" s="261"/>
      <c r="G113" s="261"/>
      <c r="H113" s="261"/>
      <c r="I113" s="261"/>
      <c r="J113" s="261"/>
      <c r="K113" s="261"/>
      <c r="L113" s="261"/>
      <c r="M113" s="261"/>
      <c r="N113" s="261"/>
      <c r="O113" s="261"/>
      <c r="P113" s="331">
        <v>-10</v>
      </c>
      <c r="Q113" s="264"/>
      <c r="R113" s="5"/>
    </row>
    <row r="114" spans="1:18" ht="15.6" x14ac:dyDescent="0.3">
      <c r="A114" s="339">
        <f t="shared" ref="A114:A119" si="0">+A113+1</f>
        <v>7</v>
      </c>
      <c r="B114" s="261" t="s">
        <v>53</v>
      </c>
      <c r="C114" s="261"/>
      <c r="D114" s="261"/>
      <c r="E114" s="261"/>
      <c r="F114" s="261"/>
      <c r="G114" s="261"/>
      <c r="H114" s="261"/>
      <c r="I114" s="261"/>
      <c r="J114" s="261"/>
      <c r="K114" s="261"/>
      <c r="L114" s="261"/>
      <c r="M114" s="261"/>
      <c r="N114" s="330">
        <f>-P114</f>
        <v>243</v>
      </c>
      <c r="O114" s="261"/>
      <c r="P114" s="331">
        <v>-243</v>
      </c>
      <c r="Q114" s="264"/>
      <c r="R114" s="5"/>
    </row>
    <row r="115" spans="1:18" ht="15.6" x14ac:dyDescent="0.3">
      <c r="A115" s="339">
        <f t="shared" si="0"/>
        <v>8</v>
      </c>
      <c r="B115" s="261" t="s">
        <v>149</v>
      </c>
      <c r="C115" s="261"/>
      <c r="D115" s="261"/>
      <c r="E115" s="261"/>
      <c r="F115" s="261"/>
      <c r="G115" s="261"/>
      <c r="H115" s="261"/>
      <c r="I115" s="261"/>
      <c r="J115" s="261"/>
      <c r="K115" s="261"/>
      <c r="L115" s="261"/>
      <c r="M115" s="261"/>
      <c r="N115" s="261"/>
      <c r="O115" s="261"/>
      <c r="P115" s="331">
        <v>0</v>
      </c>
      <c r="Q115" s="264"/>
      <c r="R115" s="5"/>
    </row>
    <row r="116" spans="1:18" ht="15.6" x14ac:dyDescent="0.3">
      <c r="A116" s="339">
        <f t="shared" si="0"/>
        <v>9</v>
      </c>
      <c r="B116" s="261" t="s">
        <v>42</v>
      </c>
      <c r="C116" s="261"/>
      <c r="D116" s="261"/>
      <c r="E116" s="261"/>
      <c r="F116" s="261"/>
      <c r="G116" s="261"/>
      <c r="H116" s="261"/>
      <c r="I116" s="261"/>
      <c r="J116" s="261"/>
      <c r="K116" s="261"/>
      <c r="L116" s="261"/>
      <c r="M116" s="261"/>
      <c r="N116" s="261"/>
      <c r="O116" s="261"/>
      <c r="P116" s="331">
        <v>0</v>
      </c>
      <c r="Q116" s="264"/>
      <c r="R116" s="5"/>
    </row>
    <row r="117" spans="1:18" ht="15.6" x14ac:dyDescent="0.3">
      <c r="A117" s="339">
        <f t="shared" si="0"/>
        <v>10</v>
      </c>
      <c r="B117" s="261" t="s">
        <v>43</v>
      </c>
      <c r="C117" s="261"/>
      <c r="D117" s="261"/>
      <c r="E117" s="261"/>
      <c r="F117" s="261"/>
      <c r="G117" s="261"/>
      <c r="H117" s="261"/>
      <c r="I117" s="261"/>
      <c r="J117" s="261"/>
      <c r="K117" s="261"/>
      <c r="L117" s="261"/>
      <c r="M117" s="261"/>
      <c r="N117" s="261"/>
      <c r="O117" s="261"/>
      <c r="P117" s="331">
        <v>0</v>
      </c>
      <c r="Q117" s="264"/>
      <c r="R117" s="5"/>
    </row>
    <row r="118" spans="1:18" ht="15.6" x14ac:dyDescent="0.3">
      <c r="A118" s="339">
        <f t="shared" si="0"/>
        <v>11</v>
      </c>
      <c r="B118" s="261" t="s">
        <v>215</v>
      </c>
      <c r="C118" s="261"/>
      <c r="D118" s="261"/>
      <c r="E118" s="261"/>
      <c r="F118" s="261"/>
      <c r="G118" s="261"/>
      <c r="H118" s="261"/>
      <c r="I118" s="261"/>
      <c r="J118" s="261"/>
      <c r="K118" s="261"/>
      <c r="L118" s="261"/>
      <c r="M118" s="261"/>
      <c r="N118" s="261"/>
      <c r="O118" s="261"/>
      <c r="P118" s="331">
        <v>-205</v>
      </c>
      <c r="Q118" s="264"/>
      <c r="R118" s="5"/>
    </row>
    <row r="119" spans="1:18" ht="15.6" x14ac:dyDescent="0.3">
      <c r="A119" s="339">
        <f t="shared" si="0"/>
        <v>12</v>
      </c>
      <c r="B119" s="261" t="s">
        <v>150</v>
      </c>
      <c r="C119" s="261"/>
      <c r="D119" s="261"/>
      <c r="E119" s="261"/>
      <c r="F119" s="261"/>
      <c r="G119" s="261"/>
      <c r="H119" s="261"/>
      <c r="I119" s="261"/>
      <c r="J119" s="261"/>
      <c r="K119" s="261"/>
      <c r="L119" s="261"/>
      <c r="M119" s="261"/>
      <c r="N119" s="261"/>
      <c r="O119" s="261"/>
      <c r="P119" s="331">
        <f>-P102-SUM(P104:P118)</f>
        <v>-823</v>
      </c>
      <c r="Q119" s="264"/>
      <c r="R119" s="5"/>
    </row>
    <row r="120" spans="1:18" ht="15.6" x14ac:dyDescent="0.3">
      <c r="A120" s="260"/>
      <c r="B120" s="334" t="s">
        <v>44</v>
      </c>
      <c r="C120" s="335"/>
      <c r="D120" s="335"/>
      <c r="E120" s="335"/>
      <c r="F120" s="335"/>
      <c r="G120" s="335"/>
      <c r="H120" s="335"/>
      <c r="I120" s="335"/>
      <c r="J120" s="335"/>
      <c r="K120" s="335"/>
      <c r="L120" s="335"/>
      <c r="M120" s="335"/>
      <c r="N120" s="335"/>
      <c r="O120" s="335"/>
      <c r="P120" s="340"/>
      <c r="Q120" s="338"/>
      <c r="R120" s="5"/>
    </row>
    <row r="121" spans="1:18" ht="15.6" x14ac:dyDescent="0.3">
      <c r="A121" s="339"/>
      <c r="B121" s="261" t="s">
        <v>45</v>
      </c>
      <c r="C121" s="261"/>
      <c r="D121" s="261"/>
      <c r="E121" s="261"/>
      <c r="F121" s="261"/>
      <c r="G121" s="261"/>
      <c r="H121" s="261"/>
      <c r="I121" s="261"/>
      <c r="J121" s="261"/>
      <c r="K121" s="261"/>
      <c r="L121" s="261"/>
      <c r="M121" s="261"/>
      <c r="N121" s="330">
        <v>0</v>
      </c>
      <c r="O121" s="330"/>
      <c r="P121" s="331"/>
      <c r="Q121" s="264"/>
      <c r="R121" s="5"/>
    </row>
    <row r="122" spans="1:18" ht="15.6" x14ac:dyDescent="0.3">
      <c r="A122" s="339"/>
      <c r="B122" s="261" t="s">
        <v>46</v>
      </c>
      <c r="C122" s="261"/>
      <c r="D122" s="261"/>
      <c r="E122" s="261"/>
      <c r="F122" s="261"/>
      <c r="G122" s="261"/>
      <c r="H122" s="261"/>
      <c r="I122" s="261"/>
      <c r="J122" s="261"/>
      <c r="K122" s="261"/>
      <c r="L122" s="261"/>
      <c r="M122" s="261"/>
      <c r="N122" s="330">
        <f>-M171</f>
        <v>-246</v>
      </c>
      <c r="O122" s="330"/>
      <c r="P122" s="331"/>
      <c r="Q122" s="264"/>
      <c r="R122" s="5"/>
    </row>
    <row r="123" spans="1:18" ht="15.6" x14ac:dyDescent="0.3">
      <c r="A123" s="339"/>
      <c r="B123" s="261" t="s">
        <v>199</v>
      </c>
      <c r="C123" s="261"/>
      <c r="D123" s="261"/>
      <c r="E123" s="261"/>
      <c r="F123" s="261"/>
      <c r="G123" s="261"/>
      <c r="H123" s="261"/>
      <c r="I123" s="261"/>
      <c r="J123" s="261"/>
      <c r="K123" s="261"/>
      <c r="L123" s="261"/>
      <c r="M123" s="261"/>
      <c r="N123" s="330">
        <v>-524</v>
      </c>
      <c r="O123" s="330"/>
      <c r="P123" s="331"/>
      <c r="Q123" s="264"/>
      <c r="R123" s="5"/>
    </row>
    <row r="124" spans="1:18" ht="15.6" x14ac:dyDescent="0.3">
      <c r="A124" s="339"/>
      <c r="B124" s="261" t="s">
        <v>200</v>
      </c>
      <c r="C124" s="261"/>
      <c r="D124" s="261"/>
      <c r="E124" s="261"/>
      <c r="F124" s="261"/>
      <c r="G124" s="261"/>
      <c r="H124" s="261"/>
      <c r="I124" s="261"/>
      <c r="J124" s="261"/>
      <c r="K124" s="261"/>
      <c r="L124" s="261"/>
      <c r="M124" s="261"/>
      <c r="N124" s="330">
        <v>-455</v>
      </c>
      <c r="O124" s="330"/>
      <c r="P124" s="331"/>
      <c r="Q124" s="264"/>
      <c r="R124" s="5"/>
    </row>
    <row r="125" spans="1:18" ht="15.6" x14ac:dyDescent="0.3">
      <c r="A125" s="339"/>
      <c r="B125" s="261" t="s">
        <v>201</v>
      </c>
      <c r="C125" s="261"/>
      <c r="D125" s="261"/>
      <c r="E125" s="261"/>
      <c r="F125" s="261"/>
      <c r="G125" s="261"/>
      <c r="H125" s="261"/>
      <c r="I125" s="261"/>
      <c r="J125" s="261"/>
      <c r="K125" s="261"/>
      <c r="L125" s="261"/>
      <c r="M125" s="261"/>
      <c r="N125" s="330">
        <v>-699</v>
      </c>
      <c r="O125" s="330"/>
      <c r="P125" s="331"/>
      <c r="Q125" s="264"/>
      <c r="R125" s="5"/>
    </row>
    <row r="126" spans="1:18" ht="15.6" x14ac:dyDescent="0.3">
      <c r="A126" s="339"/>
      <c r="B126" s="261" t="s">
        <v>159</v>
      </c>
      <c r="C126" s="261"/>
      <c r="D126" s="261"/>
      <c r="E126" s="261"/>
      <c r="F126" s="261"/>
      <c r="G126" s="261"/>
      <c r="H126" s="261"/>
      <c r="I126" s="261"/>
      <c r="J126" s="261"/>
      <c r="K126" s="261"/>
      <c r="L126" s="261"/>
      <c r="M126" s="261"/>
      <c r="N126" s="330">
        <v>-216</v>
      </c>
      <c r="O126" s="330"/>
      <c r="P126" s="331"/>
      <c r="Q126" s="264"/>
      <c r="R126" s="5"/>
    </row>
    <row r="127" spans="1:18" ht="15.6" x14ac:dyDescent="0.3">
      <c r="A127" s="339"/>
      <c r="B127" s="261" t="s">
        <v>214</v>
      </c>
      <c r="C127" s="261"/>
      <c r="D127" s="261"/>
      <c r="E127" s="261"/>
      <c r="F127" s="261"/>
      <c r="G127" s="261"/>
      <c r="H127" s="261"/>
      <c r="I127" s="261"/>
      <c r="J127" s="261"/>
      <c r="K127" s="261"/>
      <c r="L127" s="261"/>
      <c r="M127" s="261"/>
      <c r="N127" s="330">
        <v>-204</v>
      </c>
      <c r="O127" s="330"/>
      <c r="P127" s="331"/>
      <c r="Q127" s="264"/>
      <c r="R127" s="5"/>
    </row>
    <row r="128" spans="1:18" ht="15.6" x14ac:dyDescent="0.3">
      <c r="A128" s="339"/>
      <c r="B128" s="261" t="s">
        <v>47</v>
      </c>
      <c r="C128" s="261"/>
      <c r="D128" s="261"/>
      <c r="E128" s="261"/>
      <c r="F128" s="261"/>
      <c r="G128" s="261"/>
      <c r="H128" s="261"/>
      <c r="I128" s="261"/>
      <c r="J128" s="261"/>
      <c r="K128" s="261"/>
      <c r="L128" s="261"/>
      <c r="M128" s="261"/>
      <c r="N128" s="330">
        <f>SUM(N121:N127)</f>
        <v>-2344</v>
      </c>
      <c r="O128" s="330"/>
      <c r="P128" s="330">
        <f>SUM(P103:P127)</f>
        <v>-3163</v>
      </c>
      <c r="Q128" s="264"/>
      <c r="R128" s="5"/>
    </row>
    <row r="129" spans="1:19" ht="15.6" x14ac:dyDescent="0.3">
      <c r="A129" s="339"/>
      <c r="B129" s="261" t="s">
        <v>48</v>
      </c>
      <c r="C129" s="261"/>
      <c r="D129" s="261"/>
      <c r="E129" s="261"/>
      <c r="F129" s="261"/>
      <c r="G129" s="261"/>
      <c r="H129" s="261"/>
      <c r="I129" s="261"/>
      <c r="J129" s="261"/>
      <c r="K129" s="261"/>
      <c r="L129" s="261"/>
      <c r="M129" s="261"/>
      <c r="N129" s="330">
        <f>N102+N128+N114</f>
        <v>0</v>
      </c>
      <c r="O129" s="330"/>
      <c r="P129" s="330">
        <f>P102+P128</f>
        <v>0</v>
      </c>
      <c r="Q129" s="264"/>
      <c r="R129" s="5"/>
    </row>
    <row r="130" spans="1:19" ht="15.6" x14ac:dyDescent="0.3">
      <c r="A130" s="301"/>
      <c r="B130" s="257"/>
      <c r="C130" s="257"/>
      <c r="D130" s="257"/>
      <c r="E130" s="257"/>
      <c r="F130" s="257"/>
      <c r="G130" s="257"/>
      <c r="H130" s="257"/>
      <c r="I130" s="257"/>
      <c r="J130" s="257"/>
      <c r="K130" s="257"/>
      <c r="L130" s="257"/>
      <c r="M130" s="257"/>
      <c r="N130" s="302"/>
      <c r="O130" s="302"/>
      <c r="P130" s="302"/>
      <c r="Q130" s="257"/>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8" thickBot="1" x14ac:dyDescent="0.35">
      <c r="A132" s="303"/>
      <c r="B132" s="239" t="str">
        <f>B65</f>
        <v>PM7 INVESTOR REPORT QUARTER ENDING JULY 2011</v>
      </c>
      <c r="C132" s="240"/>
      <c r="D132" s="240"/>
      <c r="E132" s="240"/>
      <c r="F132" s="240"/>
      <c r="G132" s="240"/>
      <c r="H132" s="240"/>
      <c r="I132" s="240"/>
      <c r="J132" s="240"/>
      <c r="K132" s="240"/>
      <c r="L132" s="240"/>
      <c r="M132" s="240"/>
      <c r="N132" s="240"/>
      <c r="O132" s="240"/>
      <c r="P132" s="304"/>
      <c r="Q132" s="242"/>
      <c r="R132" s="5"/>
    </row>
    <row r="133" spans="1:19" ht="15.6" x14ac:dyDescent="0.3">
      <c r="A133" s="323"/>
      <c r="B133" s="397" t="s">
        <v>49</v>
      </c>
      <c r="C133" s="326"/>
      <c r="D133" s="326"/>
      <c r="E133" s="326"/>
      <c r="F133" s="326"/>
      <c r="G133" s="326"/>
      <c r="H133" s="326"/>
      <c r="I133" s="326"/>
      <c r="J133" s="326"/>
      <c r="K133" s="326"/>
      <c r="L133" s="326"/>
      <c r="M133" s="326"/>
      <c r="N133" s="326"/>
      <c r="O133" s="326"/>
      <c r="P133" s="328"/>
      <c r="Q133" s="326"/>
      <c r="R133" s="5"/>
    </row>
    <row r="134" spans="1:19" ht="15.6" x14ac:dyDescent="0.3">
      <c r="A134" s="183"/>
      <c r="B134" s="196"/>
      <c r="C134" s="185"/>
      <c r="D134" s="185"/>
      <c r="E134" s="185"/>
      <c r="F134" s="185"/>
      <c r="G134" s="185"/>
      <c r="H134" s="185"/>
      <c r="I134" s="185"/>
      <c r="J134" s="185"/>
      <c r="K134" s="185"/>
      <c r="L134" s="185"/>
      <c r="M134" s="185"/>
      <c r="N134" s="185"/>
      <c r="O134" s="185"/>
      <c r="P134" s="201"/>
      <c r="Q134" s="185"/>
      <c r="R134" s="5"/>
    </row>
    <row r="135" spans="1:19" ht="15.6" x14ac:dyDescent="0.3">
      <c r="A135" s="183"/>
      <c r="B135" s="209" t="s">
        <v>50</v>
      </c>
      <c r="C135" s="185"/>
      <c r="D135" s="185"/>
      <c r="E135" s="185"/>
      <c r="F135" s="185"/>
      <c r="G135" s="185"/>
      <c r="H135" s="185"/>
      <c r="I135" s="185"/>
      <c r="J135" s="185"/>
      <c r="K135" s="185"/>
      <c r="L135" s="185"/>
      <c r="M135" s="185"/>
      <c r="N135" s="185"/>
      <c r="O135" s="185"/>
      <c r="P135" s="201"/>
      <c r="Q135" s="185"/>
      <c r="R135" s="5"/>
    </row>
    <row r="136" spans="1:19" ht="15.6" x14ac:dyDescent="0.3">
      <c r="A136" s="260"/>
      <c r="B136" s="261" t="s">
        <v>51</v>
      </c>
      <c r="C136" s="261"/>
      <c r="D136" s="261"/>
      <c r="E136" s="261"/>
      <c r="F136" s="261"/>
      <c r="G136" s="261"/>
      <c r="H136" s="261"/>
      <c r="I136" s="261"/>
      <c r="J136" s="261"/>
      <c r="K136" s="261"/>
      <c r="L136" s="261"/>
      <c r="M136" s="261"/>
      <c r="N136" s="261"/>
      <c r="O136" s="261"/>
      <c r="P136" s="331">
        <f>+P36*0.022</f>
        <v>19815.399999999998</v>
      </c>
      <c r="Q136" s="264"/>
      <c r="R136" s="5"/>
    </row>
    <row r="137" spans="1:19" ht="15.6" x14ac:dyDescent="0.3">
      <c r="A137" s="260"/>
      <c r="B137" s="261" t="s">
        <v>52</v>
      </c>
      <c r="C137" s="261"/>
      <c r="D137" s="261"/>
      <c r="E137" s="261"/>
      <c r="F137" s="261"/>
      <c r="G137" s="261"/>
      <c r="H137" s="261"/>
      <c r="I137" s="261"/>
      <c r="J137" s="261"/>
      <c r="K137" s="261"/>
      <c r="L137" s="261"/>
      <c r="M137" s="261"/>
      <c r="N137" s="261"/>
      <c r="O137" s="261"/>
      <c r="P137" s="331">
        <v>19815</v>
      </c>
      <c r="Q137" s="264"/>
      <c r="R137" s="5"/>
    </row>
    <row r="138" spans="1:19" ht="15.6" x14ac:dyDescent="0.3">
      <c r="A138" s="260"/>
      <c r="B138" s="261" t="s">
        <v>161</v>
      </c>
      <c r="C138" s="261"/>
      <c r="D138" s="261"/>
      <c r="E138" s="261"/>
      <c r="F138" s="261"/>
      <c r="G138" s="261"/>
      <c r="H138" s="261"/>
      <c r="I138" s="261"/>
      <c r="J138" s="261"/>
      <c r="K138" s="261"/>
      <c r="L138" s="261"/>
      <c r="M138" s="261"/>
      <c r="N138" s="261"/>
      <c r="O138" s="261"/>
      <c r="P138" s="331">
        <v>0</v>
      </c>
      <c r="Q138" s="264"/>
      <c r="R138" s="5"/>
    </row>
    <row r="139" spans="1:19" ht="15.6" x14ac:dyDescent="0.3">
      <c r="A139" s="260"/>
      <c r="B139" s="261" t="s">
        <v>144</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145</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53</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153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202</v>
      </c>
      <c r="C143" s="261"/>
      <c r="D143" s="261"/>
      <c r="E143" s="261"/>
      <c r="F143" s="261"/>
      <c r="G143" s="261"/>
      <c r="H143" s="261"/>
      <c r="I143" s="261"/>
      <c r="J143" s="261"/>
      <c r="K143" s="261"/>
      <c r="L143" s="261"/>
      <c r="M143" s="261"/>
      <c r="N143" s="261"/>
      <c r="O143" s="261"/>
      <c r="P143" s="331">
        <v>0</v>
      </c>
      <c r="Q143" s="264"/>
      <c r="R143" s="5"/>
      <c r="S143" s="109"/>
    </row>
    <row r="144" spans="1:19" ht="15.6" x14ac:dyDescent="0.3">
      <c r="A144" s="260"/>
      <c r="B144" s="261" t="s">
        <v>54</v>
      </c>
      <c r="C144" s="261"/>
      <c r="D144" s="261"/>
      <c r="E144" s="261"/>
      <c r="F144" s="261"/>
      <c r="G144" s="261"/>
      <c r="H144" s="261"/>
      <c r="I144" s="261"/>
      <c r="J144" s="261"/>
      <c r="K144" s="261"/>
      <c r="L144" s="261"/>
      <c r="M144" s="261"/>
      <c r="N144" s="261"/>
      <c r="O144" s="261"/>
      <c r="P144" s="331">
        <f>SUM(P137:P143)</f>
        <v>19815</v>
      </c>
      <c r="Q144" s="264"/>
      <c r="R144" s="5"/>
    </row>
    <row r="145" spans="1:18" ht="15.6" x14ac:dyDescent="0.3">
      <c r="A145" s="183"/>
      <c r="B145" s="190"/>
      <c r="C145" s="190"/>
      <c r="D145" s="190"/>
      <c r="E145" s="190"/>
      <c r="F145" s="190"/>
      <c r="G145" s="190"/>
      <c r="H145" s="190"/>
      <c r="I145" s="190"/>
      <c r="J145" s="190"/>
      <c r="K145" s="190"/>
      <c r="L145" s="190"/>
      <c r="M145" s="190"/>
      <c r="N145" s="190"/>
      <c r="O145" s="190"/>
      <c r="P145" s="341"/>
      <c r="Q145" s="190"/>
      <c r="R145" s="5"/>
    </row>
    <row r="146" spans="1:18" ht="15.6" x14ac:dyDescent="0.3">
      <c r="A146" s="183"/>
      <c r="B146" s="209" t="s">
        <v>28</v>
      </c>
      <c r="C146" s="185"/>
      <c r="D146" s="185"/>
      <c r="E146" s="185"/>
      <c r="F146" s="185"/>
      <c r="G146" s="185"/>
      <c r="H146" s="185"/>
      <c r="I146" s="185"/>
      <c r="J146" s="185"/>
      <c r="K146" s="185"/>
      <c r="L146" s="185"/>
      <c r="M146" s="185"/>
      <c r="N146" s="185"/>
      <c r="O146" s="185"/>
      <c r="P146" s="201"/>
      <c r="Q146" s="185"/>
      <c r="R146" s="5"/>
    </row>
    <row r="147" spans="1:18" ht="15.6" x14ac:dyDescent="0.3">
      <c r="A147" s="260"/>
      <c r="B147" s="261" t="s">
        <v>55</v>
      </c>
      <c r="C147" s="261"/>
      <c r="D147" s="261"/>
      <c r="E147" s="261"/>
      <c r="F147" s="261"/>
      <c r="G147" s="261"/>
      <c r="H147" s="261"/>
      <c r="I147" s="261"/>
      <c r="J147" s="261"/>
      <c r="K147" s="261"/>
      <c r="L147" s="261"/>
      <c r="M147" s="261"/>
      <c r="N147" s="261"/>
      <c r="O147" s="261"/>
      <c r="P147" s="342" t="s">
        <v>137</v>
      </c>
      <c r="Q147" s="338"/>
      <c r="R147" s="5"/>
    </row>
    <row r="148" spans="1:18" ht="15.6" x14ac:dyDescent="0.3">
      <c r="A148" s="260"/>
      <c r="B148" s="261" t="s">
        <v>56</v>
      </c>
      <c r="C148" s="263"/>
      <c r="D148" s="263"/>
      <c r="E148" s="263"/>
      <c r="F148" s="263"/>
      <c r="G148" s="263"/>
      <c r="H148" s="263"/>
      <c r="I148" s="263"/>
      <c r="J148" s="263"/>
      <c r="K148" s="263"/>
      <c r="L148" s="263"/>
      <c r="M148" s="263"/>
      <c r="N148" s="263"/>
      <c r="O148" s="263"/>
      <c r="P148" s="342" t="s">
        <v>137</v>
      </c>
      <c r="Q148" s="338"/>
      <c r="R148" s="5"/>
    </row>
    <row r="149" spans="1:18" ht="15.6" x14ac:dyDescent="0.3">
      <c r="A149" s="260"/>
      <c r="B149" s="261" t="s">
        <v>57</v>
      </c>
      <c r="C149" s="261"/>
      <c r="D149" s="261"/>
      <c r="E149" s="261"/>
      <c r="F149" s="261"/>
      <c r="G149" s="261"/>
      <c r="H149" s="261"/>
      <c r="I149" s="261"/>
      <c r="J149" s="261"/>
      <c r="K149" s="261"/>
      <c r="L149" s="261"/>
      <c r="M149" s="261"/>
      <c r="N149" s="261"/>
      <c r="O149" s="261"/>
      <c r="P149" s="342" t="s">
        <v>137</v>
      </c>
      <c r="Q149" s="338"/>
      <c r="R149" s="5"/>
    </row>
    <row r="150" spans="1:18" ht="15.6" x14ac:dyDescent="0.3">
      <c r="A150" s="260"/>
      <c r="B150" s="261" t="s">
        <v>58</v>
      </c>
      <c r="C150" s="261"/>
      <c r="D150" s="261"/>
      <c r="E150" s="261"/>
      <c r="F150" s="261"/>
      <c r="G150" s="261"/>
      <c r="H150" s="261"/>
      <c r="I150" s="261"/>
      <c r="J150" s="261"/>
      <c r="K150" s="261"/>
      <c r="L150" s="261"/>
      <c r="M150" s="261"/>
      <c r="N150" s="261"/>
      <c r="O150" s="261"/>
      <c r="P150" s="342" t="s">
        <v>137</v>
      </c>
      <c r="Q150" s="338"/>
      <c r="R150" s="5"/>
    </row>
    <row r="151" spans="1:18" ht="15.6" x14ac:dyDescent="0.3">
      <c r="A151" s="183"/>
      <c r="B151" s="190"/>
      <c r="C151" s="190"/>
      <c r="D151" s="190"/>
      <c r="E151" s="190"/>
      <c r="F151" s="190"/>
      <c r="G151" s="190"/>
      <c r="H151" s="190"/>
      <c r="I151" s="190"/>
      <c r="J151" s="190"/>
      <c r="K151" s="190"/>
      <c r="L151" s="190"/>
      <c r="M151" s="190"/>
      <c r="N151" s="190"/>
      <c r="O151" s="190"/>
      <c r="P151" s="341"/>
      <c r="Q151" s="190"/>
      <c r="R151" s="5"/>
    </row>
    <row r="152" spans="1:18" ht="15.6" x14ac:dyDescent="0.3">
      <c r="A152" s="183"/>
      <c r="B152" s="209" t="s">
        <v>59</v>
      </c>
      <c r="C152" s="185"/>
      <c r="D152" s="185"/>
      <c r="E152" s="185"/>
      <c r="F152" s="185"/>
      <c r="G152" s="185"/>
      <c r="H152" s="185"/>
      <c r="I152" s="185"/>
      <c r="J152" s="185"/>
      <c r="K152" s="185"/>
      <c r="L152" s="185"/>
      <c r="M152" s="185"/>
      <c r="N152" s="185"/>
      <c r="O152" s="185"/>
      <c r="P152" s="210"/>
      <c r="Q152" s="185"/>
      <c r="R152" s="5"/>
    </row>
    <row r="153" spans="1:18" ht="15.6" x14ac:dyDescent="0.3">
      <c r="A153" s="260"/>
      <c r="B153" s="261" t="s">
        <v>60</v>
      </c>
      <c r="C153" s="261"/>
      <c r="D153" s="261"/>
      <c r="E153" s="261"/>
      <c r="F153" s="261"/>
      <c r="G153" s="261"/>
      <c r="H153" s="261"/>
      <c r="I153" s="261"/>
      <c r="J153" s="261"/>
      <c r="K153" s="261"/>
      <c r="L153" s="261"/>
      <c r="M153" s="261"/>
      <c r="N153" s="261"/>
      <c r="O153" s="261"/>
      <c r="P153" s="331">
        <v>0</v>
      </c>
      <c r="Q153" s="264"/>
      <c r="R153" s="5"/>
    </row>
    <row r="154" spans="1:18" ht="15.6" x14ac:dyDescent="0.3">
      <c r="A154" s="260"/>
      <c r="B154" s="261" t="s">
        <v>61</v>
      </c>
      <c r="C154" s="261"/>
      <c r="D154" s="261"/>
      <c r="E154" s="261"/>
      <c r="F154" s="261"/>
      <c r="G154" s="261"/>
      <c r="H154" s="261"/>
      <c r="I154" s="261"/>
      <c r="J154" s="261"/>
      <c r="K154" s="261"/>
      <c r="L154" s="261"/>
      <c r="M154" s="261"/>
      <c r="N154" s="261"/>
      <c r="O154" s="261"/>
      <c r="P154" s="331">
        <f>-P114</f>
        <v>243</v>
      </c>
      <c r="Q154" s="264"/>
      <c r="R154" s="5"/>
    </row>
    <row r="155" spans="1:18" ht="15.6" x14ac:dyDescent="0.3">
      <c r="A155" s="260"/>
      <c r="B155" s="261" t="s">
        <v>62</v>
      </c>
      <c r="C155" s="261"/>
      <c r="D155" s="261"/>
      <c r="E155" s="261"/>
      <c r="F155" s="261"/>
      <c r="G155" s="261"/>
      <c r="H155" s="261"/>
      <c r="I155" s="261"/>
      <c r="J155" s="261"/>
      <c r="K155" s="261"/>
      <c r="L155" s="261"/>
      <c r="M155" s="261"/>
      <c r="N155" s="261"/>
      <c r="O155" s="261"/>
      <c r="P155" s="331">
        <f>P154+P153</f>
        <v>243</v>
      </c>
      <c r="Q155" s="264"/>
      <c r="R155" s="5"/>
    </row>
    <row r="156" spans="1:18" ht="15.6" x14ac:dyDescent="0.3">
      <c r="A156" s="260"/>
      <c r="B156" s="402" t="s">
        <v>297</v>
      </c>
      <c r="C156" s="261"/>
      <c r="D156" s="261"/>
      <c r="E156" s="261"/>
      <c r="F156" s="261"/>
      <c r="G156" s="261"/>
      <c r="H156" s="261"/>
      <c r="I156" s="261"/>
      <c r="J156" s="261"/>
      <c r="K156" s="261"/>
      <c r="L156" s="261"/>
      <c r="M156" s="261"/>
      <c r="N156" s="261"/>
      <c r="O156" s="261"/>
      <c r="P156" s="331">
        <f>P114</f>
        <v>-243</v>
      </c>
      <c r="Q156" s="264"/>
      <c r="R156" s="5"/>
    </row>
    <row r="157" spans="1:18" ht="15.6" x14ac:dyDescent="0.3">
      <c r="A157" s="260"/>
      <c r="B157" s="261" t="s">
        <v>63</v>
      </c>
      <c r="C157" s="261"/>
      <c r="D157" s="261"/>
      <c r="E157" s="261"/>
      <c r="F157" s="261"/>
      <c r="G157" s="261"/>
      <c r="H157" s="261"/>
      <c r="I157" s="261"/>
      <c r="J157" s="261"/>
      <c r="K157" s="261"/>
      <c r="L157" s="261"/>
      <c r="M157" s="261"/>
      <c r="N157" s="261"/>
      <c r="O157" s="261"/>
      <c r="P157" s="331">
        <f>P155+P156</f>
        <v>0</v>
      </c>
      <c r="Q157" s="264"/>
      <c r="R157" s="5"/>
    </row>
    <row r="158" spans="1:18" ht="15.6" x14ac:dyDescent="0.3">
      <c r="A158" s="260"/>
      <c r="B158" s="261" t="s">
        <v>268</v>
      </c>
      <c r="C158" s="261"/>
      <c r="D158" s="261"/>
      <c r="E158" s="261"/>
      <c r="F158" s="261"/>
      <c r="G158" s="261"/>
      <c r="H158" s="261"/>
      <c r="I158" s="261"/>
      <c r="J158" s="261"/>
      <c r="K158" s="261"/>
      <c r="L158" s="261"/>
      <c r="M158" s="261"/>
      <c r="N158" s="261"/>
      <c r="O158" s="261"/>
      <c r="P158" s="331">
        <v>0</v>
      </c>
      <c r="Q158" s="264"/>
      <c r="R158" s="5"/>
    </row>
    <row r="159" spans="1:18" ht="16.2" thickBot="1" x14ac:dyDescent="0.35">
      <c r="A159" s="183"/>
      <c r="B159" s="190"/>
      <c r="C159" s="190"/>
      <c r="D159" s="190"/>
      <c r="E159" s="190"/>
      <c r="F159" s="190"/>
      <c r="G159" s="190"/>
      <c r="H159" s="190"/>
      <c r="I159" s="190"/>
      <c r="J159" s="190"/>
      <c r="K159" s="190"/>
      <c r="L159" s="190"/>
      <c r="M159" s="190"/>
      <c r="N159" s="190"/>
      <c r="O159" s="190"/>
      <c r="P159" s="341"/>
      <c r="Q159" s="190"/>
      <c r="R159" s="5"/>
    </row>
    <row r="160" spans="1:18" ht="15.6" x14ac:dyDescent="0.3">
      <c r="A160" s="180"/>
      <c r="B160" s="181"/>
      <c r="C160" s="181"/>
      <c r="D160" s="181"/>
      <c r="E160" s="181"/>
      <c r="F160" s="181"/>
      <c r="G160" s="181"/>
      <c r="H160" s="181"/>
      <c r="I160" s="181"/>
      <c r="J160" s="181"/>
      <c r="K160" s="181"/>
      <c r="L160" s="181"/>
      <c r="M160" s="181"/>
      <c r="N160" s="181"/>
      <c r="O160" s="181"/>
      <c r="P160" s="200"/>
      <c r="Q160" s="181"/>
      <c r="R160" s="5"/>
    </row>
    <row r="161" spans="1:19" ht="15.6" x14ac:dyDescent="0.3">
      <c r="A161" s="183"/>
      <c r="B161" s="209" t="s">
        <v>64</v>
      </c>
      <c r="C161" s="185"/>
      <c r="D161" s="185"/>
      <c r="E161" s="185"/>
      <c r="F161" s="185"/>
      <c r="G161" s="185"/>
      <c r="H161" s="185"/>
      <c r="I161" s="185"/>
      <c r="J161" s="185"/>
      <c r="K161" s="185"/>
      <c r="L161" s="185"/>
      <c r="M161" s="185"/>
      <c r="N161" s="185"/>
      <c r="O161" s="185"/>
      <c r="P161" s="201"/>
      <c r="Q161" s="185"/>
      <c r="R161" s="5"/>
    </row>
    <row r="162" spans="1:19" ht="15.6" x14ac:dyDescent="0.3">
      <c r="A162" s="183"/>
      <c r="B162" s="196"/>
      <c r="C162" s="185"/>
      <c r="D162" s="185"/>
      <c r="E162" s="185"/>
      <c r="F162" s="185"/>
      <c r="G162" s="185"/>
      <c r="H162" s="185"/>
      <c r="I162" s="185"/>
      <c r="J162" s="185"/>
      <c r="K162" s="185"/>
      <c r="L162" s="185"/>
      <c r="M162" s="185"/>
      <c r="N162" s="185"/>
      <c r="O162" s="185"/>
      <c r="P162" s="201"/>
      <c r="Q162" s="185"/>
      <c r="R162" s="5"/>
    </row>
    <row r="163" spans="1:19" ht="15.6" x14ac:dyDescent="0.3">
      <c r="A163" s="260"/>
      <c r="B163" s="261" t="s">
        <v>221</v>
      </c>
      <c r="C163" s="261"/>
      <c r="D163" s="261"/>
      <c r="E163" s="261"/>
      <c r="F163" s="261"/>
      <c r="G163" s="261"/>
      <c r="H163" s="261"/>
      <c r="I163" s="261"/>
      <c r="J163" s="261"/>
      <c r="K163" s="261"/>
      <c r="L163" s="261"/>
      <c r="M163" s="261"/>
      <c r="N163" s="261"/>
      <c r="O163" s="261"/>
      <c r="P163" s="331">
        <f>P72</f>
        <v>396916</v>
      </c>
      <c r="Q163" s="264"/>
      <c r="R163" s="5"/>
    </row>
    <row r="164" spans="1:19" ht="15.6" x14ac:dyDescent="0.3">
      <c r="A164" s="260"/>
      <c r="B164" s="261" t="s">
        <v>273</v>
      </c>
      <c r="C164" s="261"/>
      <c r="D164" s="261"/>
      <c r="E164" s="261"/>
      <c r="F164" s="261"/>
      <c r="G164" s="261"/>
      <c r="H164" s="261"/>
      <c r="I164" s="261"/>
      <c r="J164" s="261"/>
      <c r="K164" s="261"/>
      <c r="L164" s="261"/>
      <c r="M164" s="261"/>
      <c r="N164" s="261"/>
      <c r="O164" s="261"/>
      <c r="P164" s="331">
        <f>+P85</f>
        <v>0</v>
      </c>
      <c r="Q164" s="264"/>
      <c r="R164" s="5"/>
    </row>
    <row r="165" spans="1:19" ht="15.6" x14ac:dyDescent="0.3">
      <c r="A165" s="260"/>
      <c r="B165" s="261" t="s">
        <v>65</v>
      </c>
      <c r="C165" s="261"/>
      <c r="D165" s="261"/>
      <c r="E165" s="261"/>
      <c r="F165" s="261"/>
      <c r="G165" s="261"/>
      <c r="H165" s="261"/>
      <c r="I165" s="261"/>
      <c r="J165" s="261"/>
      <c r="K165" s="261"/>
      <c r="L165" s="261"/>
      <c r="M165" s="261"/>
      <c r="N165" s="261"/>
      <c r="O165" s="261"/>
      <c r="P165" s="331">
        <f>P38</f>
        <v>396915.89759204758</v>
      </c>
      <c r="Q165" s="264"/>
      <c r="R165" s="5"/>
      <c r="S165" s="109"/>
    </row>
    <row r="166" spans="1:19" ht="16.2" thickBot="1" x14ac:dyDescent="0.35">
      <c r="A166" s="183"/>
      <c r="B166" s="190"/>
      <c r="C166" s="190"/>
      <c r="D166" s="190"/>
      <c r="E166" s="190"/>
      <c r="F166" s="190"/>
      <c r="G166" s="190"/>
      <c r="H166" s="190"/>
      <c r="I166" s="190"/>
      <c r="J166" s="190"/>
      <c r="K166" s="190"/>
      <c r="L166" s="190"/>
      <c r="M166" s="190"/>
      <c r="N166" s="190"/>
      <c r="O166" s="190"/>
      <c r="P166" s="341"/>
      <c r="Q166" s="190"/>
      <c r="R166" s="5"/>
    </row>
    <row r="167" spans="1:19" ht="15.6" x14ac:dyDescent="0.3">
      <c r="A167" s="180"/>
      <c r="B167" s="181"/>
      <c r="C167" s="181"/>
      <c r="D167" s="181"/>
      <c r="E167" s="181"/>
      <c r="F167" s="181"/>
      <c r="G167" s="181"/>
      <c r="H167" s="181"/>
      <c r="I167" s="181"/>
      <c r="J167" s="181"/>
      <c r="K167" s="181"/>
      <c r="L167" s="181"/>
      <c r="M167" s="181"/>
      <c r="N167" s="181"/>
      <c r="O167" s="181"/>
      <c r="P167" s="200"/>
      <c r="Q167" s="181"/>
      <c r="R167" s="5"/>
    </row>
    <row r="168" spans="1:19" ht="15.6" x14ac:dyDescent="0.3">
      <c r="A168" s="183"/>
      <c r="B168" s="209" t="s">
        <v>66</v>
      </c>
      <c r="C168" s="205"/>
      <c r="D168" s="205"/>
      <c r="E168" s="205"/>
      <c r="F168" s="211"/>
      <c r="G168" s="211"/>
      <c r="H168" s="211"/>
      <c r="I168" s="211"/>
      <c r="J168" s="211"/>
      <c r="K168" s="211"/>
      <c r="L168" s="211"/>
      <c r="M168" s="211" t="s">
        <v>112</v>
      </c>
      <c r="N168" s="211" t="s">
        <v>120</v>
      </c>
      <c r="O168" s="187"/>
      <c r="P168" s="212" t="s">
        <v>129</v>
      </c>
      <c r="Q168" s="213"/>
      <c r="R168" s="5"/>
    </row>
    <row r="169" spans="1:19" ht="15.6" x14ac:dyDescent="0.3">
      <c r="A169" s="260"/>
      <c r="B169" s="261" t="s">
        <v>67</v>
      </c>
      <c r="C169" s="261"/>
      <c r="D169" s="261"/>
      <c r="E169" s="261"/>
      <c r="F169" s="261"/>
      <c r="G169" s="261"/>
      <c r="H169" s="261"/>
      <c r="I169" s="261"/>
      <c r="J169" s="261"/>
      <c r="K169" s="261"/>
      <c r="L169" s="261"/>
      <c r="M169" s="331">
        <v>144000</v>
      </c>
      <c r="N169" s="292">
        <v>0</v>
      </c>
      <c r="O169" s="261"/>
      <c r="P169" s="331"/>
      <c r="Q169" s="264"/>
      <c r="R169" s="5"/>
    </row>
    <row r="170" spans="1:19" ht="15.6" x14ac:dyDescent="0.3">
      <c r="A170" s="260"/>
      <c r="B170" s="261" t="s">
        <v>68</v>
      </c>
      <c r="C170" s="261"/>
      <c r="D170" s="261"/>
      <c r="E170" s="261"/>
      <c r="F170" s="261"/>
      <c r="G170" s="261"/>
      <c r="H170" s="261"/>
      <c r="I170" s="261"/>
      <c r="J170" s="261"/>
      <c r="K170" s="261"/>
      <c r="L170" s="261"/>
      <c r="M170" s="331">
        <f>+'April 11'!M172</f>
        <v>87312</v>
      </c>
      <c r="N170" s="331">
        <f>+'April 11'!N172</f>
        <v>10210</v>
      </c>
      <c r="O170" s="261"/>
      <c r="P170" s="331">
        <f>M170+N170</f>
        <v>97522</v>
      </c>
      <c r="Q170" s="264"/>
      <c r="R170" s="5"/>
    </row>
    <row r="171" spans="1:19" ht="15.6" x14ac:dyDescent="0.3">
      <c r="A171" s="260"/>
      <c r="B171" s="261" t="s">
        <v>69</v>
      </c>
      <c r="C171" s="261"/>
      <c r="D171" s="261"/>
      <c r="E171" s="261"/>
      <c r="F171" s="261"/>
      <c r="G171" s="261"/>
      <c r="H171" s="261"/>
      <c r="I171" s="261"/>
      <c r="J171" s="261"/>
      <c r="K171" s="261"/>
      <c r="L171" s="261"/>
      <c r="M171" s="330">
        <v>246</v>
      </c>
      <c r="N171" s="330">
        <f>-N99-N121</f>
        <v>1</v>
      </c>
      <c r="O171" s="261"/>
      <c r="P171" s="331">
        <f>M171+N171</f>
        <v>247</v>
      </c>
      <c r="Q171" s="264"/>
      <c r="R171" s="5"/>
    </row>
    <row r="172" spans="1:19" ht="15.6" x14ac:dyDescent="0.3">
      <c r="A172" s="260"/>
      <c r="B172" s="261" t="s">
        <v>70</v>
      </c>
      <c r="C172" s="261"/>
      <c r="D172" s="261"/>
      <c r="E172" s="261"/>
      <c r="F172" s="261"/>
      <c r="G172" s="261"/>
      <c r="H172" s="261"/>
      <c r="I172" s="261"/>
      <c r="J172" s="261"/>
      <c r="K172" s="261"/>
      <c r="L172" s="261"/>
      <c r="M172" s="331">
        <f>M170+M171</f>
        <v>87558</v>
      </c>
      <c r="N172" s="331">
        <f>N171+N170</f>
        <v>10211</v>
      </c>
      <c r="O172" s="261"/>
      <c r="P172" s="331">
        <f>M172+N172</f>
        <v>97769</v>
      </c>
      <c r="Q172" s="264"/>
      <c r="R172" s="5"/>
    </row>
    <row r="173" spans="1:19" ht="15.6" x14ac:dyDescent="0.3">
      <c r="A173" s="260"/>
      <c r="B173" s="261" t="s">
        <v>71</v>
      </c>
      <c r="C173" s="261"/>
      <c r="D173" s="261"/>
      <c r="E173" s="261"/>
      <c r="F173" s="261"/>
      <c r="G173" s="261"/>
      <c r="H173" s="261"/>
      <c r="I173" s="261"/>
      <c r="J173" s="261"/>
      <c r="K173" s="261"/>
      <c r="L173" s="261"/>
      <c r="M173" s="331">
        <f>M169-M172-N172</f>
        <v>46231</v>
      </c>
      <c r="N173" s="292"/>
      <c r="O173" s="261"/>
      <c r="P173" s="331"/>
      <c r="Q173" s="264"/>
      <c r="R173" s="5"/>
    </row>
    <row r="174" spans="1:19" ht="16.2" thickBot="1" x14ac:dyDescent="0.35">
      <c r="A174" s="183"/>
      <c r="B174" s="190"/>
      <c r="C174" s="190"/>
      <c r="D174" s="190"/>
      <c r="E174" s="190"/>
      <c r="F174" s="190"/>
      <c r="G174" s="190"/>
      <c r="H174" s="190"/>
      <c r="I174" s="190"/>
      <c r="J174" s="190"/>
      <c r="K174" s="190"/>
      <c r="L174" s="190"/>
      <c r="M174" s="190"/>
      <c r="N174" s="190"/>
      <c r="O174" s="190"/>
      <c r="P174" s="341"/>
      <c r="Q174" s="190"/>
      <c r="R174" s="5"/>
    </row>
    <row r="175" spans="1:19" ht="15.6" x14ac:dyDescent="0.3">
      <c r="A175" s="180"/>
      <c r="B175" s="181"/>
      <c r="C175" s="181"/>
      <c r="D175" s="181"/>
      <c r="E175" s="181"/>
      <c r="F175" s="181"/>
      <c r="G175" s="181"/>
      <c r="H175" s="181"/>
      <c r="I175" s="181"/>
      <c r="J175" s="181"/>
      <c r="K175" s="181"/>
      <c r="L175" s="181"/>
      <c r="M175" s="181"/>
      <c r="N175" s="181"/>
      <c r="O175" s="181"/>
      <c r="P175" s="200"/>
      <c r="Q175" s="181"/>
      <c r="R175" s="5"/>
    </row>
    <row r="176" spans="1:19" ht="15.6" x14ac:dyDescent="0.3">
      <c r="A176" s="183"/>
      <c r="B176" s="209" t="s">
        <v>72</v>
      </c>
      <c r="C176" s="185"/>
      <c r="D176" s="185"/>
      <c r="E176" s="185"/>
      <c r="F176" s="185"/>
      <c r="G176" s="185"/>
      <c r="H176" s="185"/>
      <c r="I176" s="185"/>
      <c r="J176" s="185"/>
      <c r="K176" s="185"/>
      <c r="L176" s="185"/>
      <c r="M176" s="185"/>
      <c r="N176" s="185"/>
      <c r="O176" s="185"/>
      <c r="P176" s="214"/>
      <c r="Q176" s="185"/>
      <c r="R176" s="5"/>
    </row>
    <row r="177" spans="1:18" ht="15.6" x14ac:dyDescent="0.3">
      <c r="A177" s="260"/>
      <c r="B177" s="261" t="s">
        <v>73</v>
      </c>
      <c r="C177" s="261"/>
      <c r="D177" s="261"/>
      <c r="E177" s="261"/>
      <c r="F177" s="261"/>
      <c r="G177" s="261"/>
      <c r="H177" s="261"/>
      <c r="I177" s="261"/>
      <c r="J177" s="261"/>
      <c r="K177" s="261"/>
      <c r="L177" s="261"/>
      <c r="M177" s="261"/>
      <c r="N177" s="261"/>
      <c r="O177" s="261"/>
      <c r="P177" s="343">
        <f>(P102+P104+P105+P106+P107)/-(P108+P109+P110)</f>
        <v>2.6629935720844813</v>
      </c>
      <c r="Q177" s="264" t="s">
        <v>130</v>
      </c>
      <c r="R177" s="5"/>
    </row>
    <row r="178" spans="1:18" ht="15.6" x14ac:dyDescent="0.3">
      <c r="A178" s="260"/>
      <c r="B178" s="261" t="s">
        <v>74</v>
      </c>
      <c r="C178" s="261"/>
      <c r="D178" s="261"/>
      <c r="E178" s="261"/>
      <c r="F178" s="261"/>
      <c r="G178" s="261"/>
      <c r="H178" s="261"/>
      <c r="I178" s="261"/>
      <c r="J178" s="261"/>
      <c r="K178" s="261"/>
      <c r="L178" s="261"/>
      <c r="M178" s="261"/>
      <c r="N178" s="261"/>
      <c r="O178" s="261"/>
      <c r="P178" s="343">
        <v>1.48</v>
      </c>
      <c r="Q178" s="264" t="s">
        <v>130</v>
      </c>
      <c r="R178" s="5"/>
    </row>
    <row r="179" spans="1:18" ht="15.6" x14ac:dyDescent="0.3">
      <c r="A179" s="260"/>
      <c r="B179" s="261" t="s">
        <v>75</v>
      </c>
      <c r="C179" s="261"/>
      <c r="D179" s="261"/>
      <c r="E179" s="261"/>
      <c r="F179" s="261"/>
      <c r="G179" s="261"/>
      <c r="H179" s="261"/>
      <c r="I179" s="261"/>
      <c r="J179" s="261"/>
      <c r="K179" s="261"/>
      <c r="L179" s="261"/>
      <c r="M179" s="261"/>
      <c r="N179" s="261"/>
      <c r="O179" s="261"/>
      <c r="P179" s="342">
        <f>(P102+P104+P105+P106+P107+P108+P109+P110)/-(P111+P112)</f>
        <v>3.4169811320754717</v>
      </c>
      <c r="Q179" s="264" t="s">
        <v>130</v>
      </c>
      <c r="R179" s="5"/>
    </row>
    <row r="180" spans="1:18" ht="15.6" x14ac:dyDescent="0.3">
      <c r="A180" s="260"/>
      <c r="B180" s="261" t="s">
        <v>76</v>
      </c>
      <c r="C180" s="261"/>
      <c r="D180" s="261"/>
      <c r="E180" s="261"/>
      <c r="F180" s="261"/>
      <c r="G180" s="261"/>
      <c r="H180" s="261"/>
      <c r="I180" s="261"/>
      <c r="J180" s="261"/>
      <c r="K180" s="261"/>
      <c r="L180" s="261"/>
      <c r="M180" s="261"/>
      <c r="N180" s="261"/>
      <c r="O180" s="261"/>
      <c r="P180" s="343">
        <v>2.4500000000000002</v>
      </c>
      <c r="Q180" s="264" t="s">
        <v>130</v>
      </c>
      <c r="R180" s="5"/>
    </row>
    <row r="181" spans="1:18" ht="15.6" x14ac:dyDescent="0.3">
      <c r="A181" s="260"/>
      <c r="B181" s="335"/>
      <c r="C181" s="335"/>
      <c r="D181" s="335"/>
      <c r="E181" s="335"/>
      <c r="F181" s="335"/>
      <c r="G181" s="335"/>
      <c r="H181" s="335"/>
      <c r="I181" s="335"/>
      <c r="J181" s="335"/>
      <c r="K181" s="335"/>
      <c r="L181" s="335"/>
      <c r="M181" s="335"/>
      <c r="N181" s="335"/>
      <c r="O181" s="335"/>
      <c r="P181" s="335"/>
      <c r="Q181" s="338"/>
      <c r="R181" s="5"/>
    </row>
    <row r="182" spans="1:18" ht="15.6" x14ac:dyDescent="0.3">
      <c r="A182" s="183"/>
      <c r="B182" s="190"/>
      <c r="C182" s="190"/>
      <c r="D182" s="190"/>
      <c r="E182" s="190"/>
      <c r="F182" s="190"/>
      <c r="G182" s="190"/>
      <c r="H182" s="190"/>
      <c r="I182" s="190"/>
      <c r="J182" s="190"/>
      <c r="K182" s="190"/>
      <c r="L182" s="190"/>
      <c r="M182" s="190"/>
      <c r="N182" s="190"/>
      <c r="O182" s="190"/>
      <c r="P182" s="190"/>
      <c r="Q182" s="190"/>
      <c r="R182" s="5"/>
    </row>
    <row r="183" spans="1:18" ht="15.6" x14ac:dyDescent="0.3">
      <c r="A183" s="183"/>
      <c r="B183" s="185"/>
      <c r="C183" s="185"/>
      <c r="D183" s="185"/>
      <c r="E183" s="185"/>
      <c r="F183" s="185"/>
      <c r="G183" s="185"/>
      <c r="H183" s="185"/>
      <c r="I183" s="185"/>
      <c r="J183" s="185"/>
      <c r="K183" s="185"/>
      <c r="L183" s="185"/>
      <c r="M183" s="185"/>
      <c r="N183" s="185"/>
      <c r="O183" s="185"/>
      <c r="P183" s="185"/>
      <c r="Q183" s="185"/>
      <c r="R183" s="5"/>
    </row>
    <row r="184" spans="1:18" ht="18" thickBot="1" x14ac:dyDescent="0.35">
      <c r="A184" s="199"/>
      <c r="B184" s="239" t="str">
        <f>B132</f>
        <v>PM7 INVESTOR REPORT QUARTER ENDING JULY 2011</v>
      </c>
      <c r="C184" s="215"/>
      <c r="D184" s="215"/>
      <c r="E184" s="215"/>
      <c r="F184" s="215"/>
      <c r="G184" s="215"/>
      <c r="H184" s="215"/>
      <c r="I184" s="215"/>
      <c r="J184" s="215"/>
      <c r="K184" s="215"/>
      <c r="L184" s="215"/>
      <c r="M184" s="215"/>
      <c r="N184" s="215"/>
      <c r="O184" s="215"/>
      <c r="P184" s="215"/>
      <c r="Q184" s="216"/>
      <c r="R184" s="5"/>
    </row>
    <row r="185" spans="1:18" ht="15.6" x14ac:dyDescent="0.3">
      <c r="A185" s="323"/>
      <c r="B185" s="397" t="s">
        <v>77</v>
      </c>
      <c r="C185" s="398"/>
      <c r="D185" s="398"/>
      <c r="E185" s="399"/>
      <c r="F185" s="399"/>
      <c r="G185" s="399"/>
      <c r="H185" s="399"/>
      <c r="I185" s="399"/>
      <c r="J185" s="399"/>
      <c r="K185" s="399"/>
      <c r="L185" s="399"/>
      <c r="M185" s="399"/>
      <c r="N185" s="399">
        <v>40753</v>
      </c>
      <c r="O185" s="326"/>
      <c r="P185" s="326"/>
      <c r="Q185" s="326"/>
      <c r="R185" s="5"/>
    </row>
    <row r="186" spans="1:18" ht="15.6" x14ac:dyDescent="0.3">
      <c r="A186" s="217"/>
      <c r="B186" s="218"/>
      <c r="C186" s="219"/>
      <c r="D186" s="219"/>
      <c r="E186" s="220"/>
      <c r="F186" s="220"/>
      <c r="G186" s="220"/>
      <c r="H186" s="220"/>
      <c r="I186" s="220"/>
      <c r="J186" s="220"/>
      <c r="K186" s="220"/>
      <c r="L186" s="220"/>
      <c r="M186" s="220"/>
      <c r="N186" s="220"/>
      <c r="O186" s="185"/>
      <c r="P186" s="185"/>
      <c r="Q186" s="185"/>
      <c r="R186" s="5"/>
    </row>
    <row r="187" spans="1:18" ht="15.6" x14ac:dyDescent="0.3">
      <c r="A187" s="345"/>
      <c r="B187" s="261" t="s">
        <v>78</v>
      </c>
      <c r="C187" s="346"/>
      <c r="D187" s="346"/>
      <c r="E187" s="295"/>
      <c r="F187" s="295"/>
      <c r="G187" s="295"/>
      <c r="H187" s="295"/>
      <c r="I187" s="295"/>
      <c r="J187" s="295"/>
      <c r="K187" s="295"/>
      <c r="L187" s="295"/>
      <c r="M187" s="295"/>
      <c r="N187" s="290">
        <v>5.8069999999999997E-2</v>
      </c>
      <c r="O187" s="261"/>
      <c r="P187" s="261"/>
      <c r="Q187" s="264"/>
      <c r="R187" s="5"/>
    </row>
    <row r="188" spans="1:18" ht="15.6" x14ac:dyDescent="0.3">
      <c r="A188" s="345"/>
      <c r="B188" s="261" t="s">
        <v>219</v>
      </c>
      <c r="C188" s="346"/>
      <c r="D188" s="346"/>
      <c r="E188" s="295"/>
      <c r="F188" s="295"/>
      <c r="G188" s="295"/>
      <c r="H188" s="295"/>
      <c r="I188" s="295"/>
      <c r="J188" s="295"/>
      <c r="K188" s="295"/>
      <c r="L188" s="295"/>
      <c r="M188" s="295"/>
      <c r="N188" s="290">
        <v>5.1499999999999997E-2</v>
      </c>
      <c r="O188" s="261"/>
      <c r="P188" s="261"/>
      <c r="Q188" s="264"/>
      <c r="R188" s="5"/>
    </row>
    <row r="189" spans="1:18" ht="15.6" x14ac:dyDescent="0.3">
      <c r="A189" s="345"/>
      <c r="B189" s="261" t="s">
        <v>79</v>
      </c>
      <c r="C189" s="346"/>
      <c r="D189" s="346"/>
      <c r="E189" s="295"/>
      <c r="F189" s="295"/>
      <c r="G189" s="295"/>
      <c r="H189" s="295"/>
      <c r="I189" s="295"/>
      <c r="J189" s="295"/>
      <c r="K189" s="295"/>
      <c r="L189" s="295"/>
      <c r="M189" s="295"/>
      <c r="N189" s="290">
        <f>N187-N188</f>
        <v>6.5699999999999995E-3</v>
      </c>
      <c r="O189" s="261"/>
      <c r="P189" s="261"/>
      <c r="Q189" s="264"/>
      <c r="R189" s="5"/>
    </row>
    <row r="190" spans="1:18" ht="15.6" x14ac:dyDescent="0.3">
      <c r="A190" s="345"/>
      <c r="B190" s="261" t="s">
        <v>80</v>
      </c>
      <c r="C190" s="346"/>
      <c r="D190" s="346"/>
      <c r="E190" s="295"/>
      <c r="F190" s="295"/>
      <c r="G190" s="295"/>
      <c r="H190" s="295"/>
      <c r="I190" s="295"/>
      <c r="J190" s="295"/>
      <c r="K190" s="295"/>
      <c r="L190" s="295"/>
      <c r="M190" s="295"/>
      <c r="N190" s="290">
        <v>2.631E-2</v>
      </c>
      <c r="O190" s="261"/>
      <c r="P190" s="261"/>
      <c r="Q190" s="264"/>
      <c r="R190" s="5"/>
    </row>
    <row r="191" spans="1:18" ht="15.6" x14ac:dyDescent="0.3">
      <c r="A191" s="345"/>
      <c r="B191" s="261" t="s">
        <v>241</v>
      </c>
      <c r="C191" s="346"/>
      <c r="D191" s="346"/>
      <c r="E191" s="295"/>
      <c r="F191" s="295"/>
      <c r="G191" s="295"/>
      <c r="H191" s="295"/>
      <c r="I191" s="295"/>
      <c r="J191" s="295"/>
      <c r="K191" s="295"/>
      <c r="L191" s="295"/>
      <c r="M191" s="295"/>
      <c r="N191" s="290">
        <f>+P45</f>
        <v>1.6275634002534262E-2</v>
      </c>
      <c r="O191" s="261"/>
      <c r="P191" s="261"/>
      <c r="Q191" s="264"/>
      <c r="R191" s="5"/>
    </row>
    <row r="192" spans="1:18" ht="15.6" x14ac:dyDescent="0.3">
      <c r="A192" s="345"/>
      <c r="B192" s="261" t="s">
        <v>81</v>
      </c>
      <c r="C192" s="346"/>
      <c r="D192" s="346"/>
      <c r="E192" s="295"/>
      <c r="F192" s="295"/>
      <c r="G192" s="295"/>
      <c r="H192" s="295"/>
      <c r="I192" s="295"/>
      <c r="J192" s="295"/>
      <c r="K192" s="295"/>
      <c r="L192" s="295"/>
      <c r="M192" s="295"/>
      <c r="N192" s="290">
        <f>N190-N191</f>
        <v>1.0034365997465738E-2</v>
      </c>
      <c r="O192" s="261"/>
      <c r="P192" s="261"/>
      <c r="Q192" s="264"/>
      <c r="R192" s="5"/>
    </row>
    <row r="193" spans="1:18" ht="15.6" x14ac:dyDescent="0.3">
      <c r="A193" s="345"/>
      <c r="B193" s="261" t="s">
        <v>257</v>
      </c>
      <c r="C193" s="346"/>
      <c r="D193" s="346"/>
      <c r="E193" s="295"/>
      <c r="F193" s="295"/>
      <c r="G193" s="295"/>
      <c r="H193" s="295"/>
      <c r="I193" s="295"/>
      <c r="J193" s="295"/>
      <c r="K193" s="295"/>
      <c r="L193" s="295"/>
      <c r="M193" s="295"/>
      <c r="N193" s="290">
        <f>+P102/H72</f>
        <v>7.9270401539795598E-3</v>
      </c>
      <c r="O193" s="261"/>
      <c r="P193" s="261"/>
      <c r="Q193" s="264"/>
      <c r="R193" s="5"/>
    </row>
    <row r="194" spans="1:18" ht="15.6" x14ac:dyDescent="0.3">
      <c r="A194" s="345"/>
      <c r="B194" s="261" t="s">
        <v>170</v>
      </c>
      <c r="C194" s="346"/>
      <c r="D194" s="346"/>
      <c r="E194" s="295"/>
      <c r="F194" s="295"/>
      <c r="G194" s="295"/>
      <c r="H194" s="295"/>
      <c r="I194" s="295"/>
      <c r="J194" s="295"/>
      <c r="K194" s="295"/>
      <c r="L194" s="295"/>
      <c r="M194" s="295"/>
      <c r="N194" s="347">
        <v>49065</v>
      </c>
      <c r="O194" s="261"/>
      <c r="P194" s="261"/>
      <c r="Q194" s="264"/>
      <c r="R194" s="5"/>
    </row>
    <row r="195" spans="1:18" ht="15.6" x14ac:dyDescent="0.3">
      <c r="A195" s="345"/>
      <c r="B195" s="261" t="s">
        <v>171</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172</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138</v>
      </c>
      <c r="C197" s="346"/>
      <c r="D197" s="346"/>
      <c r="E197" s="295"/>
      <c r="F197" s="295"/>
      <c r="G197" s="295"/>
      <c r="H197" s="295"/>
      <c r="I197" s="295"/>
      <c r="J197" s="295"/>
      <c r="K197" s="295"/>
      <c r="L197" s="295"/>
      <c r="M197" s="295"/>
      <c r="N197" s="347">
        <v>52352</v>
      </c>
      <c r="O197" s="261"/>
      <c r="P197" s="261"/>
      <c r="Q197" s="264"/>
      <c r="R197" s="5"/>
    </row>
    <row r="198" spans="1:18" ht="15.6" x14ac:dyDescent="0.3">
      <c r="A198" s="345"/>
      <c r="B198" s="261" t="s">
        <v>139</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82</v>
      </c>
      <c r="C199" s="346"/>
      <c r="D199" s="346"/>
      <c r="E199" s="295"/>
      <c r="F199" s="295"/>
      <c r="G199" s="295"/>
      <c r="H199" s="295"/>
      <c r="I199" s="295"/>
      <c r="J199" s="295"/>
      <c r="K199" s="295"/>
      <c r="L199" s="295"/>
      <c r="M199" s="295"/>
      <c r="N199" s="294">
        <v>20.45</v>
      </c>
      <c r="O199" s="261" t="s">
        <v>125</v>
      </c>
      <c r="P199" s="261"/>
      <c r="Q199" s="264"/>
      <c r="R199" s="5"/>
    </row>
    <row r="200" spans="1:18" ht="15.6" x14ac:dyDescent="0.3">
      <c r="A200" s="345"/>
      <c r="B200" s="261" t="s">
        <v>83</v>
      </c>
      <c r="C200" s="346"/>
      <c r="D200" s="346"/>
      <c r="E200" s="295"/>
      <c r="F200" s="295"/>
      <c r="G200" s="295"/>
      <c r="H200" s="295"/>
      <c r="I200" s="295"/>
      <c r="J200" s="295"/>
      <c r="K200" s="295"/>
      <c r="L200" s="295"/>
      <c r="M200" s="295"/>
      <c r="N200" s="294">
        <v>14.95</v>
      </c>
      <c r="O200" s="261" t="s">
        <v>125</v>
      </c>
      <c r="P200" s="261"/>
      <c r="Q200" s="264"/>
      <c r="R200" s="5"/>
    </row>
    <row r="201" spans="1:18" ht="15.6" x14ac:dyDescent="0.3">
      <c r="A201" s="345"/>
      <c r="B201" s="261" t="s">
        <v>84</v>
      </c>
      <c r="C201" s="346"/>
      <c r="D201" s="346"/>
      <c r="E201" s="295"/>
      <c r="F201" s="295"/>
      <c r="G201" s="295"/>
      <c r="H201" s="295"/>
      <c r="I201" s="295"/>
      <c r="J201" s="295"/>
      <c r="K201" s="295"/>
      <c r="L201" s="295"/>
      <c r="M201" s="295"/>
      <c r="N201" s="290">
        <f>J69/H69</f>
        <v>5.8769867723939507E-3</v>
      </c>
      <c r="O201" s="261"/>
      <c r="P201" s="261"/>
      <c r="Q201" s="264"/>
      <c r="R201" s="5"/>
    </row>
    <row r="202" spans="1:18" ht="15.6" x14ac:dyDescent="0.3">
      <c r="A202" s="345"/>
      <c r="B202" s="261" t="s">
        <v>85</v>
      </c>
      <c r="C202" s="346"/>
      <c r="D202" s="346"/>
      <c r="E202" s="295"/>
      <c r="F202" s="295"/>
      <c r="G202" s="295"/>
      <c r="H202" s="295"/>
      <c r="I202" s="295"/>
      <c r="J202" s="295"/>
      <c r="K202" s="295"/>
      <c r="L202" s="295"/>
      <c r="M202" s="295"/>
      <c r="N202" s="290">
        <v>0.1275</v>
      </c>
      <c r="O202" s="261"/>
      <c r="P202" s="261"/>
      <c r="Q202" s="264"/>
      <c r="R202" s="5"/>
    </row>
    <row r="203" spans="1:18" ht="15.6" x14ac:dyDescent="0.3">
      <c r="A203" s="217"/>
      <c r="B203" s="222"/>
      <c r="C203" s="222"/>
      <c r="D203" s="222"/>
      <c r="E203" s="190"/>
      <c r="F203" s="190"/>
      <c r="G203" s="190"/>
      <c r="H203" s="190"/>
      <c r="I203" s="190"/>
      <c r="J203" s="190"/>
      <c r="K203" s="190"/>
      <c r="L203" s="190"/>
      <c r="M203" s="190"/>
      <c r="N203" s="341"/>
      <c r="O203" s="190"/>
      <c r="P203" s="344"/>
      <c r="Q203" s="190"/>
      <c r="R203" s="5"/>
    </row>
    <row r="204" spans="1:18" ht="15.6" x14ac:dyDescent="0.3">
      <c r="A204" s="322"/>
      <c r="B204" s="393" t="s">
        <v>86</v>
      </c>
      <c r="C204" s="395"/>
      <c r="D204" s="400"/>
      <c r="E204" s="395"/>
      <c r="F204" s="395"/>
      <c r="G204" s="395"/>
      <c r="H204" s="395"/>
      <c r="I204" s="395"/>
      <c r="J204" s="395"/>
      <c r="K204" s="395"/>
      <c r="L204" s="395"/>
      <c r="M204" s="395" t="s">
        <v>113</v>
      </c>
      <c r="N204" s="400" t="s">
        <v>121</v>
      </c>
      <c r="O204" s="252"/>
      <c r="P204" s="252"/>
      <c r="Q204" s="252"/>
      <c r="R204" s="5"/>
    </row>
    <row r="205" spans="1:18" ht="15.6" x14ac:dyDescent="0.3">
      <c r="A205" s="221"/>
      <c r="B205" s="230" t="s">
        <v>87</v>
      </c>
      <c r="C205" s="235"/>
      <c r="D205" s="230"/>
      <c r="E205" s="230"/>
      <c r="F205" s="234"/>
      <c r="G205" s="234"/>
      <c r="H205" s="234"/>
      <c r="I205" s="234"/>
      <c r="J205" s="234"/>
      <c r="K205" s="234"/>
      <c r="L205" s="234"/>
      <c r="M205" s="234">
        <v>1</v>
      </c>
      <c r="N205" s="305">
        <v>41</v>
      </c>
      <c r="O205" s="230"/>
      <c r="P205" s="306"/>
      <c r="Q205" s="307"/>
      <c r="R205" s="5"/>
    </row>
    <row r="206" spans="1:18" ht="15.6" x14ac:dyDescent="0.3">
      <c r="A206" s="351"/>
      <c r="B206" s="261" t="s">
        <v>203</v>
      </c>
      <c r="C206" s="330"/>
      <c r="D206" s="261"/>
      <c r="E206" s="261"/>
      <c r="F206" s="268"/>
      <c r="G206" s="268"/>
      <c r="H206" s="268"/>
      <c r="I206" s="268"/>
      <c r="J206" s="268"/>
      <c r="K206" s="268"/>
      <c r="L206" s="268"/>
      <c r="M206" s="352">
        <f>+L254</f>
        <v>64</v>
      </c>
      <c r="N206" s="353">
        <f>+N254</f>
        <v>10553</v>
      </c>
      <c r="O206" s="261"/>
      <c r="P206" s="354"/>
      <c r="Q206" s="355"/>
      <c r="R206" s="5"/>
    </row>
    <row r="207" spans="1:18" ht="15.6" x14ac:dyDescent="0.3">
      <c r="A207" s="351"/>
      <c r="B207" s="261" t="s">
        <v>88</v>
      </c>
      <c r="C207" s="330"/>
      <c r="D207" s="261"/>
      <c r="E207" s="261"/>
      <c r="F207" s="268"/>
      <c r="G207" s="268"/>
      <c r="H207" s="268"/>
      <c r="I207" s="268"/>
      <c r="J207" s="268"/>
      <c r="K207" s="268"/>
      <c r="L207" s="268"/>
      <c r="M207" s="352">
        <f>+L265</f>
        <v>2</v>
      </c>
      <c r="N207" s="353">
        <f>+N265</f>
        <v>57</v>
      </c>
      <c r="O207" s="261"/>
      <c r="P207" s="354"/>
      <c r="Q207" s="355"/>
      <c r="R207" s="5"/>
    </row>
    <row r="208" spans="1:18" ht="15.6" x14ac:dyDescent="0.3">
      <c r="A208" s="351"/>
      <c r="B208" s="282" t="s">
        <v>89</v>
      </c>
      <c r="C208" s="356"/>
      <c r="D208" s="335"/>
      <c r="E208" s="335"/>
      <c r="F208" s="335"/>
      <c r="G208" s="335"/>
      <c r="H208" s="335"/>
      <c r="I208" s="335"/>
      <c r="J208" s="335"/>
      <c r="K208" s="335"/>
      <c r="L208" s="335"/>
      <c r="M208" s="335"/>
      <c r="N208" s="353">
        <v>0</v>
      </c>
      <c r="O208" s="335"/>
      <c r="P208" s="358"/>
      <c r="Q208" s="359"/>
      <c r="R208" s="5"/>
    </row>
    <row r="209" spans="1:18" ht="15.6" x14ac:dyDescent="0.3">
      <c r="A209" s="351"/>
      <c r="B209" s="282" t="s">
        <v>90</v>
      </c>
      <c r="C209" s="356"/>
      <c r="D209" s="335"/>
      <c r="E209" s="335"/>
      <c r="F209" s="335"/>
      <c r="G209" s="335"/>
      <c r="H209" s="335"/>
      <c r="I209" s="335"/>
      <c r="J209" s="335"/>
      <c r="K209" s="335"/>
      <c r="L209" s="335"/>
      <c r="M209" s="335"/>
      <c r="N209" s="369" t="s">
        <v>122</v>
      </c>
      <c r="O209" s="335"/>
      <c r="P209" s="358"/>
      <c r="Q209" s="359"/>
      <c r="R209" s="5"/>
    </row>
    <row r="210" spans="1:18" ht="15.6" x14ac:dyDescent="0.3">
      <c r="A210" s="360"/>
      <c r="B210" s="282" t="s">
        <v>91</v>
      </c>
      <c r="C210" s="361"/>
      <c r="D210" s="361"/>
      <c r="E210" s="335"/>
      <c r="F210" s="335"/>
      <c r="G210" s="335"/>
      <c r="H210" s="335"/>
      <c r="I210" s="335"/>
      <c r="J210" s="362"/>
      <c r="K210" s="335"/>
      <c r="L210" s="335"/>
      <c r="M210" s="335"/>
      <c r="N210" s="357"/>
      <c r="O210" s="335"/>
      <c r="P210" s="358"/>
      <c r="Q210" s="363"/>
      <c r="R210" s="5"/>
    </row>
    <row r="211" spans="1:18" ht="15.6" x14ac:dyDescent="0.3">
      <c r="A211" s="360"/>
      <c r="B211" s="261" t="s">
        <v>92</v>
      </c>
      <c r="C211" s="261"/>
      <c r="D211" s="261"/>
      <c r="E211" s="261"/>
      <c r="F211" s="261"/>
      <c r="G211" s="261"/>
      <c r="H211" s="261"/>
      <c r="I211" s="261"/>
      <c r="J211" s="261"/>
      <c r="K211" s="261"/>
      <c r="L211" s="261"/>
      <c r="M211" s="261"/>
      <c r="N211" s="353">
        <f>P154</f>
        <v>243</v>
      </c>
      <c r="O211" s="261"/>
      <c r="P211" s="354"/>
      <c r="Q211" s="363"/>
      <c r="R211" s="5"/>
    </row>
    <row r="212" spans="1:18" ht="15.6" x14ac:dyDescent="0.3">
      <c r="A212" s="351"/>
      <c r="B212" s="261" t="s">
        <v>93</v>
      </c>
      <c r="C212" s="330"/>
      <c r="D212" s="330"/>
      <c r="E212" s="261"/>
      <c r="F212" s="261"/>
      <c r="G212" s="261"/>
      <c r="H212" s="261"/>
      <c r="I212" s="261"/>
      <c r="J212" s="261"/>
      <c r="K212" s="261"/>
      <c r="L212" s="261"/>
      <c r="M212" s="261"/>
      <c r="N212" s="353">
        <f>'April 11'!N212+'July 11'!N211</f>
        <v>3902</v>
      </c>
      <c r="O212" s="261"/>
      <c r="P212" s="354"/>
      <c r="Q212" s="363"/>
      <c r="R212" s="5"/>
    </row>
    <row r="213" spans="1:18" ht="15.6" x14ac:dyDescent="0.3">
      <c r="A213" s="360"/>
      <c r="B213" s="282" t="s">
        <v>278</v>
      </c>
      <c r="C213" s="361"/>
      <c r="D213" s="361"/>
      <c r="E213" s="335"/>
      <c r="F213" s="335"/>
      <c r="G213" s="335"/>
      <c r="H213" s="335"/>
      <c r="I213" s="335"/>
      <c r="J213" s="335"/>
      <c r="K213" s="335"/>
      <c r="L213" s="335"/>
      <c r="M213" s="335"/>
      <c r="N213" s="357"/>
      <c r="O213" s="335"/>
      <c r="P213" s="358"/>
      <c r="Q213" s="363"/>
      <c r="R213" s="5"/>
    </row>
    <row r="214" spans="1:18" ht="15.6" x14ac:dyDescent="0.3">
      <c r="A214" s="360"/>
      <c r="B214" s="261" t="s">
        <v>276</v>
      </c>
      <c r="C214" s="261"/>
      <c r="D214" s="261"/>
      <c r="E214" s="261"/>
      <c r="F214" s="261"/>
      <c r="G214" s="261"/>
      <c r="H214" s="261"/>
      <c r="I214" s="261"/>
      <c r="J214" s="261"/>
      <c r="K214" s="261"/>
      <c r="L214" s="261"/>
      <c r="M214" s="268">
        <v>0</v>
      </c>
      <c r="N214" s="353">
        <v>0</v>
      </c>
      <c r="O214" s="261"/>
      <c r="P214" s="354"/>
      <c r="Q214" s="363"/>
      <c r="R214" s="5"/>
    </row>
    <row r="215" spans="1:18" ht="15.6" x14ac:dyDescent="0.3">
      <c r="A215" s="351"/>
      <c r="B215" s="261" t="s">
        <v>95</v>
      </c>
      <c r="C215" s="292"/>
      <c r="D215" s="368"/>
      <c r="E215" s="261"/>
      <c r="F215" s="261"/>
      <c r="G215" s="261"/>
      <c r="H215" s="261"/>
      <c r="I215" s="261"/>
      <c r="J215" s="261"/>
      <c r="K215" s="261"/>
      <c r="L215" s="261"/>
      <c r="M215" s="261"/>
      <c r="N215" s="369">
        <v>0</v>
      </c>
      <c r="O215" s="261"/>
      <c r="P215" s="354"/>
      <c r="Q215" s="363"/>
      <c r="R215" s="5"/>
    </row>
    <row r="216" spans="1:18" ht="15.6" x14ac:dyDescent="0.3">
      <c r="A216" s="351"/>
      <c r="B216" s="261" t="s">
        <v>96</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82" t="s">
        <v>251</v>
      </c>
      <c r="C217" s="370"/>
      <c r="D217" s="371"/>
      <c r="E217" s="335"/>
      <c r="F217" s="335"/>
      <c r="G217" s="335"/>
      <c r="H217" s="335"/>
      <c r="I217" s="335"/>
      <c r="J217" s="335"/>
      <c r="K217" s="335"/>
      <c r="L217" s="335"/>
      <c r="M217" s="335"/>
      <c r="N217" s="372"/>
      <c r="O217" s="335"/>
      <c r="P217" s="358"/>
      <c r="Q217" s="363"/>
      <c r="R217" s="5"/>
    </row>
    <row r="218" spans="1:18" ht="15.6" x14ac:dyDescent="0.3">
      <c r="A218" s="351"/>
      <c r="B218" s="261" t="s">
        <v>276</v>
      </c>
      <c r="C218" s="292"/>
      <c r="D218" s="368"/>
      <c r="E218" s="261"/>
      <c r="F218" s="261"/>
      <c r="G218" s="261"/>
      <c r="H218" s="261"/>
      <c r="I218" s="261"/>
      <c r="J218" s="261"/>
      <c r="K218" s="261"/>
      <c r="L218" s="261"/>
      <c r="M218" s="268">
        <v>2</v>
      </c>
      <c r="N218" s="353">
        <v>562</v>
      </c>
      <c r="O218" s="261"/>
      <c r="P218" s="354"/>
      <c r="Q218" s="373"/>
      <c r="R218" s="308"/>
    </row>
    <row r="219" spans="1:18" ht="15.6" x14ac:dyDescent="0.3">
      <c r="A219" s="351"/>
      <c r="B219" s="261" t="s">
        <v>252</v>
      </c>
      <c r="C219" s="292"/>
      <c r="D219" s="368"/>
      <c r="E219" s="261"/>
      <c r="F219" s="261"/>
      <c r="G219" s="261"/>
      <c r="H219" s="261"/>
      <c r="I219" s="261"/>
      <c r="J219" s="261"/>
      <c r="K219" s="261"/>
      <c r="L219" s="261"/>
      <c r="M219" s="261"/>
      <c r="N219" s="369">
        <v>29.65</v>
      </c>
      <c r="O219" s="261"/>
      <c r="P219" s="354"/>
      <c r="Q219" s="373"/>
      <c r="R219" s="308"/>
    </row>
    <row r="220" spans="1:18" ht="15.6" x14ac:dyDescent="0.3">
      <c r="A220" s="351"/>
      <c r="B220" s="361"/>
      <c r="C220" s="370"/>
      <c r="D220" s="371"/>
      <c r="E220" s="335"/>
      <c r="F220" s="335"/>
      <c r="G220" s="335"/>
      <c r="H220" s="335"/>
      <c r="I220" s="335"/>
      <c r="J220" s="335"/>
      <c r="K220" s="335"/>
      <c r="L220" s="335"/>
      <c r="M220" s="335"/>
      <c r="N220" s="374"/>
      <c r="O220" s="335"/>
      <c r="P220" s="358"/>
      <c r="Q220" s="363"/>
      <c r="R220" s="5"/>
    </row>
    <row r="221" spans="1:18" ht="17.399999999999999" x14ac:dyDescent="0.3">
      <c r="A221" s="351"/>
      <c r="B221" s="375" t="s">
        <v>244</v>
      </c>
      <c r="C221" s="370"/>
      <c r="D221" s="371"/>
      <c r="E221" s="335"/>
      <c r="F221" s="335"/>
      <c r="G221" s="335"/>
      <c r="H221" s="335"/>
      <c r="I221" s="376"/>
      <c r="J221" s="377" t="s">
        <v>243</v>
      </c>
      <c r="K221" s="335"/>
      <c r="L221" s="335"/>
      <c r="M221" s="335"/>
      <c r="N221" s="374"/>
      <c r="O221" s="335"/>
      <c r="P221" s="358"/>
      <c r="Q221" s="363"/>
      <c r="R221" s="5"/>
    </row>
    <row r="222" spans="1:18" ht="15.6" x14ac:dyDescent="0.3">
      <c r="A222" s="348"/>
      <c r="B222" s="222"/>
      <c r="C222" s="223"/>
      <c r="D222" s="224"/>
      <c r="E222" s="190"/>
      <c r="F222" s="190"/>
      <c r="G222" s="190"/>
      <c r="H222" s="190"/>
      <c r="I222" s="190"/>
      <c r="J222" s="190"/>
      <c r="K222" s="190"/>
      <c r="L222" s="190"/>
      <c r="M222" s="190"/>
      <c r="N222" s="349"/>
      <c r="O222" s="190"/>
      <c r="P222" s="344"/>
      <c r="Q222" s="350"/>
      <c r="R222" s="5"/>
    </row>
    <row r="223" spans="1:18" ht="15.6" x14ac:dyDescent="0.3">
      <c r="A223" s="251"/>
      <c r="B223" s="393" t="s">
        <v>290</v>
      </c>
      <c r="C223" s="395"/>
      <c r="D223" s="400"/>
      <c r="E223" s="395"/>
      <c r="F223" s="395"/>
      <c r="G223" s="395"/>
      <c r="H223" s="395"/>
      <c r="I223" s="395"/>
      <c r="J223" s="395"/>
      <c r="K223" s="395"/>
      <c r="L223" s="400" t="s">
        <v>113</v>
      </c>
      <c r="M223" s="395" t="s">
        <v>114</v>
      </c>
      <c r="N223" s="400" t="s">
        <v>123</v>
      </c>
      <c r="O223" s="395" t="s">
        <v>114</v>
      </c>
      <c r="P223" s="252"/>
      <c r="Q223" s="393"/>
      <c r="R223" s="5"/>
    </row>
    <row r="224" spans="1:18" ht="15.6" x14ac:dyDescent="0.3">
      <c r="A224" s="198"/>
      <c r="B224" s="235" t="s">
        <v>98</v>
      </c>
      <c r="C224" s="309"/>
      <c r="D224" s="230"/>
      <c r="E224" s="309"/>
      <c r="F224" s="309"/>
      <c r="G224" s="309"/>
      <c r="H224" s="309"/>
      <c r="I224" s="309"/>
      <c r="J224" s="309"/>
      <c r="K224" s="309"/>
      <c r="L224" s="330">
        <f t="shared" ref="L224:L231" si="1">+L235+L246+L257</f>
        <v>3461</v>
      </c>
      <c r="M224" s="382">
        <f t="shared" ref="M224:M231" si="2">L224/$L$232</f>
        <v>0.9832386363636364</v>
      </c>
      <c r="N224" s="331">
        <f t="shared" ref="N224:N231" si="3">+N235+N246+N257</f>
        <v>389453</v>
      </c>
      <c r="O224" s="382">
        <f t="shared" ref="O224:O231" si="4">N224/$N$232</f>
        <v>0.98119753297927015</v>
      </c>
      <c r="P224" s="306"/>
      <c r="Q224" s="233"/>
      <c r="R224" s="5"/>
    </row>
    <row r="225" spans="1:18" ht="15.6" x14ac:dyDescent="0.3">
      <c r="A225" s="260"/>
      <c r="B225" s="330" t="s">
        <v>99</v>
      </c>
      <c r="C225" s="381"/>
      <c r="D225" s="261"/>
      <c r="E225" s="382"/>
      <c r="F225" s="381"/>
      <c r="G225" s="381"/>
      <c r="H225" s="381"/>
      <c r="I225" s="381"/>
      <c r="J225" s="381"/>
      <c r="K225" s="381"/>
      <c r="L225" s="330">
        <f t="shared" si="1"/>
        <v>33</v>
      </c>
      <c r="M225" s="382">
        <f t="shared" si="2"/>
        <v>9.3749999999999997E-3</v>
      </c>
      <c r="N225" s="331">
        <f t="shared" si="3"/>
        <v>3989</v>
      </c>
      <c r="O225" s="382">
        <f t="shared" si="4"/>
        <v>1.0049985387336363E-2</v>
      </c>
      <c r="P225" s="354"/>
      <c r="Q225" s="373"/>
      <c r="R225" s="5"/>
    </row>
    <row r="226" spans="1:18" ht="15.6" x14ac:dyDescent="0.3">
      <c r="A226" s="260"/>
      <c r="B226" s="330" t="s">
        <v>100</v>
      </c>
      <c r="C226" s="381"/>
      <c r="D226" s="261"/>
      <c r="E226" s="382"/>
      <c r="F226" s="381"/>
      <c r="G226" s="381"/>
      <c r="H226" s="381"/>
      <c r="I226" s="381"/>
      <c r="J226" s="381"/>
      <c r="K226" s="381"/>
      <c r="L226" s="330">
        <f t="shared" si="1"/>
        <v>8</v>
      </c>
      <c r="M226" s="382">
        <f t="shared" si="2"/>
        <v>2.2727272727272726E-3</v>
      </c>
      <c r="N226" s="331">
        <f t="shared" si="3"/>
        <v>1112</v>
      </c>
      <c r="O226" s="382">
        <f t="shared" si="4"/>
        <v>2.8016003386106885E-3</v>
      </c>
      <c r="P226" s="354"/>
      <c r="Q226" s="373"/>
      <c r="R226" s="5"/>
    </row>
    <row r="227" spans="1:18" ht="15.6" x14ac:dyDescent="0.3">
      <c r="A227" s="260"/>
      <c r="B227" s="330" t="s">
        <v>227</v>
      </c>
      <c r="C227" s="381"/>
      <c r="D227" s="261"/>
      <c r="E227" s="382"/>
      <c r="F227" s="381"/>
      <c r="G227" s="381"/>
      <c r="H227" s="381"/>
      <c r="I227" s="381"/>
      <c r="J227" s="381"/>
      <c r="K227" s="381"/>
      <c r="L227" s="330">
        <f t="shared" si="1"/>
        <v>3</v>
      </c>
      <c r="M227" s="382">
        <f t="shared" si="2"/>
        <v>8.5227272727272723E-4</v>
      </c>
      <c r="N227" s="331">
        <f t="shared" si="3"/>
        <v>68</v>
      </c>
      <c r="O227" s="382">
        <f t="shared" si="4"/>
        <v>1.7132088401576153E-4</v>
      </c>
      <c r="P227" s="354"/>
      <c r="Q227" s="373"/>
      <c r="R227" s="5"/>
    </row>
    <row r="228" spans="1:18" ht="15.6" x14ac:dyDescent="0.3">
      <c r="A228" s="260"/>
      <c r="B228" s="330" t="s">
        <v>228</v>
      </c>
      <c r="C228" s="381"/>
      <c r="D228" s="261"/>
      <c r="E228" s="382"/>
      <c r="F228" s="381"/>
      <c r="G228" s="381"/>
      <c r="H228" s="381"/>
      <c r="I228" s="381"/>
      <c r="J228" s="381"/>
      <c r="K228" s="381"/>
      <c r="L228" s="330">
        <f t="shared" si="1"/>
        <v>2</v>
      </c>
      <c r="M228" s="382">
        <f t="shared" si="2"/>
        <v>5.6818181818181815E-4</v>
      </c>
      <c r="N228" s="331">
        <f t="shared" si="3"/>
        <v>70</v>
      </c>
      <c r="O228" s="382">
        <f t="shared" si="4"/>
        <v>1.7635973354563687E-4</v>
      </c>
      <c r="P228" s="354"/>
      <c r="Q228" s="373"/>
      <c r="R228" s="5"/>
    </row>
    <row r="229" spans="1:18" ht="15.6" x14ac:dyDescent="0.3">
      <c r="A229" s="260"/>
      <c r="B229" s="330" t="s">
        <v>229</v>
      </c>
      <c r="C229" s="381"/>
      <c r="D229" s="261"/>
      <c r="E229" s="382"/>
      <c r="F229" s="381"/>
      <c r="G229" s="381"/>
      <c r="H229" s="381"/>
      <c r="I229" s="381"/>
      <c r="J229" s="381"/>
      <c r="K229" s="381"/>
      <c r="L229" s="330">
        <f t="shared" si="1"/>
        <v>0</v>
      </c>
      <c r="M229" s="382">
        <f t="shared" si="2"/>
        <v>0</v>
      </c>
      <c r="N229" s="331">
        <f t="shared" si="3"/>
        <v>0</v>
      </c>
      <c r="O229" s="382">
        <f t="shared" si="4"/>
        <v>0</v>
      </c>
      <c r="P229" s="354"/>
      <c r="Q229" s="373"/>
      <c r="R229" s="5"/>
    </row>
    <row r="230" spans="1:18" ht="15.6" x14ac:dyDescent="0.3">
      <c r="A230" s="260"/>
      <c r="B230" s="330" t="s">
        <v>230</v>
      </c>
      <c r="C230" s="381"/>
      <c r="D230" s="261"/>
      <c r="E230" s="382"/>
      <c r="F230" s="381"/>
      <c r="G230" s="381"/>
      <c r="H230" s="381"/>
      <c r="I230" s="381"/>
      <c r="J230" s="381"/>
      <c r="K230" s="381"/>
      <c r="L230" s="330">
        <f t="shared" si="1"/>
        <v>2</v>
      </c>
      <c r="M230" s="382">
        <f t="shared" si="2"/>
        <v>5.6818181818181815E-4</v>
      </c>
      <c r="N230" s="331">
        <f t="shared" si="3"/>
        <v>84</v>
      </c>
      <c r="O230" s="382">
        <f t="shared" si="4"/>
        <v>2.1163168025476424E-4</v>
      </c>
      <c r="P230" s="354"/>
      <c r="Q230" s="373"/>
      <c r="R230" s="5"/>
    </row>
    <row r="231" spans="1:18" ht="15.6" x14ac:dyDescent="0.3">
      <c r="A231" s="260"/>
      <c r="B231" s="330" t="s">
        <v>231</v>
      </c>
      <c r="C231" s="381"/>
      <c r="D231" s="261"/>
      <c r="E231" s="382"/>
      <c r="F231" s="381"/>
      <c r="G231" s="381"/>
      <c r="H231" s="381"/>
      <c r="I231" s="381"/>
      <c r="J231" s="381"/>
      <c r="K231" s="381"/>
      <c r="L231" s="330">
        <f t="shared" si="1"/>
        <v>11</v>
      </c>
      <c r="M231" s="382">
        <f t="shared" si="2"/>
        <v>3.1250000000000002E-3</v>
      </c>
      <c r="N231" s="331">
        <f t="shared" si="3"/>
        <v>2140</v>
      </c>
      <c r="O231" s="382">
        <f t="shared" si="4"/>
        <v>5.3915689969666128E-3</v>
      </c>
      <c r="P231" s="354"/>
      <c r="Q231" s="373"/>
      <c r="R231" s="5"/>
    </row>
    <row r="232" spans="1:18" ht="15.6" x14ac:dyDescent="0.3">
      <c r="A232" s="260"/>
      <c r="B232" s="261" t="s">
        <v>129</v>
      </c>
      <c r="C232" s="261"/>
      <c r="D232" s="261"/>
      <c r="E232" s="261"/>
      <c r="F232" s="383"/>
      <c r="G232" s="383"/>
      <c r="H232" s="383"/>
      <c r="I232" s="383"/>
      <c r="J232" s="383"/>
      <c r="K232" s="383"/>
      <c r="L232" s="330">
        <f>SUM(L224:L231)</f>
        <v>3520</v>
      </c>
      <c r="M232" s="382">
        <f>SUM(M224:M231)</f>
        <v>1.0000000000000002</v>
      </c>
      <c r="N232" s="330">
        <f>SUM(N224:N231)</f>
        <v>396916</v>
      </c>
      <c r="O232" s="382">
        <f>SUM(O224:O231)</f>
        <v>0.99999999999999989</v>
      </c>
      <c r="P232" s="261"/>
      <c r="Q232" s="264"/>
      <c r="R232" s="5"/>
    </row>
    <row r="233" spans="1:18" ht="15.6" x14ac:dyDescent="0.3">
      <c r="A233" s="348"/>
      <c r="B233" s="222"/>
      <c r="C233" s="223"/>
      <c r="D233" s="224"/>
      <c r="E233" s="190"/>
      <c r="F233" s="190"/>
      <c r="G233" s="190"/>
      <c r="H233" s="190"/>
      <c r="I233" s="190"/>
      <c r="J233" s="190"/>
      <c r="K233" s="190"/>
      <c r="L233" s="190"/>
      <c r="M233" s="190"/>
      <c r="N233" s="349"/>
      <c r="O233" s="190"/>
      <c r="P233" s="344"/>
      <c r="Q233" s="350"/>
      <c r="R233" s="5"/>
    </row>
    <row r="234" spans="1:18" ht="15.6" x14ac:dyDescent="0.3">
      <c r="A234" s="251"/>
      <c r="B234" s="393" t="s">
        <v>236</v>
      </c>
      <c r="C234" s="395"/>
      <c r="D234" s="400"/>
      <c r="E234" s="395"/>
      <c r="F234" s="395"/>
      <c r="G234" s="395"/>
      <c r="H234" s="395"/>
      <c r="I234" s="395"/>
      <c r="J234" s="395"/>
      <c r="K234" s="395"/>
      <c r="L234" s="400" t="s">
        <v>113</v>
      </c>
      <c r="M234" s="395" t="s">
        <v>114</v>
      </c>
      <c r="N234" s="400" t="s">
        <v>123</v>
      </c>
      <c r="O234" s="395" t="s">
        <v>114</v>
      </c>
      <c r="P234" s="252"/>
      <c r="Q234" s="393"/>
      <c r="R234" s="5"/>
    </row>
    <row r="235" spans="1:18" ht="15.6" x14ac:dyDescent="0.3">
      <c r="A235" s="198"/>
      <c r="B235" s="235" t="s">
        <v>98</v>
      </c>
      <c r="C235" s="309"/>
      <c r="D235" s="230"/>
      <c r="E235" s="309"/>
      <c r="F235" s="309"/>
      <c r="G235" s="309"/>
      <c r="H235" s="309"/>
      <c r="I235" s="309"/>
      <c r="J235" s="309"/>
      <c r="K235" s="309"/>
      <c r="L235" s="235">
        <v>3412</v>
      </c>
      <c r="M235" s="310">
        <f t="shared" ref="M235:M242" si="5">L235/$L$243</f>
        <v>0.98784018529241457</v>
      </c>
      <c r="N235" s="300">
        <v>381898</v>
      </c>
      <c r="O235" s="310">
        <f t="shared" ref="O235:O242" si="6">N235/$N$243</f>
        <v>0.98858935662402347</v>
      </c>
      <c r="P235" s="306"/>
      <c r="Q235" s="233"/>
      <c r="R235" s="5"/>
    </row>
    <row r="236" spans="1:18" ht="15.6" x14ac:dyDescent="0.3">
      <c r="A236" s="260"/>
      <c r="B236" s="330" t="s">
        <v>99</v>
      </c>
      <c r="C236" s="381"/>
      <c r="D236" s="261"/>
      <c r="E236" s="382"/>
      <c r="F236" s="381"/>
      <c r="G236" s="381"/>
      <c r="H236" s="381"/>
      <c r="I236" s="381"/>
      <c r="J236" s="381"/>
      <c r="K236" s="381"/>
      <c r="L236" s="330">
        <v>30</v>
      </c>
      <c r="M236" s="382">
        <f t="shared" si="5"/>
        <v>8.6855819339895779E-3</v>
      </c>
      <c r="N236" s="331">
        <v>3537</v>
      </c>
      <c r="O236" s="382">
        <f t="shared" si="6"/>
        <v>9.1559540882098639E-3</v>
      </c>
      <c r="P236" s="354"/>
      <c r="Q236" s="373"/>
      <c r="R236" s="5"/>
    </row>
    <row r="237" spans="1:18" ht="15.6" x14ac:dyDescent="0.3">
      <c r="A237" s="260"/>
      <c r="B237" s="330" t="s">
        <v>100</v>
      </c>
      <c r="C237" s="381"/>
      <c r="D237" s="261"/>
      <c r="E237" s="382"/>
      <c r="F237" s="381"/>
      <c r="G237" s="381"/>
      <c r="H237" s="381"/>
      <c r="I237" s="381"/>
      <c r="J237" s="381"/>
      <c r="K237" s="381"/>
      <c r="L237" s="330">
        <v>6</v>
      </c>
      <c r="M237" s="382">
        <f t="shared" si="5"/>
        <v>1.7371163867979154E-3</v>
      </c>
      <c r="N237" s="331">
        <v>704</v>
      </c>
      <c r="O237" s="382">
        <f t="shared" si="6"/>
        <v>1.8223895046931707E-3</v>
      </c>
      <c r="P237" s="354"/>
      <c r="Q237" s="373"/>
      <c r="R237" s="5"/>
    </row>
    <row r="238" spans="1:18" ht="15.6" x14ac:dyDescent="0.3">
      <c r="A238" s="260"/>
      <c r="B238" s="330" t="s">
        <v>227</v>
      </c>
      <c r="C238" s="381"/>
      <c r="D238" s="261"/>
      <c r="E238" s="382"/>
      <c r="F238" s="381"/>
      <c r="G238" s="381"/>
      <c r="H238" s="381"/>
      <c r="I238" s="381"/>
      <c r="J238" s="381"/>
      <c r="K238" s="381"/>
      <c r="L238" s="330">
        <v>3</v>
      </c>
      <c r="M238" s="382">
        <f t="shared" si="5"/>
        <v>8.6855819339895772E-4</v>
      </c>
      <c r="N238" s="331">
        <v>68</v>
      </c>
      <c r="O238" s="382">
        <f t="shared" si="6"/>
        <v>1.760262589760449E-4</v>
      </c>
      <c r="P238" s="354"/>
      <c r="Q238" s="373"/>
      <c r="R238" s="5"/>
    </row>
    <row r="239" spans="1:18" ht="15.6" x14ac:dyDescent="0.3">
      <c r="A239" s="260"/>
      <c r="B239" s="330" t="s">
        <v>228</v>
      </c>
      <c r="C239" s="381"/>
      <c r="D239" s="261"/>
      <c r="E239" s="382"/>
      <c r="F239" s="381"/>
      <c r="G239" s="381"/>
      <c r="H239" s="381"/>
      <c r="I239" s="381"/>
      <c r="J239" s="381"/>
      <c r="K239" s="381"/>
      <c r="L239" s="330">
        <v>1</v>
      </c>
      <c r="M239" s="382">
        <f t="shared" si="5"/>
        <v>2.8951939779965256E-4</v>
      </c>
      <c r="N239" s="331">
        <v>34</v>
      </c>
      <c r="O239" s="382">
        <f t="shared" si="6"/>
        <v>8.8013129488022449E-5</v>
      </c>
      <c r="P239" s="354"/>
      <c r="Q239" s="373"/>
      <c r="R239" s="5"/>
    </row>
    <row r="240" spans="1:18" ht="15.6" x14ac:dyDescent="0.3">
      <c r="A240" s="260"/>
      <c r="B240" s="330" t="s">
        <v>229</v>
      </c>
      <c r="C240" s="381"/>
      <c r="D240" s="261"/>
      <c r="E240" s="382"/>
      <c r="F240" s="381"/>
      <c r="G240" s="381"/>
      <c r="H240" s="381"/>
      <c r="I240" s="381"/>
      <c r="J240" s="381"/>
      <c r="K240" s="381"/>
      <c r="L240" s="330">
        <v>0</v>
      </c>
      <c r="M240" s="382">
        <f t="shared" si="5"/>
        <v>0</v>
      </c>
      <c r="N240" s="331">
        <v>0</v>
      </c>
      <c r="O240" s="382">
        <f t="shared" si="6"/>
        <v>0</v>
      </c>
      <c r="P240" s="354"/>
      <c r="Q240" s="373"/>
      <c r="R240" s="5"/>
    </row>
    <row r="241" spans="1:18" ht="15.6" x14ac:dyDescent="0.3">
      <c r="A241" s="260"/>
      <c r="B241" s="330" t="s">
        <v>230</v>
      </c>
      <c r="C241" s="381"/>
      <c r="D241" s="261"/>
      <c r="E241" s="382"/>
      <c r="F241" s="381"/>
      <c r="G241" s="381"/>
      <c r="H241" s="381"/>
      <c r="I241" s="381"/>
      <c r="J241" s="381"/>
      <c r="K241" s="381"/>
      <c r="L241" s="330">
        <v>1</v>
      </c>
      <c r="M241" s="382">
        <f t="shared" si="5"/>
        <v>2.8951939779965256E-4</v>
      </c>
      <c r="N241" s="331">
        <v>24</v>
      </c>
      <c r="O241" s="382">
        <f t="shared" si="6"/>
        <v>6.2126914932721729E-5</v>
      </c>
      <c r="P241" s="354"/>
      <c r="Q241" s="373"/>
      <c r="R241" s="5"/>
    </row>
    <row r="242" spans="1:18" ht="15.6" x14ac:dyDescent="0.3">
      <c r="A242" s="260"/>
      <c r="B242" s="330" t="s">
        <v>231</v>
      </c>
      <c r="C242" s="381"/>
      <c r="D242" s="261"/>
      <c r="E242" s="382"/>
      <c r="F242" s="381"/>
      <c r="G242" s="381"/>
      <c r="H242" s="381"/>
      <c r="I242" s="381"/>
      <c r="J242" s="381"/>
      <c r="K242" s="381"/>
      <c r="L242" s="330">
        <v>1</v>
      </c>
      <c r="M242" s="382">
        <f t="shared" si="5"/>
        <v>2.8951939779965256E-4</v>
      </c>
      <c r="N242" s="331">
        <v>41</v>
      </c>
      <c r="O242" s="382">
        <f t="shared" si="6"/>
        <v>1.0613347967673295E-4</v>
      </c>
      <c r="P242" s="354"/>
      <c r="Q242" s="373"/>
      <c r="R242" s="5"/>
    </row>
    <row r="243" spans="1:18" ht="15.6" x14ac:dyDescent="0.3">
      <c r="A243" s="260"/>
      <c r="B243" s="261" t="s">
        <v>129</v>
      </c>
      <c r="C243" s="261"/>
      <c r="D243" s="261"/>
      <c r="E243" s="261"/>
      <c r="F243" s="383"/>
      <c r="G243" s="383"/>
      <c r="H243" s="383"/>
      <c r="I243" s="383"/>
      <c r="J243" s="383"/>
      <c r="K243" s="383"/>
      <c r="L243" s="330">
        <f>SUM(L235:L242)</f>
        <v>3454</v>
      </c>
      <c r="M243" s="382">
        <f>SUM(M235:M242)</f>
        <v>1</v>
      </c>
      <c r="N243" s="331">
        <f>SUM(N235:N242)</f>
        <v>386306</v>
      </c>
      <c r="O243" s="382">
        <f>SUM(O235:O242)</f>
        <v>1</v>
      </c>
      <c r="P243" s="261"/>
      <c r="Q243" s="264"/>
      <c r="R243" s="5"/>
    </row>
    <row r="244" spans="1:18" ht="15.6" x14ac:dyDescent="0.3">
      <c r="A244" s="183"/>
      <c r="B244" s="257"/>
      <c r="C244" s="257"/>
      <c r="D244" s="257"/>
      <c r="E244" s="257"/>
      <c r="F244" s="378"/>
      <c r="G244" s="378"/>
      <c r="H244" s="378"/>
      <c r="I244" s="378"/>
      <c r="J244" s="378"/>
      <c r="K244" s="378"/>
      <c r="L244" s="302"/>
      <c r="M244" s="379"/>
      <c r="N244" s="380"/>
      <c r="O244" s="379"/>
      <c r="P244" s="257"/>
      <c r="Q244" s="257"/>
      <c r="R244" s="5"/>
    </row>
    <row r="245" spans="1:18" ht="15.6" x14ac:dyDescent="0.3">
      <c r="A245" s="316"/>
      <c r="B245" s="393" t="s">
        <v>238</v>
      </c>
      <c r="C245" s="395"/>
      <c r="D245" s="400"/>
      <c r="E245" s="395"/>
      <c r="F245" s="395"/>
      <c r="G245" s="395"/>
      <c r="H245" s="395"/>
      <c r="I245" s="395"/>
      <c r="J245" s="395"/>
      <c r="K245" s="395"/>
      <c r="L245" s="400" t="s">
        <v>113</v>
      </c>
      <c r="M245" s="395" t="s">
        <v>114</v>
      </c>
      <c r="N245" s="400" t="s">
        <v>123</v>
      </c>
      <c r="O245" s="395" t="s">
        <v>114</v>
      </c>
      <c r="P245" s="252"/>
      <c r="Q245" s="321"/>
      <c r="R245" s="5"/>
    </row>
    <row r="246" spans="1:18" ht="15.6" x14ac:dyDescent="0.3">
      <c r="A246" s="198"/>
      <c r="B246" s="235" t="s">
        <v>98</v>
      </c>
      <c r="C246" s="309"/>
      <c r="D246" s="230"/>
      <c r="E246" s="309"/>
      <c r="F246" s="309"/>
      <c r="G246" s="309"/>
      <c r="H246" s="309"/>
      <c r="I246" s="309"/>
      <c r="J246" s="309"/>
      <c r="K246" s="309"/>
      <c r="L246" s="235">
        <v>49</v>
      </c>
      <c r="M246" s="310">
        <f t="shared" ref="M246:M253" si="7">L246/$L$254</f>
        <v>0.765625</v>
      </c>
      <c r="N246" s="300">
        <v>7555</v>
      </c>
      <c r="O246" s="310">
        <f t="shared" ref="O246:O253" si="8">N246/$N$254</f>
        <v>0.71591016772481764</v>
      </c>
      <c r="P246" s="306"/>
      <c r="Q246" s="230"/>
      <c r="R246" s="5"/>
    </row>
    <row r="247" spans="1:18" ht="15.6" x14ac:dyDescent="0.3">
      <c r="A247" s="260"/>
      <c r="B247" s="330" t="s">
        <v>99</v>
      </c>
      <c r="C247" s="381"/>
      <c r="D247" s="261"/>
      <c r="E247" s="382"/>
      <c r="F247" s="381"/>
      <c r="G247" s="381"/>
      <c r="H247" s="381"/>
      <c r="I247" s="381"/>
      <c r="J247" s="381"/>
      <c r="K247" s="381"/>
      <c r="L247" s="330">
        <v>3</v>
      </c>
      <c r="M247" s="382">
        <f t="shared" si="7"/>
        <v>4.6875E-2</v>
      </c>
      <c r="N247" s="331">
        <v>452</v>
      </c>
      <c r="O247" s="382">
        <f t="shared" si="8"/>
        <v>4.2831422344357058E-2</v>
      </c>
      <c r="P247" s="354"/>
      <c r="Q247" s="264"/>
      <c r="R247" s="5"/>
    </row>
    <row r="248" spans="1:18" ht="15.6" x14ac:dyDescent="0.3">
      <c r="A248" s="260"/>
      <c r="B248" s="330" t="s">
        <v>100</v>
      </c>
      <c r="C248" s="381"/>
      <c r="D248" s="261"/>
      <c r="E248" s="382"/>
      <c r="F248" s="381"/>
      <c r="G248" s="381"/>
      <c r="H248" s="381"/>
      <c r="I248" s="381"/>
      <c r="J248" s="381"/>
      <c r="K248" s="381"/>
      <c r="L248" s="330">
        <v>2</v>
      </c>
      <c r="M248" s="382">
        <f t="shared" si="7"/>
        <v>3.125E-2</v>
      </c>
      <c r="N248" s="331">
        <v>408</v>
      </c>
      <c r="O248" s="382">
        <f t="shared" si="8"/>
        <v>3.8661991850658578E-2</v>
      </c>
      <c r="P248" s="354"/>
      <c r="Q248" s="264"/>
      <c r="R248" s="5"/>
    </row>
    <row r="249" spans="1:18" ht="15.6" x14ac:dyDescent="0.3">
      <c r="A249" s="260"/>
      <c r="B249" s="330" t="s">
        <v>227</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228</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229</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230</v>
      </c>
      <c r="C252" s="381"/>
      <c r="D252" s="261"/>
      <c r="E252" s="382"/>
      <c r="F252" s="381"/>
      <c r="G252" s="381"/>
      <c r="H252" s="381"/>
      <c r="I252" s="381"/>
      <c r="J252" s="381"/>
      <c r="K252" s="381"/>
      <c r="L252" s="330">
        <v>1</v>
      </c>
      <c r="M252" s="382">
        <f t="shared" si="7"/>
        <v>1.5625E-2</v>
      </c>
      <c r="N252" s="331">
        <v>60</v>
      </c>
      <c r="O252" s="382">
        <f t="shared" si="8"/>
        <v>5.6855870368615561E-3</v>
      </c>
      <c r="P252" s="354"/>
      <c r="Q252" s="264"/>
      <c r="R252" s="5"/>
    </row>
    <row r="253" spans="1:18" ht="15.6" x14ac:dyDescent="0.3">
      <c r="A253" s="260"/>
      <c r="B253" s="330" t="s">
        <v>231</v>
      </c>
      <c r="C253" s="381"/>
      <c r="D253" s="261"/>
      <c r="E253" s="382"/>
      <c r="F253" s="381"/>
      <c r="G253" s="381"/>
      <c r="H253" s="381"/>
      <c r="I253" s="381"/>
      <c r="J253" s="381"/>
      <c r="K253" s="381"/>
      <c r="L253" s="330">
        <v>9</v>
      </c>
      <c r="M253" s="382">
        <f t="shared" si="7"/>
        <v>0.140625</v>
      </c>
      <c r="N253" s="331">
        <v>2078</v>
      </c>
      <c r="O253" s="382">
        <f t="shared" si="8"/>
        <v>0.19691083104330523</v>
      </c>
      <c r="P253" s="354"/>
      <c r="Q253" s="264"/>
      <c r="R253" s="5"/>
    </row>
    <row r="254" spans="1:18" ht="15.6" x14ac:dyDescent="0.3">
      <c r="A254" s="260"/>
      <c r="B254" s="261" t="s">
        <v>129</v>
      </c>
      <c r="C254" s="261"/>
      <c r="D254" s="261"/>
      <c r="E254" s="261"/>
      <c r="F254" s="383"/>
      <c r="G254" s="383"/>
      <c r="H254" s="383"/>
      <c r="I254" s="383"/>
      <c r="J254" s="383"/>
      <c r="K254" s="383"/>
      <c r="L254" s="330">
        <f>SUM(L246:L253)</f>
        <v>64</v>
      </c>
      <c r="M254" s="382">
        <f>SUM(M246:M253)</f>
        <v>1</v>
      </c>
      <c r="N254" s="331">
        <f>SUM(N246:N253)</f>
        <v>10553</v>
      </c>
      <c r="O254" s="382">
        <f>SUM(O246:O253)</f>
        <v>1</v>
      </c>
      <c r="P254" s="261"/>
      <c r="Q254" s="264"/>
      <c r="R254" s="5"/>
    </row>
    <row r="255" spans="1:18" ht="15.6" x14ac:dyDescent="0.3">
      <c r="A255" s="183"/>
      <c r="B255" s="257"/>
      <c r="C255" s="257"/>
      <c r="D255" s="257"/>
      <c r="E255" s="257"/>
      <c r="F255" s="378"/>
      <c r="G255" s="378"/>
      <c r="H255" s="378"/>
      <c r="I255" s="378"/>
      <c r="J255" s="378"/>
      <c r="K255" s="378"/>
      <c r="L255" s="302"/>
      <c r="M255" s="379"/>
      <c r="N255" s="380"/>
      <c r="O255" s="379"/>
      <c r="P255" s="257"/>
      <c r="Q255" s="257"/>
      <c r="R255" s="5"/>
    </row>
    <row r="256" spans="1:18" ht="15.6" x14ac:dyDescent="0.3">
      <c r="A256" s="316"/>
      <c r="B256" s="393" t="s">
        <v>239</v>
      </c>
      <c r="C256" s="395"/>
      <c r="D256" s="400"/>
      <c r="E256" s="395"/>
      <c r="F256" s="395"/>
      <c r="G256" s="395"/>
      <c r="H256" s="395"/>
      <c r="I256" s="395"/>
      <c r="J256" s="395"/>
      <c r="K256" s="395"/>
      <c r="L256" s="400" t="s">
        <v>113</v>
      </c>
      <c r="M256" s="395" t="s">
        <v>114</v>
      </c>
      <c r="N256" s="400" t="s">
        <v>123</v>
      </c>
      <c r="O256" s="395" t="s">
        <v>114</v>
      </c>
      <c r="P256" s="320"/>
      <c r="Q256" s="321"/>
      <c r="R256" s="5"/>
    </row>
    <row r="257" spans="1:18" ht="15.6" x14ac:dyDescent="0.3">
      <c r="A257" s="198"/>
      <c r="B257" s="235" t="s">
        <v>98</v>
      </c>
      <c r="C257" s="309"/>
      <c r="D257" s="230"/>
      <c r="E257" s="309"/>
      <c r="F257" s="309"/>
      <c r="G257" s="309"/>
      <c r="H257" s="309"/>
      <c r="I257" s="309"/>
      <c r="J257" s="309"/>
      <c r="K257" s="309"/>
      <c r="L257" s="235">
        <v>0</v>
      </c>
      <c r="M257" s="310">
        <v>0</v>
      </c>
      <c r="N257" s="300">
        <v>0</v>
      </c>
      <c r="O257" s="310">
        <v>0</v>
      </c>
      <c r="P257" s="230"/>
      <c r="Q257" s="230"/>
      <c r="R257" s="5"/>
    </row>
    <row r="258" spans="1:18" ht="15.6" x14ac:dyDescent="0.3">
      <c r="A258" s="260"/>
      <c r="B258" s="330" t="s">
        <v>99</v>
      </c>
      <c r="C258" s="381"/>
      <c r="D258" s="261"/>
      <c r="E258" s="382"/>
      <c r="F258" s="381"/>
      <c r="G258" s="381"/>
      <c r="H258" s="381"/>
      <c r="I258" s="381"/>
      <c r="J258" s="381"/>
      <c r="K258" s="381"/>
      <c r="L258" s="330">
        <v>0</v>
      </c>
      <c r="M258" s="382">
        <v>0</v>
      </c>
      <c r="N258" s="331">
        <v>0</v>
      </c>
      <c r="O258" s="382">
        <v>0</v>
      </c>
      <c r="P258" s="261"/>
      <c r="Q258" s="264"/>
      <c r="R258" s="5"/>
    </row>
    <row r="259" spans="1:18" ht="15.6" x14ac:dyDescent="0.3">
      <c r="A259" s="260"/>
      <c r="B259" s="330" t="s">
        <v>100</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227</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228</v>
      </c>
      <c r="C261" s="381"/>
      <c r="D261" s="261"/>
      <c r="E261" s="382"/>
      <c r="F261" s="381"/>
      <c r="G261" s="381"/>
      <c r="H261" s="381"/>
      <c r="I261" s="381"/>
      <c r="J261" s="381"/>
      <c r="K261" s="381"/>
      <c r="L261" s="330">
        <v>1</v>
      </c>
      <c r="M261" s="382">
        <f>L261/L265</f>
        <v>0.5</v>
      </c>
      <c r="N261" s="331">
        <v>36</v>
      </c>
      <c r="O261" s="382">
        <f>N261/N265</f>
        <v>0.63157894736842102</v>
      </c>
      <c r="P261" s="261"/>
      <c r="Q261" s="264"/>
      <c r="R261" s="5"/>
    </row>
    <row r="262" spans="1:18" ht="15.6" x14ac:dyDescent="0.3">
      <c r="A262" s="260"/>
      <c r="B262" s="330" t="s">
        <v>229</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230</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231</v>
      </c>
      <c r="C264" s="381"/>
      <c r="D264" s="261"/>
      <c r="E264" s="382"/>
      <c r="F264" s="381"/>
      <c r="G264" s="381"/>
      <c r="H264" s="381"/>
      <c r="I264" s="381"/>
      <c r="J264" s="381"/>
      <c r="K264" s="381"/>
      <c r="L264" s="330">
        <v>1</v>
      </c>
      <c r="M264" s="382">
        <f>L264/L265</f>
        <v>0.5</v>
      </c>
      <c r="N264" s="331">
        <v>21</v>
      </c>
      <c r="O264" s="382">
        <f>N264/N265</f>
        <v>0.36842105263157893</v>
      </c>
      <c r="P264" s="261"/>
      <c r="Q264" s="264"/>
      <c r="R264" s="5"/>
    </row>
    <row r="265" spans="1:18" ht="15.6" x14ac:dyDescent="0.3">
      <c r="A265" s="260"/>
      <c r="B265" s="261" t="s">
        <v>129</v>
      </c>
      <c r="C265" s="261"/>
      <c r="D265" s="261"/>
      <c r="E265" s="261"/>
      <c r="F265" s="383"/>
      <c r="G265" s="383"/>
      <c r="H265" s="383"/>
      <c r="I265" s="383"/>
      <c r="J265" s="383"/>
      <c r="K265" s="383"/>
      <c r="L265" s="330">
        <f>SUM(L257:L264)</f>
        <v>2</v>
      </c>
      <c r="M265" s="382">
        <f>SUM(M257:M264)</f>
        <v>1</v>
      </c>
      <c r="N265" s="331">
        <f>SUM(N257:N264)</f>
        <v>57</v>
      </c>
      <c r="O265" s="382">
        <f>SUM(O257:O264)</f>
        <v>1</v>
      </c>
      <c r="P265" s="261"/>
      <c r="Q265" s="264"/>
      <c r="R265" s="5"/>
    </row>
    <row r="266" spans="1:18" ht="15.6" x14ac:dyDescent="0.3">
      <c r="A266" s="260"/>
      <c r="B266" s="261"/>
      <c r="C266" s="261"/>
      <c r="D266" s="261"/>
      <c r="E266" s="261"/>
      <c r="F266" s="383"/>
      <c r="G266" s="383"/>
      <c r="H266" s="383"/>
      <c r="I266" s="383"/>
      <c r="J266" s="383"/>
      <c r="K266" s="383"/>
      <c r="L266" s="330"/>
      <c r="M266" s="382"/>
      <c r="N266" s="331"/>
      <c r="O266" s="382"/>
      <c r="P266" s="261"/>
      <c r="Q266" s="264"/>
      <c r="R266" s="5"/>
    </row>
    <row r="267" spans="1:18" ht="15.6" x14ac:dyDescent="0.3">
      <c r="A267" s="260"/>
      <c r="B267" s="266" t="s">
        <v>240</v>
      </c>
      <c r="C267" s="261"/>
      <c r="D267" s="261"/>
      <c r="E267" s="261"/>
      <c r="F267" s="383"/>
      <c r="G267" s="383"/>
      <c r="H267" s="383"/>
      <c r="I267" s="383"/>
      <c r="J267" s="383"/>
      <c r="K267" s="383"/>
      <c r="L267" s="401">
        <f>+L243+L254+L265</f>
        <v>3520</v>
      </c>
      <c r="M267" s="382"/>
      <c r="N267" s="386">
        <f>+N265+N254+N243</f>
        <v>396916</v>
      </c>
      <c r="O267" s="382"/>
      <c r="P267" s="261"/>
      <c r="Q267" s="264"/>
      <c r="R267" s="5"/>
    </row>
    <row r="268" spans="1:18" ht="15.6" x14ac:dyDescent="0.3">
      <c r="A268" s="183"/>
      <c r="B268" s="257"/>
      <c r="C268" s="257"/>
      <c r="D268" s="257"/>
      <c r="E268" s="257"/>
      <c r="F268" s="378"/>
      <c r="G268" s="378"/>
      <c r="H268" s="378"/>
      <c r="I268" s="378"/>
      <c r="J268" s="378"/>
      <c r="K268" s="378"/>
      <c r="L268" s="378"/>
      <c r="M268" s="378"/>
      <c r="N268" s="380"/>
      <c r="O268" s="378"/>
      <c r="P268" s="257"/>
      <c r="Q268" s="257"/>
      <c r="R268" s="5"/>
    </row>
    <row r="269" spans="1:18" ht="15.6" x14ac:dyDescent="0.3">
      <c r="A269" s="183"/>
      <c r="B269" s="236"/>
      <c r="C269" s="236"/>
      <c r="D269" s="236"/>
      <c r="E269" s="236"/>
      <c r="F269" s="311"/>
      <c r="G269" s="311"/>
      <c r="H269" s="311"/>
      <c r="I269" s="311"/>
      <c r="J269" s="311"/>
      <c r="K269" s="311"/>
      <c r="L269" s="311"/>
      <c r="M269" s="311"/>
      <c r="N269" s="312"/>
      <c r="O269" s="311"/>
      <c r="P269" s="236"/>
      <c r="Q269" s="236"/>
      <c r="R269" s="5"/>
    </row>
    <row r="270" spans="1:18" ht="15.6" x14ac:dyDescent="0.3">
      <c r="A270" s="225"/>
      <c r="B270" s="228" t="s">
        <v>102</v>
      </c>
      <c r="C270" s="236"/>
      <c r="D270" s="236"/>
      <c r="E270" s="236"/>
      <c r="F270" s="246" t="s">
        <v>108</v>
      </c>
      <c r="G270" s="236"/>
      <c r="H270" s="228" t="s">
        <v>110</v>
      </c>
      <c r="I270" s="249"/>
      <c r="J270" s="249"/>
      <c r="K270" s="249"/>
      <c r="L270" s="249"/>
      <c r="M270" s="249"/>
      <c r="N270" s="249"/>
      <c r="O270" s="249"/>
      <c r="P270" s="249"/>
      <c r="Q270" s="249"/>
      <c r="R270" s="5"/>
    </row>
    <row r="271" spans="1:18" ht="15.6" x14ac:dyDescent="0.3">
      <c r="A271" s="225"/>
      <c r="B271" s="249"/>
      <c r="C271" s="236"/>
      <c r="D271" s="236"/>
      <c r="E271" s="236"/>
      <c r="F271" s="236"/>
      <c r="G271" s="236"/>
      <c r="H271" s="236"/>
      <c r="I271" s="249"/>
      <c r="J271" s="249"/>
      <c r="K271" s="249"/>
      <c r="L271" s="249"/>
      <c r="M271" s="249"/>
      <c r="N271" s="249"/>
      <c r="O271" s="249"/>
      <c r="P271" s="249"/>
      <c r="Q271" s="249"/>
      <c r="R271" s="5"/>
    </row>
    <row r="272" spans="1:18" ht="15.6" x14ac:dyDescent="0.3">
      <c r="A272" s="225"/>
      <c r="B272" s="228" t="s">
        <v>103</v>
      </c>
      <c r="C272" s="228"/>
      <c r="D272" s="228"/>
      <c r="E272" s="228"/>
      <c r="F272" s="313" t="s">
        <v>212</v>
      </c>
      <c r="G272" s="228"/>
      <c r="H272" s="228" t="s">
        <v>222</v>
      </c>
      <c r="I272" s="249"/>
      <c r="J272" s="249"/>
      <c r="K272" s="249"/>
      <c r="L272" s="249"/>
      <c r="M272" s="249"/>
      <c r="N272" s="249"/>
      <c r="O272" s="249"/>
      <c r="P272" s="249"/>
      <c r="Q272" s="249"/>
      <c r="R272" s="5"/>
    </row>
    <row r="273" spans="1:18" ht="15.6" x14ac:dyDescent="0.3">
      <c r="A273" s="225"/>
      <c r="B273" s="228" t="s">
        <v>263</v>
      </c>
      <c r="C273" s="228"/>
      <c r="D273" s="228"/>
      <c r="E273" s="228"/>
      <c r="F273" s="313" t="s">
        <v>264</v>
      </c>
      <c r="G273" s="228"/>
      <c r="H273" s="228" t="s">
        <v>265</v>
      </c>
      <c r="I273" s="249"/>
      <c r="J273" s="249"/>
      <c r="K273" s="249"/>
      <c r="L273" s="249"/>
      <c r="M273" s="249"/>
      <c r="N273" s="249"/>
      <c r="O273" s="249"/>
      <c r="P273" s="249"/>
      <c r="Q273" s="249"/>
      <c r="R273" s="5"/>
    </row>
    <row r="274" spans="1:18" ht="15.6" x14ac:dyDescent="0.3">
      <c r="A274" s="225"/>
      <c r="B274" s="228" t="s">
        <v>104</v>
      </c>
      <c r="C274" s="228"/>
      <c r="D274" s="228"/>
      <c r="E274" s="228"/>
      <c r="F274" s="313" t="s">
        <v>211</v>
      </c>
      <c r="G274" s="228"/>
      <c r="H274" s="228" t="s">
        <v>223</v>
      </c>
      <c r="I274" s="249"/>
      <c r="J274" s="249"/>
      <c r="K274" s="249"/>
      <c r="L274" s="249"/>
      <c r="M274" s="249"/>
      <c r="N274" s="249"/>
      <c r="O274" s="249"/>
      <c r="P274" s="249"/>
      <c r="Q274" s="249"/>
      <c r="R274" s="5"/>
    </row>
    <row r="275" spans="1:18" ht="15.6" x14ac:dyDescent="0.3">
      <c r="A275" s="225"/>
      <c r="B275" s="228"/>
      <c r="C275" s="228"/>
      <c r="D275" s="228"/>
      <c r="E275" s="314"/>
      <c r="F275" s="249"/>
      <c r="G275" s="249"/>
      <c r="H275" s="249"/>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8" thickBot="1" x14ac:dyDescent="0.35">
      <c r="A277" s="225"/>
      <c r="B277" s="315" t="str">
        <f>B184</f>
        <v>PM7 INVESTOR REPORT QUARTER ENDING JULY 2011</v>
      </c>
      <c r="C277" s="228"/>
      <c r="D277" s="228"/>
      <c r="E277" s="314"/>
      <c r="F277" s="249"/>
      <c r="G277" s="249"/>
      <c r="H277" s="249"/>
      <c r="I277" s="249"/>
      <c r="J277" s="249"/>
      <c r="K277" s="249"/>
      <c r="L277" s="249"/>
      <c r="M277" s="249"/>
      <c r="N277" s="249"/>
      <c r="O277" s="249"/>
      <c r="P277" s="249"/>
      <c r="Q277" s="24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phoneticPr fontId="0" type="noConversion"/>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7" man="1"/>
    <brk id="132" max="14" man="1"/>
    <brk id="184" max="14"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0.95789999999999997</v>
      </c>
      <c r="N17" s="246" t="s">
        <v>173</v>
      </c>
      <c r="O17" s="245">
        <v>4.2099999999999999E-2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40865</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292</v>
      </c>
      <c r="E28" s="392"/>
      <c r="F28" s="392" t="s">
        <v>292</v>
      </c>
      <c r="G28" s="392"/>
      <c r="H28" s="392" t="s">
        <v>292</v>
      </c>
      <c r="I28" s="392"/>
      <c r="J28" s="392" t="s">
        <v>262</v>
      </c>
      <c r="K28" s="392"/>
      <c r="L28" s="392" t="s">
        <v>262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176230.125</v>
      </c>
      <c r="E34" s="271"/>
      <c r="F34" s="272">
        <f>+F33*F40</f>
        <v>86131.891999999993</v>
      </c>
      <c r="G34" s="271"/>
      <c r="H34" s="273">
        <f>+H33*H40</f>
        <v>195823.69999999998</v>
      </c>
      <c r="I34" s="271"/>
      <c r="J34" s="270">
        <f>J33*J40</f>
        <v>72712.001999999993</v>
      </c>
      <c r="K34" s="271"/>
      <c r="L34" s="273">
        <f>L33*L40</f>
        <v>57288.217999999993</v>
      </c>
      <c r="M34" s="271"/>
      <c r="N34" s="271"/>
      <c r="O34" s="274"/>
      <c r="P34" s="271"/>
      <c r="Q34" s="275"/>
      <c r="R34" s="5"/>
    </row>
    <row r="35" spans="1:19" ht="15.6" x14ac:dyDescent="0.3">
      <c r="A35" s="265"/>
      <c r="B35" s="266" t="s">
        <v>158</v>
      </c>
      <c r="C35" s="276"/>
      <c r="D35" s="277">
        <f>+D33*D39</f>
        <v>174633.79500000001</v>
      </c>
      <c r="E35" s="278"/>
      <c r="F35" s="279">
        <f>+F33*F39</f>
        <v>85351.728000000003</v>
      </c>
      <c r="G35" s="278"/>
      <c r="H35" s="280">
        <f>+H33*H39</f>
        <v>194049.9</v>
      </c>
      <c r="I35" s="278"/>
      <c r="J35" s="277">
        <f>J33*J39</f>
        <v>72053.354999999996</v>
      </c>
      <c r="K35" s="278"/>
      <c r="L35" s="280">
        <f>L33*L39</f>
        <v>56769.284</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99061.340640809445</v>
      </c>
      <c r="E37" s="271"/>
      <c r="F37" s="271">
        <f>+F34</f>
        <v>86131.891999999993</v>
      </c>
      <c r="G37" s="271"/>
      <c r="H37" s="271">
        <f>+H34/1.481481</f>
        <v>132181.04045883814</v>
      </c>
      <c r="I37" s="271"/>
      <c r="J37" s="271">
        <f>J36*J40</f>
        <v>40872.0773424</v>
      </c>
      <c r="K37" s="271"/>
      <c r="L37" s="271">
        <f>L36*L40</f>
        <v>38669.547149999999</v>
      </c>
      <c r="M37" s="271"/>
      <c r="N37" s="271"/>
      <c r="O37" s="274"/>
      <c r="P37" s="271">
        <f>SUM(C37:L37)</f>
        <v>396915.89759204758</v>
      </c>
      <c r="Q37" s="275"/>
      <c r="R37" s="5"/>
      <c r="S37" s="154"/>
    </row>
    <row r="38" spans="1:19" ht="15.6" x14ac:dyDescent="0.3">
      <c r="A38" s="265"/>
      <c r="B38" s="266" t="s">
        <v>281</v>
      </c>
      <c r="C38" s="276"/>
      <c r="D38" s="278">
        <f>D35/1.779</f>
        <v>98164.021922428336</v>
      </c>
      <c r="E38" s="278"/>
      <c r="F38" s="278">
        <f>+F35</f>
        <v>85351.728000000003</v>
      </c>
      <c r="G38" s="278"/>
      <c r="H38" s="278">
        <f>H35/1.481481</f>
        <v>130983.72506971064</v>
      </c>
      <c r="I38" s="278"/>
      <c r="J38" s="278">
        <f>J36*J39</f>
        <v>40501.845875999999</v>
      </c>
      <c r="K38" s="278"/>
      <c r="L38" s="278">
        <f>L36*L39</f>
        <v>38319.2667</v>
      </c>
      <c r="M38" s="278"/>
      <c r="N38" s="278"/>
      <c r="O38" s="281"/>
      <c r="P38" s="278">
        <f>SUM(D38:L38)</f>
        <v>393320.58756813896</v>
      </c>
      <c r="Q38" s="275"/>
      <c r="R38" s="5"/>
      <c r="S38" s="176"/>
    </row>
    <row r="39" spans="1:19" ht="15.6" x14ac:dyDescent="0.3">
      <c r="A39" s="265"/>
      <c r="B39" s="282" t="s">
        <v>154</v>
      </c>
      <c r="C39" s="283"/>
      <c r="D39" s="284">
        <v>0.38807510000000001</v>
      </c>
      <c r="E39" s="284"/>
      <c r="F39" s="284">
        <v>0.38796239999999999</v>
      </c>
      <c r="G39" s="284"/>
      <c r="H39" s="284">
        <v>0.38809979999999999</v>
      </c>
      <c r="I39" s="284"/>
      <c r="J39" s="284">
        <v>0.87337399999999998</v>
      </c>
      <c r="K39" s="284"/>
      <c r="L39" s="284">
        <v>0.87337359999999997</v>
      </c>
      <c r="M39" s="285"/>
      <c r="N39" s="285"/>
      <c r="O39" s="286"/>
      <c r="P39" s="285"/>
      <c r="Q39" s="287"/>
      <c r="R39" s="5"/>
    </row>
    <row r="40" spans="1:19" ht="15.6" x14ac:dyDescent="0.3">
      <c r="A40" s="265"/>
      <c r="B40" s="282" t="s">
        <v>155</v>
      </c>
      <c r="C40" s="283"/>
      <c r="D40" s="284">
        <v>0.39162249999999998</v>
      </c>
      <c r="E40" s="284"/>
      <c r="F40" s="284">
        <v>0.39150859999999998</v>
      </c>
      <c r="G40" s="284"/>
      <c r="H40" s="284">
        <v>0.39164739999999998</v>
      </c>
      <c r="I40" s="284"/>
      <c r="J40" s="284">
        <v>0.88135759999999996</v>
      </c>
      <c r="K40" s="284"/>
      <c r="L40" s="284">
        <v>0.88135719999999995</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7.0616999999999997E-3</v>
      </c>
      <c r="E42" s="290"/>
      <c r="F42" s="289">
        <v>1.27219E-2</v>
      </c>
      <c r="G42" s="290"/>
      <c r="H42" s="289">
        <v>1.9550000000000001E-2</v>
      </c>
      <c r="I42" s="290"/>
      <c r="J42" s="289">
        <v>1.7861700000000001E-2</v>
      </c>
      <c r="K42" s="290"/>
      <c r="L42" s="289">
        <v>3.0349999999999999E-2</v>
      </c>
      <c r="M42" s="290"/>
      <c r="N42" s="289"/>
      <c r="O42" s="263"/>
      <c r="P42" s="290"/>
      <c r="Q42" s="264"/>
      <c r="R42" s="5"/>
    </row>
    <row r="43" spans="1:19" ht="15.6" x14ac:dyDescent="0.3">
      <c r="A43" s="260"/>
      <c r="B43" s="261" t="s">
        <v>14</v>
      </c>
      <c r="C43" s="261"/>
      <c r="D43" s="289">
        <v>6.8075000000000002E-3</v>
      </c>
      <c r="E43" s="290"/>
      <c r="F43" s="289">
        <v>1.2418800000000001E-2</v>
      </c>
      <c r="G43" s="290"/>
      <c r="H43" s="289">
        <v>1.84E-2</v>
      </c>
      <c r="I43" s="290"/>
      <c r="J43" s="289">
        <v>1.7607500000000002E-2</v>
      </c>
      <c r="K43" s="290"/>
      <c r="L43" s="289">
        <v>2.92E-2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1.4611900000000001E-2</v>
      </c>
      <c r="E45" s="290"/>
      <c r="F45" s="289">
        <f>+F42</f>
        <v>1.27219E-2</v>
      </c>
      <c r="G45" s="290"/>
      <c r="H45" s="289">
        <v>1.43719E-2</v>
      </c>
      <c r="I45" s="290"/>
      <c r="J45" s="289">
        <v>2.6871900000000001E-2</v>
      </c>
      <c r="K45" s="290"/>
      <c r="L45" s="289">
        <v>2.6871900000000001E-2</v>
      </c>
      <c r="M45" s="290"/>
      <c r="N45" s="289"/>
      <c r="O45" s="263"/>
      <c r="P45" s="290">
        <f>SUMPRODUCT(D45:L45,D37:L37)/P37</f>
        <v>1.6578733768621373E-2</v>
      </c>
      <c r="Q45" s="264"/>
      <c r="R45" s="5"/>
    </row>
    <row r="46" spans="1:19" ht="15.6" x14ac:dyDescent="0.3">
      <c r="A46" s="260"/>
      <c r="B46" s="261" t="s">
        <v>283</v>
      </c>
      <c r="C46" s="261"/>
      <c r="D46" s="289">
        <v>1.43088E-2</v>
      </c>
      <c r="E46" s="290"/>
      <c r="F46" s="289">
        <f>+F43</f>
        <v>1.2418800000000001E-2</v>
      </c>
      <c r="G46" s="290"/>
      <c r="H46" s="289">
        <v>1.4068799999999999E-2</v>
      </c>
      <c r="I46" s="290"/>
      <c r="J46" s="289">
        <v>2.65688E-2</v>
      </c>
      <c r="K46" s="290"/>
      <c r="L46" s="289">
        <v>2.65688E-2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0.25062398777603734</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40862</v>
      </c>
      <c r="Q57" s="264"/>
      <c r="R57" s="5"/>
    </row>
    <row r="58" spans="1:18" ht="15.6" x14ac:dyDescent="0.3">
      <c r="A58" s="260"/>
      <c r="B58" s="261" t="s">
        <v>142</v>
      </c>
      <c r="C58" s="261"/>
      <c r="D58" s="261"/>
      <c r="E58" s="261"/>
      <c r="F58" s="297"/>
      <c r="G58" s="297"/>
      <c r="H58" s="297"/>
      <c r="I58" s="297"/>
      <c r="J58" s="297"/>
      <c r="K58" s="297"/>
      <c r="L58" s="261">
        <f>+P58-N58+1</f>
        <v>91</v>
      </c>
      <c r="M58" s="297"/>
      <c r="N58" s="298">
        <v>40679</v>
      </c>
      <c r="O58" s="299"/>
      <c r="P58" s="298">
        <v>40769</v>
      </c>
      <c r="Q58" s="264"/>
      <c r="R58" s="5"/>
    </row>
    <row r="59" spans="1:18" ht="15.6" x14ac:dyDescent="0.3">
      <c r="A59" s="260"/>
      <c r="B59" s="261" t="s">
        <v>143</v>
      </c>
      <c r="C59" s="261"/>
      <c r="D59" s="261"/>
      <c r="E59" s="261"/>
      <c r="F59" s="261"/>
      <c r="G59" s="261"/>
      <c r="H59" s="261"/>
      <c r="I59" s="261"/>
      <c r="J59" s="261"/>
      <c r="K59" s="261"/>
      <c r="L59" s="261">
        <f>+P59-N59+1</f>
        <v>92</v>
      </c>
      <c r="M59" s="261"/>
      <c r="N59" s="298">
        <v>40770</v>
      </c>
      <c r="O59" s="299"/>
      <c r="P59" s="298">
        <v>40861</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40848</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296</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396916</v>
      </c>
      <c r="I69" s="330"/>
      <c r="J69" s="330">
        <f>3595+62+11</f>
        <v>3668</v>
      </c>
      <c r="K69" s="330"/>
      <c r="L69" s="330">
        <f>62+11</f>
        <v>73</v>
      </c>
      <c r="M69" s="330"/>
      <c r="N69" s="330">
        <v>0</v>
      </c>
      <c r="O69" s="330"/>
      <c r="P69" s="331">
        <f>+H69-J69+L69-N69</f>
        <v>393321</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396916</v>
      </c>
      <c r="I72" s="330"/>
      <c r="J72" s="330">
        <f>SUM(J69:J71)</f>
        <v>3668</v>
      </c>
      <c r="K72" s="330"/>
      <c r="L72" s="330">
        <f>SUM(L69:L71)</f>
        <v>73</v>
      </c>
      <c r="M72" s="330"/>
      <c r="N72" s="330">
        <f>SUM(N69:N71)</f>
        <v>0</v>
      </c>
      <c r="O72" s="330"/>
      <c r="P72" s="330">
        <f>SUM(P69:P71)</f>
        <v>393321</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+N129</f>
        <v>0</v>
      </c>
      <c r="Q85" s="264"/>
      <c r="R85" s="5"/>
    </row>
    <row r="86" spans="1:18" ht="15.6" x14ac:dyDescent="0.3">
      <c r="A86" s="260"/>
      <c r="B86" s="261" t="s">
        <v>30</v>
      </c>
      <c r="C86" s="330"/>
      <c r="D86" s="330"/>
      <c r="E86" s="330"/>
      <c r="F86" s="330">
        <f>SUM(F72:F85)</f>
        <v>900700</v>
      </c>
      <c r="G86" s="330"/>
      <c r="H86" s="330">
        <f>SUM(H72:H85)</f>
        <v>396916</v>
      </c>
      <c r="I86" s="330"/>
      <c r="J86" s="330">
        <f>SUM(J72:J85)</f>
        <v>3668</v>
      </c>
      <c r="K86" s="330"/>
      <c r="L86" s="330">
        <f>SUM(L72:L85)</f>
        <v>73</v>
      </c>
      <c r="M86" s="330"/>
      <c r="N86" s="330"/>
      <c r="O86" s="330"/>
      <c r="P86" s="330">
        <f>SUM(P72:P85)</f>
        <v>393321</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40847</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3668-402</f>
        <v>3266</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3170+164-733-53</f>
        <v>2548</v>
      </c>
      <c r="Q92" s="264"/>
      <c r="R92" s="5"/>
    </row>
    <row r="93" spans="1:18" ht="15.6" x14ac:dyDescent="0.3">
      <c r="A93" s="260"/>
      <c r="B93" s="261" t="s">
        <v>249</v>
      </c>
      <c r="C93" s="261"/>
      <c r="D93" s="261"/>
      <c r="E93" s="261"/>
      <c r="F93" s="292"/>
      <c r="G93" s="332"/>
      <c r="H93" s="333"/>
      <c r="I93" s="261"/>
      <c r="J93" s="261"/>
      <c r="K93" s="261"/>
      <c r="L93" s="261"/>
      <c r="M93" s="261"/>
      <c r="N93" s="330"/>
      <c r="O93" s="261"/>
      <c r="P93" s="331">
        <f>140+1</f>
        <v>141</v>
      </c>
      <c r="Q93" s="264"/>
      <c r="R93" s="5"/>
    </row>
    <row r="94" spans="1:18" ht="15.6" x14ac:dyDescent="0.3">
      <c r="A94" s="260"/>
      <c r="B94" s="261" t="s">
        <v>250</v>
      </c>
      <c r="C94" s="261"/>
      <c r="D94" s="261"/>
      <c r="E94" s="261"/>
      <c r="F94" s="292"/>
      <c r="G94" s="332"/>
      <c r="H94" s="333"/>
      <c r="I94" s="261"/>
      <c r="J94" s="261"/>
      <c r="K94" s="261"/>
      <c r="L94" s="261"/>
      <c r="M94" s="261"/>
      <c r="N94" s="330"/>
      <c r="O94" s="261"/>
      <c r="P94" s="331">
        <v>37</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206</v>
      </c>
      <c r="Q97" s="264"/>
      <c r="R97" s="5"/>
    </row>
    <row r="98" spans="1:19" ht="15.6" x14ac:dyDescent="0.3">
      <c r="A98" s="260"/>
      <c r="B98" s="261" t="s">
        <v>35</v>
      </c>
      <c r="C98" s="261"/>
      <c r="D98" s="261"/>
      <c r="E98" s="261"/>
      <c r="F98" s="261"/>
      <c r="G98" s="261"/>
      <c r="H98" s="261"/>
      <c r="I98" s="261"/>
      <c r="J98" s="261"/>
      <c r="K98" s="261"/>
      <c r="L98" s="261"/>
      <c r="M98" s="261"/>
      <c r="N98" s="330">
        <f>SUM(N90:N97)</f>
        <v>3266</v>
      </c>
      <c r="O98" s="261"/>
      <c r="P98" s="330">
        <f>SUM(P90:P97)</f>
        <v>2932</v>
      </c>
      <c r="Q98" s="264"/>
      <c r="R98" s="5"/>
    </row>
    <row r="99" spans="1:19" ht="15.6" x14ac:dyDescent="0.3">
      <c r="A99" s="260"/>
      <c r="B99" s="261" t="s">
        <v>237</v>
      </c>
      <c r="C99" s="261"/>
      <c r="D99" s="261"/>
      <c r="E99" s="261"/>
      <c r="F99" s="261"/>
      <c r="G99" s="261"/>
      <c r="H99" s="261"/>
      <c r="I99" s="261"/>
      <c r="J99" s="261"/>
      <c r="K99" s="261"/>
      <c r="L99" s="261"/>
      <c r="M99" s="261"/>
      <c r="N99" s="330">
        <v>-1</v>
      </c>
      <c r="O99" s="261"/>
      <c r="P99" s="330">
        <f>-N99</f>
        <v>1</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64</v>
      </c>
      <c r="Q101" s="264"/>
      <c r="R101" s="5"/>
    </row>
    <row r="102" spans="1:19" ht="15.6" x14ac:dyDescent="0.3">
      <c r="A102" s="260"/>
      <c r="B102" s="261" t="s">
        <v>37</v>
      </c>
      <c r="C102" s="261"/>
      <c r="D102" s="261"/>
      <c r="E102" s="261"/>
      <c r="F102" s="261"/>
      <c r="G102" s="261"/>
      <c r="H102" s="261"/>
      <c r="I102" s="261"/>
      <c r="J102" s="261"/>
      <c r="K102" s="261"/>
      <c r="L102" s="261"/>
      <c r="M102" s="261"/>
      <c r="N102" s="330">
        <f>N98+N100+N99</f>
        <v>3265</v>
      </c>
      <c r="O102" s="261"/>
      <c r="P102" s="330">
        <f>P98+P100+P99+P101</f>
        <v>2997</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40</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226</v>
      </c>
      <c r="C106" s="261"/>
      <c r="D106" s="261"/>
      <c r="E106" s="261"/>
      <c r="F106" s="261"/>
      <c r="G106" s="261"/>
      <c r="H106" s="261"/>
      <c r="I106" s="261"/>
      <c r="J106" s="261"/>
      <c r="K106" s="261"/>
      <c r="L106" s="261"/>
      <c r="M106" s="261"/>
      <c r="N106" s="261"/>
      <c r="O106" s="261"/>
      <c r="P106" s="331">
        <f>-100-113-5</f>
        <v>-218</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-46</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-365</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-276</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-479</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-277</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-262</v>
      </c>
      <c r="Q112" s="264"/>
      <c r="R112" s="5"/>
      <c r="S112" s="109"/>
    </row>
    <row r="113" spans="1:18" ht="15.6" x14ac:dyDescent="0.3">
      <c r="A113" s="339">
        <v>6</v>
      </c>
      <c r="B113" s="261" t="s">
        <v>41</v>
      </c>
      <c r="C113" s="261"/>
      <c r="D113" s="261"/>
      <c r="E113" s="261"/>
      <c r="F113" s="261"/>
      <c r="G113" s="261"/>
      <c r="H113" s="261"/>
      <c r="I113" s="261"/>
      <c r="J113" s="261"/>
      <c r="K113" s="261"/>
      <c r="L113" s="261"/>
      <c r="M113" s="261"/>
      <c r="N113" s="261"/>
      <c r="O113" s="261"/>
      <c r="P113" s="331">
        <v>-10</v>
      </c>
      <c r="Q113" s="264"/>
      <c r="R113" s="5"/>
    </row>
    <row r="114" spans="1:18" ht="15.6" x14ac:dyDescent="0.3">
      <c r="A114" s="339">
        <f t="shared" ref="A114:A119" si="0">+A113+1</f>
        <v>7</v>
      </c>
      <c r="B114" s="261" t="s">
        <v>53</v>
      </c>
      <c r="C114" s="261"/>
      <c r="D114" s="261"/>
      <c r="E114" s="261"/>
      <c r="F114" s="261"/>
      <c r="G114" s="261"/>
      <c r="H114" s="261"/>
      <c r="I114" s="261"/>
      <c r="J114" s="261"/>
      <c r="K114" s="261"/>
      <c r="L114" s="261"/>
      <c r="M114" s="261"/>
      <c r="N114" s="330">
        <f>-P114</f>
        <v>402</v>
      </c>
      <c r="O114" s="261"/>
      <c r="P114" s="331">
        <v>-402</v>
      </c>
      <c r="Q114" s="264"/>
      <c r="R114" s="5"/>
    </row>
    <row r="115" spans="1:18" ht="15.6" x14ac:dyDescent="0.3">
      <c r="A115" s="339">
        <f t="shared" si="0"/>
        <v>8</v>
      </c>
      <c r="B115" s="261" t="s">
        <v>149</v>
      </c>
      <c r="C115" s="261"/>
      <c r="D115" s="261"/>
      <c r="E115" s="261"/>
      <c r="F115" s="261"/>
      <c r="G115" s="261"/>
      <c r="H115" s="261"/>
      <c r="I115" s="261"/>
      <c r="J115" s="261"/>
      <c r="K115" s="261"/>
      <c r="L115" s="261"/>
      <c r="M115" s="261"/>
      <c r="N115" s="261"/>
      <c r="O115" s="261"/>
      <c r="P115" s="331">
        <v>0</v>
      </c>
      <c r="Q115" s="264"/>
      <c r="R115" s="5"/>
    </row>
    <row r="116" spans="1:18" ht="15.6" x14ac:dyDescent="0.3">
      <c r="A116" s="339">
        <f t="shared" si="0"/>
        <v>9</v>
      </c>
      <c r="B116" s="261" t="s">
        <v>42</v>
      </c>
      <c r="C116" s="261"/>
      <c r="D116" s="261"/>
      <c r="E116" s="261"/>
      <c r="F116" s="261"/>
      <c r="G116" s="261"/>
      <c r="H116" s="261"/>
      <c r="I116" s="261"/>
      <c r="J116" s="261"/>
      <c r="K116" s="261"/>
      <c r="L116" s="261"/>
      <c r="M116" s="261"/>
      <c r="N116" s="261"/>
      <c r="O116" s="261"/>
      <c r="P116" s="331">
        <v>0</v>
      </c>
      <c r="Q116" s="264"/>
      <c r="R116" s="5"/>
    </row>
    <row r="117" spans="1:18" ht="15.6" x14ac:dyDescent="0.3">
      <c r="A117" s="339">
        <f t="shared" si="0"/>
        <v>10</v>
      </c>
      <c r="B117" s="261" t="s">
        <v>43</v>
      </c>
      <c r="C117" s="261"/>
      <c r="D117" s="261"/>
      <c r="E117" s="261"/>
      <c r="F117" s="261"/>
      <c r="G117" s="261"/>
      <c r="H117" s="261"/>
      <c r="I117" s="261"/>
      <c r="J117" s="261"/>
      <c r="K117" s="261"/>
      <c r="L117" s="261"/>
      <c r="M117" s="261"/>
      <c r="N117" s="261"/>
      <c r="O117" s="261"/>
      <c r="P117" s="331">
        <v>0</v>
      </c>
      <c r="Q117" s="264"/>
      <c r="R117" s="5"/>
    </row>
    <row r="118" spans="1:18" ht="15.6" x14ac:dyDescent="0.3">
      <c r="A118" s="339">
        <f t="shared" si="0"/>
        <v>11</v>
      </c>
      <c r="B118" s="261" t="s">
        <v>215</v>
      </c>
      <c r="C118" s="261"/>
      <c r="D118" s="261"/>
      <c r="E118" s="261"/>
      <c r="F118" s="261"/>
      <c r="G118" s="261"/>
      <c r="H118" s="261"/>
      <c r="I118" s="261"/>
      <c r="J118" s="261"/>
      <c r="K118" s="261"/>
      <c r="L118" s="261"/>
      <c r="M118" s="261"/>
      <c r="N118" s="261"/>
      <c r="O118" s="261"/>
      <c r="P118" s="331">
        <v>-204</v>
      </c>
      <c r="Q118" s="264"/>
      <c r="R118" s="5"/>
    </row>
    <row r="119" spans="1:18" ht="15.6" x14ac:dyDescent="0.3">
      <c r="A119" s="339">
        <f t="shared" si="0"/>
        <v>12</v>
      </c>
      <c r="B119" s="261" t="s">
        <v>150</v>
      </c>
      <c r="C119" s="261"/>
      <c r="D119" s="261"/>
      <c r="E119" s="261"/>
      <c r="F119" s="261"/>
      <c r="G119" s="261"/>
      <c r="H119" s="261"/>
      <c r="I119" s="261"/>
      <c r="J119" s="261"/>
      <c r="K119" s="261"/>
      <c r="L119" s="261"/>
      <c r="M119" s="261"/>
      <c r="N119" s="261"/>
      <c r="O119" s="261"/>
      <c r="P119" s="331">
        <f>-P102-SUM(P104:P118)</f>
        <v>-456</v>
      </c>
      <c r="Q119" s="264"/>
      <c r="R119" s="5"/>
    </row>
    <row r="120" spans="1:18" ht="15.6" x14ac:dyDescent="0.3">
      <c r="A120" s="260"/>
      <c r="B120" s="334" t="s">
        <v>44</v>
      </c>
      <c r="C120" s="335"/>
      <c r="D120" s="335"/>
      <c r="E120" s="335"/>
      <c r="F120" s="335"/>
      <c r="G120" s="335"/>
      <c r="H120" s="335"/>
      <c r="I120" s="335"/>
      <c r="J120" s="335"/>
      <c r="K120" s="335"/>
      <c r="L120" s="335"/>
      <c r="M120" s="335"/>
      <c r="N120" s="335"/>
      <c r="O120" s="335"/>
      <c r="P120" s="340"/>
      <c r="Q120" s="338"/>
      <c r="R120" s="5"/>
    </row>
    <row r="121" spans="1:18" ht="15.6" x14ac:dyDescent="0.3">
      <c r="A121" s="339"/>
      <c r="B121" s="261" t="s">
        <v>45</v>
      </c>
      <c r="C121" s="261"/>
      <c r="D121" s="261"/>
      <c r="E121" s="261"/>
      <c r="F121" s="261"/>
      <c r="G121" s="261"/>
      <c r="H121" s="261"/>
      <c r="I121" s="261"/>
      <c r="J121" s="261"/>
      <c r="K121" s="261"/>
      <c r="L121" s="261"/>
      <c r="M121" s="261"/>
      <c r="N121" s="330">
        <v>0</v>
      </c>
      <c r="O121" s="330"/>
      <c r="P121" s="331"/>
      <c r="Q121" s="264"/>
      <c r="R121" s="5"/>
    </row>
    <row r="122" spans="1:18" ht="15.6" x14ac:dyDescent="0.3">
      <c r="A122" s="339"/>
      <c r="B122" s="261" t="s">
        <v>46</v>
      </c>
      <c r="C122" s="261"/>
      <c r="D122" s="261"/>
      <c r="E122" s="261"/>
      <c r="F122" s="261"/>
      <c r="G122" s="261"/>
      <c r="H122" s="261"/>
      <c r="I122" s="261"/>
      <c r="J122" s="261"/>
      <c r="K122" s="261"/>
      <c r="L122" s="261"/>
      <c r="M122" s="261"/>
      <c r="N122" s="330">
        <f>-M171</f>
        <v>-72</v>
      </c>
      <c r="O122" s="330"/>
      <c r="P122" s="331"/>
      <c r="Q122" s="264"/>
      <c r="R122" s="5"/>
    </row>
    <row r="123" spans="1:18" ht="15.6" x14ac:dyDescent="0.3">
      <c r="A123" s="339"/>
      <c r="B123" s="261" t="s">
        <v>199</v>
      </c>
      <c r="C123" s="261"/>
      <c r="D123" s="261"/>
      <c r="E123" s="261"/>
      <c r="F123" s="261"/>
      <c r="G123" s="261"/>
      <c r="H123" s="261"/>
      <c r="I123" s="261"/>
      <c r="J123" s="261"/>
      <c r="K123" s="261"/>
      <c r="L123" s="261"/>
      <c r="M123" s="261"/>
      <c r="N123" s="330">
        <v>-898</v>
      </c>
      <c r="O123" s="330"/>
      <c r="P123" s="331"/>
      <c r="Q123" s="264"/>
      <c r="R123" s="5"/>
    </row>
    <row r="124" spans="1:18" ht="15.6" x14ac:dyDescent="0.3">
      <c r="A124" s="339"/>
      <c r="B124" s="261" t="s">
        <v>200</v>
      </c>
      <c r="C124" s="261"/>
      <c r="D124" s="261"/>
      <c r="E124" s="261"/>
      <c r="F124" s="261"/>
      <c r="G124" s="261"/>
      <c r="H124" s="261"/>
      <c r="I124" s="261"/>
      <c r="J124" s="261"/>
      <c r="K124" s="261"/>
      <c r="L124" s="261"/>
      <c r="M124" s="261"/>
      <c r="N124" s="330">
        <v>-780</v>
      </c>
      <c r="O124" s="330"/>
      <c r="P124" s="331"/>
      <c r="Q124" s="264"/>
      <c r="R124" s="5"/>
    </row>
    <row r="125" spans="1:18" ht="15.6" x14ac:dyDescent="0.3">
      <c r="A125" s="339"/>
      <c r="B125" s="261" t="s">
        <v>201</v>
      </c>
      <c r="C125" s="261"/>
      <c r="D125" s="261"/>
      <c r="E125" s="261"/>
      <c r="F125" s="261"/>
      <c r="G125" s="261"/>
      <c r="H125" s="261"/>
      <c r="I125" s="261"/>
      <c r="J125" s="261"/>
      <c r="K125" s="261"/>
      <c r="L125" s="261"/>
      <c r="M125" s="261"/>
      <c r="N125" s="330">
        <v>-1197</v>
      </c>
      <c r="O125" s="330"/>
      <c r="P125" s="331"/>
      <c r="Q125" s="264"/>
      <c r="R125" s="5"/>
    </row>
    <row r="126" spans="1:18" ht="15.6" x14ac:dyDescent="0.3">
      <c r="A126" s="339"/>
      <c r="B126" s="261" t="s">
        <v>159</v>
      </c>
      <c r="C126" s="261"/>
      <c r="D126" s="261"/>
      <c r="E126" s="261"/>
      <c r="F126" s="261"/>
      <c r="G126" s="261"/>
      <c r="H126" s="261"/>
      <c r="I126" s="261"/>
      <c r="J126" s="261"/>
      <c r="K126" s="261"/>
      <c r="L126" s="261"/>
      <c r="M126" s="261"/>
      <c r="N126" s="330">
        <v>-370</v>
      </c>
      <c r="O126" s="330"/>
      <c r="P126" s="331"/>
      <c r="Q126" s="264"/>
      <c r="R126" s="5"/>
    </row>
    <row r="127" spans="1:18" ht="15.6" x14ac:dyDescent="0.3">
      <c r="A127" s="339"/>
      <c r="B127" s="261" t="s">
        <v>214</v>
      </c>
      <c r="C127" s="261"/>
      <c r="D127" s="261"/>
      <c r="E127" s="261"/>
      <c r="F127" s="261"/>
      <c r="G127" s="261"/>
      <c r="H127" s="261"/>
      <c r="I127" s="261"/>
      <c r="J127" s="261"/>
      <c r="K127" s="261"/>
      <c r="L127" s="261"/>
      <c r="M127" s="261"/>
      <c r="N127" s="330">
        <v>-350</v>
      </c>
      <c r="O127" s="330"/>
      <c r="P127" s="331"/>
      <c r="Q127" s="264"/>
      <c r="R127" s="5"/>
    </row>
    <row r="128" spans="1:18" ht="15.6" x14ac:dyDescent="0.3">
      <c r="A128" s="339"/>
      <c r="B128" s="261" t="s">
        <v>47</v>
      </c>
      <c r="C128" s="261"/>
      <c r="D128" s="261"/>
      <c r="E128" s="261"/>
      <c r="F128" s="261"/>
      <c r="G128" s="261"/>
      <c r="H128" s="261"/>
      <c r="I128" s="261"/>
      <c r="J128" s="261"/>
      <c r="K128" s="261"/>
      <c r="L128" s="261"/>
      <c r="M128" s="261"/>
      <c r="N128" s="330">
        <f>SUM(N121:N127)</f>
        <v>-3667</v>
      </c>
      <c r="O128" s="330"/>
      <c r="P128" s="330">
        <f>SUM(P103:P127)</f>
        <v>-2997</v>
      </c>
      <c r="Q128" s="264"/>
      <c r="R128" s="5"/>
    </row>
    <row r="129" spans="1:19" ht="15.6" x14ac:dyDescent="0.3">
      <c r="A129" s="339"/>
      <c r="B129" s="261" t="s">
        <v>48</v>
      </c>
      <c r="C129" s="261"/>
      <c r="D129" s="261"/>
      <c r="E129" s="261"/>
      <c r="F129" s="261"/>
      <c r="G129" s="261"/>
      <c r="H129" s="261"/>
      <c r="I129" s="261"/>
      <c r="J129" s="261"/>
      <c r="K129" s="261"/>
      <c r="L129" s="261"/>
      <c r="M129" s="261"/>
      <c r="N129" s="330">
        <f>N102+N128+N114</f>
        <v>0</v>
      </c>
      <c r="O129" s="330"/>
      <c r="P129" s="330">
        <f>P102+P128</f>
        <v>0</v>
      </c>
      <c r="Q129" s="264"/>
      <c r="R129" s="5"/>
    </row>
    <row r="130" spans="1:19" ht="15.6" x14ac:dyDescent="0.3">
      <c r="A130" s="301"/>
      <c r="B130" s="257"/>
      <c r="C130" s="257"/>
      <c r="D130" s="257"/>
      <c r="E130" s="257"/>
      <c r="F130" s="257"/>
      <c r="G130" s="257"/>
      <c r="H130" s="257"/>
      <c r="I130" s="257"/>
      <c r="J130" s="257"/>
      <c r="K130" s="257"/>
      <c r="L130" s="257"/>
      <c r="M130" s="257"/>
      <c r="N130" s="302"/>
      <c r="O130" s="302"/>
      <c r="P130" s="302"/>
      <c r="Q130" s="257"/>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8" thickBot="1" x14ac:dyDescent="0.35">
      <c r="A132" s="303"/>
      <c r="B132" s="239" t="str">
        <f>B65</f>
        <v>PM7 INVESTOR REPORT QUARTER ENDING OCTOBER 2011</v>
      </c>
      <c r="C132" s="240"/>
      <c r="D132" s="240"/>
      <c r="E132" s="240"/>
      <c r="F132" s="240"/>
      <c r="G132" s="240"/>
      <c r="H132" s="240"/>
      <c r="I132" s="240"/>
      <c r="J132" s="240"/>
      <c r="K132" s="240"/>
      <c r="L132" s="240"/>
      <c r="M132" s="240"/>
      <c r="N132" s="240"/>
      <c r="O132" s="240"/>
      <c r="P132" s="304"/>
      <c r="Q132" s="242"/>
      <c r="R132" s="5"/>
    </row>
    <row r="133" spans="1:19" ht="15.6" x14ac:dyDescent="0.3">
      <c r="A133" s="323"/>
      <c r="B133" s="397" t="s">
        <v>49</v>
      </c>
      <c r="C133" s="326"/>
      <c r="D133" s="326"/>
      <c r="E133" s="326"/>
      <c r="F133" s="326"/>
      <c r="G133" s="326"/>
      <c r="H133" s="326"/>
      <c r="I133" s="326"/>
      <c r="J133" s="326"/>
      <c r="K133" s="326"/>
      <c r="L133" s="326"/>
      <c r="M133" s="326"/>
      <c r="N133" s="326"/>
      <c r="O133" s="326"/>
      <c r="P133" s="328"/>
      <c r="Q133" s="326"/>
      <c r="R133" s="5"/>
    </row>
    <row r="134" spans="1:19" ht="15.6" x14ac:dyDescent="0.3">
      <c r="A134" s="183"/>
      <c r="B134" s="196"/>
      <c r="C134" s="185"/>
      <c r="D134" s="185"/>
      <c r="E134" s="185"/>
      <c r="F134" s="185"/>
      <c r="G134" s="185"/>
      <c r="H134" s="185"/>
      <c r="I134" s="185"/>
      <c r="J134" s="185"/>
      <c r="K134" s="185"/>
      <c r="L134" s="185"/>
      <c r="M134" s="185"/>
      <c r="N134" s="185"/>
      <c r="O134" s="185"/>
      <c r="P134" s="201"/>
      <c r="Q134" s="185"/>
      <c r="R134" s="5"/>
    </row>
    <row r="135" spans="1:19" ht="15.6" x14ac:dyDescent="0.3">
      <c r="A135" s="183"/>
      <c r="B135" s="209" t="s">
        <v>50</v>
      </c>
      <c r="C135" s="185"/>
      <c r="D135" s="185"/>
      <c r="E135" s="185"/>
      <c r="F135" s="185"/>
      <c r="G135" s="185"/>
      <c r="H135" s="185"/>
      <c r="I135" s="185"/>
      <c r="J135" s="185"/>
      <c r="K135" s="185"/>
      <c r="L135" s="185"/>
      <c r="M135" s="185"/>
      <c r="N135" s="185"/>
      <c r="O135" s="185"/>
      <c r="P135" s="201"/>
      <c r="Q135" s="185"/>
      <c r="R135" s="5"/>
    </row>
    <row r="136" spans="1:19" ht="15.6" x14ac:dyDescent="0.3">
      <c r="A136" s="260"/>
      <c r="B136" s="261" t="s">
        <v>51</v>
      </c>
      <c r="C136" s="261"/>
      <c r="D136" s="261"/>
      <c r="E136" s="261"/>
      <c r="F136" s="261"/>
      <c r="G136" s="261"/>
      <c r="H136" s="261"/>
      <c r="I136" s="261"/>
      <c r="J136" s="261"/>
      <c r="K136" s="261"/>
      <c r="L136" s="261"/>
      <c r="M136" s="261"/>
      <c r="N136" s="261"/>
      <c r="O136" s="261"/>
      <c r="P136" s="331">
        <f>+P36*0.022</f>
        <v>19815.399999999998</v>
      </c>
      <c r="Q136" s="264"/>
      <c r="R136" s="5"/>
    </row>
    <row r="137" spans="1:19" ht="15.6" x14ac:dyDescent="0.3">
      <c r="A137" s="260"/>
      <c r="B137" s="261" t="s">
        <v>52</v>
      </c>
      <c r="C137" s="261"/>
      <c r="D137" s="261"/>
      <c r="E137" s="261"/>
      <c r="F137" s="261"/>
      <c r="G137" s="261"/>
      <c r="H137" s="261"/>
      <c r="I137" s="261"/>
      <c r="J137" s="261"/>
      <c r="K137" s="261"/>
      <c r="L137" s="261"/>
      <c r="M137" s="261"/>
      <c r="N137" s="261"/>
      <c r="O137" s="261"/>
      <c r="P137" s="331">
        <v>19815</v>
      </c>
      <c r="Q137" s="264"/>
      <c r="R137" s="5"/>
    </row>
    <row r="138" spans="1:19" ht="15.6" x14ac:dyDescent="0.3">
      <c r="A138" s="260"/>
      <c r="B138" s="261" t="s">
        <v>161</v>
      </c>
      <c r="C138" s="261"/>
      <c r="D138" s="261"/>
      <c r="E138" s="261"/>
      <c r="F138" s="261"/>
      <c r="G138" s="261"/>
      <c r="H138" s="261"/>
      <c r="I138" s="261"/>
      <c r="J138" s="261"/>
      <c r="K138" s="261"/>
      <c r="L138" s="261"/>
      <c r="M138" s="261"/>
      <c r="N138" s="261"/>
      <c r="O138" s="261"/>
      <c r="P138" s="331">
        <v>0</v>
      </c>
      <c r="Q138" s="264"/>
      <c r="R138" s="5"/>
    </row>
    <row r="139" spans="1:19" ht="15.6" x14ac:dyDescent="0.3">
      <c r="A139" s="260"/>
      <c r="B139" s="261" t="s">
        <v>144</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145</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53</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153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202</v>
      </c>
      <c r="C143" s="261"/>
      <c r="D143" s="261"/>
      <c r="E143" s="261"/>
      <c r="F143" s="261"/>
      <c r="G143" s="261"/>
      <c r="H143" s="261"/>
      <c r="I143" s="261"/>
      <c r="J143" s="261"/>
      <c r="K143" s="261"/>
      <c r="L143" s="261"/>
      <c r="M143" s="261"/>
      <c r="N143" s="261"/>
      <c r="O143" s="261"/>
      <c r="P143" s="331">
        <v>0</v>
      </c>
      <c r="Q143" s="264"/>
      <c r="R143" s="5"/>
      <c r="S143" s="109"/>
    </row>
    <row r="144" spans="1:19" ht="15.6" x14ac:dyDescent="0.3">
      <c r="A144" s="260"/>
      <c r="B144" s="261" t="s">
        <v>54</v>
      </c>
      <c r="C144" s="261"/>
      <c r="D144" s="261"/>
      <c r="E144" s="261"/>
      <c r="F144" s="261"/>
      <c r="G144" s="261"/>
      <c r="H144" s="261"/>
      <c r="I144" s="261"/>
      <c r="J144" s="261"/>
      <c r="K144" s="261"/>
      <c r="L144" s="261"/>
      <c r="M144" s="261"/>
      <c r="N144" s="261"/>
      <c r="O144" s="261"/>
      <c r="P144" s="331">
        <f>SUM(P137:P143)</f>
        <v>19815</v>
      </c>
      <c r="Q144" s="264"/>
      <c r="R144" s="5"/>
    </row>
    <row r="145" spans="1:18" ht="15.6" x14ac:dyDescent="0.3">
      <c r="A145" s="183"/>
      <c r="B145" s="190"/>
      <c r="C145" s="190"/>
      <c r="D145" s="190"/>
      <c r="E145" s="190"/>
      <c r="F145" s="190"/>
      <c r="G145" s="190"/>
      <c r="H145" s="190"/>
      <c r="I145" s="190"/>
      <c r="J145" s="190"/>
      <c r="K145" s="190"/>
      <c r="L145" s="190"/>
      <c r="M145" s="190"/>
      <c r="N145" s="190"/>
      <c r="O145" s="190"/>
      <c r="P145" s="341"/>
      <c r="Q145" s="190"/>
      <c r="R145" s="5"/>
    </row>
    <row r="146" spans="1:18" ht="15.6" x14ac:dyDescent="0.3">
      <c r="A146" s="183"/>
      <c r="B146" s="209" t="s">
        <v>28</v>
      </c>
      <c r="C146" s="185"/>
      <c r="D146" s="185"/>
      <c r="E146" s="185"/>
      <c r="F146" s="185"/>
      <c r="G146" s="185"/>
      <c r="H146" s="185"/>
      <c r="I146" s="185"/>
      <c r="J146" s="185"/>
      <c r="K146" s="185"/>
      <c r="L146" s="185"/>
      <c r="M146" s="185"/>
      <c r="N146" s="185"/>
      <c r="O146" s="185"/>
      <c r="P146" s="201"/>
      <c r="Q146" s="185"/>
      <c r="R146" s="5"/>
    </row>
    <row r="147" spans="1:18" ht="15.6" x14ac:dyDescent="0.3">
      <c r="A147" s="260"/>
      <c r="B147" s="261" t="s">
        <v>55</v>
      </c>
      <c r="C147" s="261"/>
      <c r="D147" s="261"/>
      <c r="E147" s="261"/>
      <c r="F147" s="261"/>
      <c r="G147" s="261"/>
      <c r="H147" s="261"/>
      <c r="I147" s="261"/>
      <c r="J147" s="261"/>
      <c r="K147" s="261"/>
      <c r="L147" s="261"/>
      <c r="M147" s="261"/>
      <c r="N147" s="261"/>
      <c r="O147" s="261"/>
      <c r="P147" s="342" t="s">
        <v>137</v>
      </c>
      <c r="Q147" s="338"/>
      <c r="R147" s="5"/>
    </row>
    <row r="148" spans="1:18" ht="15.6" x14ac:dyDescent="0.3">
      <c r="A148" s="260"/>
      <c r="B148" s="261" t="s">
        <v>56</v>
      </c>
      <c r="C148" s="263"/>
      <c r="D148" s="263"/>
      <c r="E148" s="263"/>
      <c r="F148" s="263"/>
      <c r="G148" s="263"/>
      <c r="H148" s="263"/>
      <c r="I148" s="263"/>
      <c r="J148" s="263"/>
      <c r="K148" s="263"/>
      <c r="L148" s="263"/>
      <c r="M148" s="263"/>
      <c r="N148" s="263"/>
      <c r="O148" s="263"/>
      <c r="P148" s="342" t="s">
        <v>137</v>
      </c>
      <c r="Q148" s="338"/>
      <c r="R148" s="5"/>
    </row>
    <row r="149" spans="1:18" ht="15.6" x14ac:dyDescent="0.3">
      <c r="A149" s="260"/>
      <c r="B149" s="261" t="s">
        <v>57</v>
      </c>
      <c r="C149" s="261"/>
      <c r="D149" s="261"/>
      <c r="E149" s="261"/>
      <c r="F149" s="261"/>
      <c r="G149" s="261"/>
      <c r="H149" s="261"/>
      <c r="I149" s="261"/>
      <c r="J149" s="261"/>
      <c r="K149" s="261"/>
      <c r="L149" s="261"/>
      <c r="M149" s="261"/>
      <c r="N149" s="261"/>
      <c r="O149" s="261"/>
      <c r="P149" s="342" t="s">
        <v>137</v>
      </c>
      <c r="Q149" s="338"/>
      <c r="R149" s="5"/>
    </row>
    <row r="150" spans="1:18" ht="15.6" x14ac:dyDescent="0.3">
      <c r="A150" s="260"/>
      <c r="B150" s="261" t="s">
        <v>58</v>
      </c>
      <c r="C150" s="261"/>
      <c r="D150" s="261"/>
      <c r="E150" s="261"/>
      <c r="F150" s="261"/>
      <c r="G150" s="261"/>
      <c r="H150" s="261"/>
      <c r="I150" s="261"/>
      <c r="J150" s="261"/>
      <c r="K150" s="261"/>
      <c r="L150" s="261"/>
      <c r="M150" s="261"/>
      <c r="N150" s="261"/>
      <c r="O150" s="261"/>
      <c r="P150" s="342" t="s">
        <v>137</v>
      </c>
      <c r="Q150" s="338"/>
      <c r="R150" s="5"/>
    </row>
    <row r="151" spans="1:18" ht="15.6" x14ac:dyDescent="0.3">
      <c r="A151" s="183"/>
      <c r="B151" s="190"/>
      <c r="C151" s="190"/>
      <c r="D151" s="190"/>
      <c r="E151" s="190"/>
      <c r="F151" s="190"/>
      <c r="G151" s="190"/>
      <c r="H151" s="190"/>
      <c r="I151" s="190"/>
      <c r="J151" s="190"/>
      <c r="K151" s="190"/>
      <c r="L151" s="190"/>
      <c r="M151" s="190"/>
      <c r="N151" s="190"/>
      <c r="O151" s="190"/>
      <c r="P151" s="341"/>
      <c r="Q151" s="190"/>
      <c r="R151" s="5"/>
    </row>
    <row r="152" spans="1:18" ht="15.6" x14ac:dyDescent="0.3">
      <c r="A152" s="183"/>
      <c r="B152" s="209" t="s">
        <v>59</v>
      </c>
      <c r="C152" s="185"/>
      <c r="D152" s="185"/>
      <c r="E152" s="185"/>
      <c r="F152" s="185"/>
      <c r="G152" s="185"/>
      <c r="H152" s="185"/>
      <c r="I152" s="185"/>
      <c r="J152" s="185"/>
      <c r="K152" s="185"/>
      <c r="L152" s="185"/>
      <c r="M152" s="185"/>
      <c r="N152" s="185"/>
      <c r="O152" s="185"/>
      <c r="P152" s="210"/>
      <c r="Q152" s="185"/>
      <c r="R152" s="5"/>
    </row>
    <row r="153" spans="1:18" ht="15.6" x14ac:dyDescent="0.3">
      <c r="A153" s="260"/>
      <c r="B153" s="261" t="s">
        <v>60</v>
      </c>
      <c r="C153" s="261"/>
      <c r="D153" s="261"/>
      <c r="E153" s="261"/>
      <c r="F153" s="261"/>
      <c r="G153" s="261"/>
      <c r="H153" s="261"/>
      <c r="I153" s="261"/>
      <c r="J153" s="261"/>
      <c r="K153" s="261"/>
      <c r="L153" s="261"/>
      <c r="M153" s="261"/>
      <c r="N153" s="261"/>
      <c r="O153" s="261"/>
      <c r="P153" s="331">
        <v>0</v>
      </c>
      <c r="Q153" s="264"/>
      <c r="R153" s="5"/>
    </row>
    <row r="154" spans="1:18" ht="15.6" x14ac:dyDescent="0.3">
      <c r="A154" s="260"/>
      <c r="B154" s="261" t="s">
        <v>61</v>
      </c>
      <c r="C154" s="261"/>
      <c r="D154" s="261"/>
      <c r="E154" s="261"/>
      <c r="F154" s="261"/>
      <c r="G154" s="261"/>
      <c r="H154" s="261"/>
      <c r="I154" s="261"/>
      <c r="J154" s="261"/>
      <c r="K154" s="261"/>
      <c r="L154" s="261"/>
      <c r="M154" s="261"/>
      <c r="N154" s="261"/>
      <c r="O154" s="261"/>
      <c r="P154" s="331">
        <f>-P114</f>
        <v>402</v>
      </c>
      <c r="Q154" s="264"/>
      <c r="R154" s="5"/>
    </row>
    <row r="155" spans="1:18" ht="15.6" x14ac:dyDescent="0.3">
      <c r="A155" s="260"/>
      <c r="B155" s="261" t="s">
        <v>62</v>
      </c>
      <c r="C155" s="261"/>
      <c r="D155" s="261"/>
      <c r="E155" s="261"/>
      <c r="F155" s="261"/>
      <c r="G155" s="261"/>
      <c r="H155" s="261"/>
      <c r="I155" s="261"/>
      <c r="J155" s="261"/>
      <c r="K155" s="261"/>
      <c r="L155" s="261"/>
      <c r="M155" s="261"/>
      <c r="N155" s="261"/>
      <c r="O155" s="261"/>
      <c r="P155" s="331">
        <f>P154+P153</f>
        <v>402</v>
      </c>
      <c r="Q155" s="264"/>
      <c r="R155" s="5"/>
    </row>
    <row r="156" spans="1:18" ht="15.6" x14ac:dyDescent="0.3">
      <c r="A156" s="260"/>
      <c r="B156" s="402" t="s">
        <v>297</v>
      </c>
      <c r="C156" s="261"/>
      <c r="D156" s="261"/>
      <c r="E156" s="261"/>
      <c r="F156" s="261"/>
      <c r="G156" s="261"/>
      <c r="H156" s="261"/>
      <c r="I156" s="261"/>
      <c r="J156" s="261"/>
      <c r="K156" s="261"/>
      <c r="L156" s="261"/>
      <c r="M156" s="261"/>
      <c r="N156" s="261"/>
      <c r="O156" s="261"/>
      <c r="P156" s="331">
        <f>P114</f>
        <v>-402</v>
      </c>
      <c r="Q156" s="264"/>
      <c r="R156" s="5"/>
    </row>
    <row r="157" spans="1:18" ht="15.6" x14ac:dyDescent="0.3">
      <c r="A157" s="260"/>
      <c r="B157" s="261" t="s">
        <v>63</v>
      </c>
      <c r="C157" s="261"/>
      <c r="D157" s="261"/>
      <c r="E157" s="261"/>
      <c r="F157" s="261"/>
      <c r="G157" s="261"/>
      <c r="H157" s="261"/>
      <c r="I157" s="261"/>
      <c r="J157" s="261"/>
      <c r="K157" s="261"/>
      <c r="L157" s="261"/>
      <c r="M157" s="261"/>
      <c r="N157" s="261"/>
      <c r="O157" s="261"/>
      <c r="P157" s="331">
        <f>P155+P156</f>
        <v>0</v>
      </c>
      <c r="Q157" s="264"/>
      <c r="R157" s="5"/>
    </row>
    <row r="158" spans="1:18" ht="15.6" x14ac:dyDescent="0.3">
      <c r="A158" s="260"/>
      <c r="B158" s="261" t="s">
        <v>268</v>
      </c>
      <c r="C158" s="261"/>
      <c r="D158" s="261"/>
      <c r="E158" s="261"/>
      <c r="F158" s="261"/>
      <c r="G158" s="261"/>
      <c r="H158" s="261"/>
      <c r="I158" s="261"/>
      <c r="J158" s="261"/>
      <c r="K158" s="261"/>
      <c r="L158" s="261"/>
      <c r="M158" s="261"/>
      <c r="N158" s="261"/>
      <c r="O158" s="261"/>
      <c r="P158" s="331">
        <v>0</v>
      </c>
      <c r="Q158" s="264"/>
      <c r="R158" s="5"/>
    </row>
    <row r="159" spans="1:18" ht="16.2" thickBot="1" x14ac:dyDescent="0.35">
      <c r="A159" s="183"/>
      <c r="B159" s="190"/>
      <c r="C159" s="190"/>
      <c r="D159" s="190"/>
      <c r="E159" s="190"/>
      <c r="F159" s="190"/>
      <c r="G159" s="190"/>
      <c r="H159" s="190"/>
      <c r="I159" s="190"/>
      <c r="J159" s="190"/>
      <c r="K159" s="190"/>
      <c r="L159" s="190"/>
      <c r="M159" s="190"/>
      <c r="N159" s="190"/>
      <c r="O159" s="190"/>
      <c r="P159" s="341"/>
      <c r="Q159" s="190"/>
      <c r="R159" s="5"/>
    </row>
    <row r="160" spans="1:18" ht="15.6" x14ac:dyDescent="0.3">
      <c r="A160" s="180"/>
      <c r="B160" s="181"/>
      <c r="C160" s="181"/>
      <c r="D160" s="181"/>
      <c r="E160" s="181"/>
      <c r="F160" s="181"/>
      <c r="G160" s="181"/>
      <c r="H160" s="181"/>
      <c r="I160" s="181"/>
      <c r="J160" s="181"/>
      <c r="K160" s="181"/>
      <c r="L160" s="181"/>
      <c r="M160" s="181"/>
      <c r="N160" s="181"/>
      <c r="O160" s="181"/>
      <c r="P160" s="200"/>
      <c r="Q160" s="181"/>
      <c r="R160" s="5"/>
    </row>
    <row r="161" spans="1:19" ht="15.6" x14ac:dyDescent="0.3">
      <c r="A161" s="183"/>
      <c r="B161" s="209" t="s">
        <v>64</v>
      </c>
      <c r="C161" s="185"/>
      <c r="D161" s="185"/>
      <c r="E161" s="185"/>
      <c r="F161" s="185"/>
      <c r="G161" s="185"/>
      <c r="H161" s="185"/>
      <c r="I161" s="185"/>
      <c r="J161" s="185"/>
      <c r="K161" s="185"/>
      <c r="L161" s="185"/>
      <c r="M161" s="185"/>
      <c r="N161" s="185"/>
      <c r="O161" s="185"/>
      <c r="P161" s="201"/>
      <c r="Q161" s="185"/>
      <c r="R161" s="5"/>
    </row>
    <row r="162" spans="1:19" ht="15.6" x14ac:dyDescent="0.3">
      <c r="A162" s="183"/>
      <c r="B162" s="196"/>
      <c r="C162" s="185"/>
      <c r="D162" s="185"/>
      <c r="E162" s="185"/>
      <c r="F162" s="185"/>
      <c r="G162" s="185"/>
      <c r="H162" s="185"/>
      <c r="I162" s="185"/>
      <c r="J162" s="185"/>
      <c r="K162" s="185"/>
      <c r="L162" s="185"/>
      <c r="M162" s="185"/>
      <c r="N162" s="185"/>
      <c r="O162" s="185"/>
      <c r="P162" s="201"/>
      <c r="Q162" s="185"/>
      <c r="R162" s="5"/>
    </row>
    <row r="163" spans="1:19" ht="15.6" x14ac:dyDescent="0.3">
      <c r="A163" s="260"/>
      <c r="B163" s="261" t="s">
        <v>221</v>
      </c>
      <c r="C163" s="261"/>
      <c r="D163" s="261"/>
      <c r="E163" s="261"/>
      <c r="F163" s="261"/>
      <c r="G163" s="261"/>
      <c r="H163" s="261"/>
      <c r="I163" s="261"/>
      <c r="J163" s="261"/>
      <c r="K163" s="261"/>
      <c r="L163" s="261"/>
      <c r="M163" s="261"/>
      <c r="N163" s="261"/>
      <c r="O163" s="261"/>
      <c r="P163" s="331">
        <f>P72</f>
        <v>393321</v>
      </c>
      <c r="Q163" s="264"/>
      <c r="R163" s="5"/>
    </row>
    <row r="164" spans="1:19" ht="15.6" x14ac:dyDescent="0.3">
      <c r="A164" s="260"/>
      <c r="B164" s="261" t="s">
        <v>273</v>
      </c>
      <c r="C164" s="261"/>
      <c r="D164" s="261"/>
      <c r="E164" s="261"/>
      <c r="F164" s="261"/>
      <c r="G164" s="261"/>
      <c r="H164" s="261"/>
      <c r="I164" s="261"/>
      <c r="J164" s="261"/>
      <c r="K164" s="261"/>
      <c r="L164" s="261"/>
      <c r="M164" s="261"/>
      <c r="N164" s="261"/>
      <c r="O164" s="261"/>
      <c r="P164" s="331">
        <f>+P85</f>
        <v>0</v>
      </c>
      <c r="Q164" s="264"/>
      <c r="R164" s="5"/>
    </row>
    <row r="165" spans="1:19" ht="15.6" x14ac:dyDescent="0.3">
      <c r="A165" s="260"/>
      <c r="B165" s="261" t="s">
        <v>65</v>
      </c>
      <c r="C165" s="261"/>
      <c r="D165" s="261"/>
      <c r="E165" s="261"/>
      <c r="F165" s="261"/>
      <c r="G165" s="261"/>
      <c r="H165" s="261"/>
      <c r="I165" s="261"/>
      <c r="J165" s="261"/>
      <c r="K165" s="261"/>
      <c r="L165" s="261"/>
      <c r="M165" s="261"/>
      <c r="N165" s="261"/>
      <c r="O165" s="261"/>
      <c r="P165" s="331">
        <f>P38</f>
        <v>393320.58756813896</v>
      </c>
      <c r="Q165" s="264"/>
      <c r="R165" s="5"/>
      <c r="S165" s="109"/>
    </row>
    <row r="166" spans="1:19" ht="16.2" thickBot="1" x14ac:dyDescent="0.35">
      <c r="A166" s="183"/>
      <c r="B166" s="190"/>
      <c r="C166" s="190"/>
      <c r="D166" s="190"/>
      <c r="E166" s="190"/>
      <c r="F166" s="190"/>
      <c r="G166" s="190"/>
      <c r="H166" s="190"/>
      <c r="I166" s="190"/>
      <c r="J166" s="190"/>
      <c r="K166" s="190"/>
      <c r="L166" s="190"/>
      <c r="M166" s="190"/>
      <c r="N166" s="190"/>
      <c r="O166" s="190"/>
      <c r="P166" s="341"/>
      <c r="Q166" s="190"/>
      <c r="R166" s="5"/>
    </row>
    <row r="167" spans="1:19" ht="15.6" x14ac:dyDescent="0.3">
      <c r="A167" s="180"/>
      <c r="B167" s="181"/>
      <c r="C167" s="181"/>
      <c r="D167" s="181"/>
      <c r="E167" s="181"/>
      <c r="F167" s="181"/>
      <c r="G167" s="181"/>
      <c r="H167" s="181"/>
      <c r="I167" s="181"/>
      <c r="J167" s="181"/>
      <c r="K167" s="181"/>
      <c r="L167" s="181"/>
      <c r="M167" s="181"/>
      <c r="N167" s="181"/>
      <c r="O167" s="181"/>
      <c r="P167" s="200"/>
      <c r="Q167" s="181"/>
      <c r="R167" s="5"/>
    </row>
    <row r="168" spans="1:19" ht="15.6" x14ac:dyDescent="0.3">
      <c r="A168" s="183"/>
      <c r="B168" s="209" t="s">
        <v>66</v>
      </c>
      <c r="C168" s="205"/>
      <c r="D168" s="205"/>
      <c r="E168" s="205"/>
      <c r="F168" s="211"/>
      <c r="G168" s="211"/>
      <c r="H168" s="211"/>
      <c r="I168" s="211"/>
      <c r="J168" s="211"/>
      <c r="K168" s="211"/>
      <c r="L168" s="211"/>
      <c r="M168" s="211" t="s">
        <v>112</v>
      </c>
      <c r="N168" s="211" t="s">
        <v>120</v>
      </c>
      <c r="O168" s="187"/>
      <c r="P168" s="212" t="s">
        <v>129</v>
      </c>
      <c r="Q168" s="213"/>
      <c r="R168" s="5"/>
    </row>
    <row r="169" spans="1:19" ht="15.6" x14ac:dyDescent="0.3">
      <c r="A169" s="260"/>
      <c r="B169" s="261" t="s">
        <v>67</v>
      </c>
      <c r="C169" s="261"/>
      <c r="D169" s="261"/>
      <c r="E169" s="261"/>
      <c r="F169" s="261"/>
      <c r="G169" s="261"/>
      <c r="H169" s="261"/>
      <c r="I169" s="261"/>
      <c r="J169" s="261"/>
      <c r="K169" s="261"/>
      <c r="L169" s="261"/>
      <c r="M169" s="331">
        <v>144000</v>
      </c>
      <c r="N169" s="292">
        <v>0</v>
      </c>
      <c r="O169" s="261"/>
      <c r="P169" s="331"/>
      <c r="Q169" s="264"/>
      <c r="R169" s="5"/>
    </row>
    <row r="170" spans="1:19" ht="15.6" x14ac:dyDescent="0.3">
      <c r="A170" s="260"/>
      <c r="B170" s="261" t="s">
        <v>68</v>
      </c>
      <c r="C170" s="261"/>
      <c r="D170" s="261"/>
      <c r="E170" s="261"/>
      <c r="F170" s="261"/>
      <c r="G170" s="261"/>
      <c r="H170" s="261"/>
      <c r="I170" s="261"/>
      <c r="J170" s="261"/>
      <c r="K170" s="261"/>
      <c r="L170" s="261"/>
      <c r="M170" s="331">
        <f>+'July 11'!M172</f>
        <v>87558</v>
      </c>
      <c r="N170" s="331">
        <f>+'July 11'!N172</f>
        <v>10211</v>
      </c>
      <c r="O170" s="261"/>
      <c r="P170" s="331">
        <f>M170+N170</f>
        <v>97769</v>
      </c>
      <c r="Q170" s="264"/>
      <c r="R170" s="5"/>
    </row>
    <row r="171" spans="1:19" ht="15.6" x14ac:dyDescent="0.3">
      <c r="A171" s="260"/>
      <c r="B171" s="261" t="s">
        <v>69</v>
      </c>
      <c r="C171" s="261"/>
      <c r="D171" s="261"/>
      <c r="E171" s="261"/>
      <c r="F171" s="261"/>
      <c r="G171" s="261"/>
      <c r="H171" s="261"/>
      <c r="I171" s="261"/>
      <c r="J171" s="261"/>
      <c r="K171" s="261"/>
      <c r="L171" s="261"/>
      <c r="M171" s="330">
        <v>72</v>
      </c>
      <c r="N171" s="330">
        <f>-N99-N121</f>
        <v>1</v>
      </c>
      <c r="O171" s="261"/>
      <c r="P171" s="331">
        <f>M171+N171</f>
        <v>73</v>
      </c>
      <c r="Q171" s="264"/>
      <c r="R171" s="5"/>
    </row>
    <row r="172" spans="1:19" ht="15.6" x14ac:dyDescent="0.3">
      <c r="A172" s="260"/>
      <c r="B172" s="261" t="s">
        <v>70</v>
      </c>
      <c r="C172" s="261"/>
      <c r="D172" s="261"/>
      <c r="E172" s="261"/>
      <c r="F172" s="261"/>
      <c r="G172" s="261"/>
      <c r="H172" s="261"/>
      <c r="I172" s="261"/>
      <c r="J172" s="261"/>
      <c r="K172" s="261"/>
      <c r="L172" s="261"/>
      <c r="M172" s="331">
        <f>M170+M171</f>
        <v>87630</v>
      </c>
      <c r="N172" s="331">
        <f>N171+N170</f>
        <v>10212</v>
      </c>
      <c r="O172" s="261"/>
      <c r="P172" s="331">
        <f>M172+N172</f>
        <v>97842</v>
      </c>
      <c r="Q172" s="264"/>
      <c r="R172" s="5"/>
    </row>
    <row r="173" spans="1:19" ht="15.6" x14ac:dyDescent="0.3">
      <c r="A173" s="260"/>
      <c r="B173" s="261" t="s">
        <v>71</v>
      </c>
      <c r="C173" s="261"/>
      <c r="D173" s="261"/>
      <c r="E173" s="261"/>
      <c r="F173" s="261"/>
      <c r="G173" s="261"/>
      <c r="H173" s="261"/>
      <c r="I173" s="261"/>
      <c r="J173" s="261"/>
      <c r="K173" s="261"/>
      <c r="L173" s="261"/>
      <c r="M173" s="331">
        <f>M169-M172-N172</f>
        <v>46158</v>
      </c>
      <c r="N173" s="292"/>
      <c r="O173" s="261"/>
      <c r="P173" s="331"/>
      <c r="Q173" s="264"/>
      <c r="R173" s="5"/>
    </row>
    <row r="174" spans="1:19" ht="16.2" thickBot="1" x14ac:dyDescent="0.35">
      <c r="A174" s="183"/>
      <c r="B174" s="190"/>
      <c r="C174" s="190"/>
      <c r="D174" s="190"/>
      <c r="E174" s="190"/>
      <c r="F174" s="190"/>
      <c r="G174" s="190"/>
      <c r="H174" s="190"/>
      <c r="I174" s="190"/>
      <c r="J174" s="190"/>
      <c r="K174" s="190"/>
      <c r="L174" s="190"/>
      <c r="M174" s="190"/>
      <c r="N174" s="190"/>
      <c r="O174" s="190"/>
      <c r="P174" s="341"/>
      <c r="Q174" s="190"/>
      <c r="R174" s="5"/>
    </row>
    <row r="175" spans="1:19" ht="15.6" x14ac:dyDescent="0.3">
      <c r="A175" s="180"/>
      <c r="B175" s="181"/>
      <c r="C175" s="181"/>
      <c r="D175" s="181"/>
      <c r="E175" s="181"/>
      <c r="F175" s="181"/>
      <c r="G175" s="181"/>
      <c r="H175" s="181"/>
      <c r="I175" s="181"/>
      <c r="J175" s="181"/>
      <c r="K175" s="181"/>
      <c r="L175" s="181"/>
      <c r="M175" s="181"/>
      <c r="N175" s="181"/>
      <c r="O175" s="181"/>
      <c r="P175" s="200"/>
      <c r="Q175" s="181"/>
      <c r="R175" s="5"/>
    </row>
    <row r="176" spans="1:19" ht="15.6" x14ac:dyDescent="0.3">
      <c r="A176" s="183"/>
      <c r="B176" s="209" t="s">
        <v>72</v>
      </c>
      <c r="C176" s="185"/>
      <c r="D176" s="185"/>
      <c r="E176" s="185"/>
      <c r="F176" s="185"/>
      <c r="G176" s="185"/>
      <c r="H176" s="185"/>
      <c r="I176" s="185"/>
      <c r="J176" s="185"/>
      <c r="K176" s="185"/>
      <c r="L176" s="185"/>
      <c r="M176" s="185"/>
      <c r="N176" s="185"/>
      <c r="O176" s="185"/>
      <c r="P176" s="214"/>
      <c r="Q176" s="185"/>
      <c r="R176" s="5"/>
    </row>
    <row r="177" spans="1:18" ht="15.6" x14ac:dyDescent="0.3">
      <c r="A177" s="260"/>
      <c r="B177" s="261" t="s">
        <v>73</v>
      </c>
      <c r="C177" s="261"/>
      <c r="D177" s="261"/>
      <c r="E177" s="261"/>
      <c r="F177" s="261"/>
      <c r="G177" s="261"/>
      <c r="H177" s="261"/>
      <c r="I177" s="261"/>
      <c r="J177" s="261"/>
      <c r="K177" s="261"/>
      <c r="L177" s="261"/>
      <c r="M177" s="261"/>
      <c r="N177" s="261"/>
      <c r="O177" s="261"/>
      <c r="P177" s="343">
        <f>(P102+P104+P105+P106+P107)/-(P108+P109+P110)</f>
        <v>2.438392857142857</v>
      </c>
      <c r="Q177" s="264" t="s">
        <v>130</v>
      </c>
      <c r="R177" s="5"/>
    </row>
    <row r="178" spans="1:18" ht="15.6" x14ac:dyDescent="0.3">
      <c r="A178" s="260"/>
      <c r="B178" s="261" t="s">
        <v>74</v>
      </c>
      <c r="C178" s="261"/>
      <c r="D178" s="261"/>
      <c r="E178" s="261"/>
      <c r="F178" s="261"/>
      <c r="G178" s="261"/>
      <c r="H178" s="261"/>
      <c r="I178" s="261"/>
      <c r="J178" s="261"/>
      <c r="K178" s="261"/>
      <c r="L178" s="261"/>
      <c r="M178" s="261"/>
      <c r="N178" s="261"/>
      <c r="O178" s="261"/>
      <c r="P178" s="343">
        <v>1.48</v>
      </c>
      <c r="Q178" s="264" t="s">
        <v>130</v>
      </c>
      <c r="R178" s="5"/>
    </row>
    <row r="179" spans="1:18" ht="15.6" x14ac:dyDescent="0.3">
      <c r="A179" s="260"/>
      <c r="B179" s="261" t="s">
        <v>75</v>
      </c>
      <c r="C179" s="261"/>
      <c r="D179" s="261"/>
      <c r="E179" s="261"/>
      <c r="F179" s="261"/>
      <c r="G179" s="261"/>
      <c r="H179" s="261"/>
      <c r="I179" s="261"/>
      <c r="J179" s="261"/>
      <c r="K179" s="261"/>
      <c r="L179" s="261"/>
      <c r="M179" s="261"/>
      <c r="N179" s="261"/>
      <c r="O179" s="261"/>
      <c r="P179" s="342">
        <f>(P102+P104+P105+P106+P107+P108+P109+P110)/-(P111+P112)</f>
        <v>2.9888682745825603</v>
      </c>
      <c r="Q179" s="264" t="s">
        <v>130</v>
      </c>
      <c r="R179" s="5"/>
    </row>
    <row r="180" spans="1:18" ht="15.6" x14ac:dyDescent="0.3">
      <c r="A180" s="260"/>
      <c r="B180" s="261" t="s">
        <v>76</v>
      </c>
      <c r="C180" s="261"/>
      <c r="D180" s="261"/>
      <c r="E180" s="261"/>
      <c r="F180" s="261"/>
      <c r="G180" s="261"/>
      <c r="H180" s="261"/>
      <c r="I180" s="261"/>
      <c r="J180" s="261"/>
      <c r="K180" s="261"/>
      <c r="L180" s="261"/>
      <c r="M180" s="261"/>
      <c r="N180" s="261"/>
      <c r="O180" s="261"/>
      <c r="P180" s="343">
        <v>2.46</v>
      </c>
      <c r="Q180" s="264" t="s">
        <v>130</v>
      </c>
      <c r="R180" s="5"/>
    </row>
    <row r="181" spans="1:18" ht="15.6" x14ac:dyDescent="0.3">
      <c r="A181" s="260"/>
      <c r="B181" s="335"/>
      <c r="C181" s="335"/>
      <c r="D181" s="335"/>
      <c r="E181" s="335"/>
      <c r="F181" s="335"/>
      <c r="G181" s="335"/>
      <c r="H181" s="335"/>
      <c r="I181" s="335"/>
      <c r="J181" s="335"/>
      <c r="K181" s="335"/>
      <c r="L181" s="335"/>
      <c r="M181" s="335"/>
      <c r="N181" s="335"/>
      <c r="O181" s="335"/>
      <c r="P181" s="335"/>
      <c r="Q181" s="338"/>
      <c r="R181" s="5"/>
    </row>
    <row r="182" spans="1:18" ht="15.6" x14ac:dyDescent="0.3">
      <c r="A182" s="183"/>
      <c r="B182" s="190"/>
      <c r="C182" s="190"/>
      <c r="D182" s="190"/>
      <c r="E182" s="190"/>
      <c r="F182" s="190"/>
      <c r="G182" s="190"/>
      <c r="H182" s="190"/>
      <c r="I182" s="190"/>
      <c r="J182" s="190"/>
      <c r="K182" s="190"/>
      <c r="L182" s="190"/>
      <c r="M182" s="190"/>
      <c r="N182" s="190"/>
      <c r="O182" s="190"/>
      <c r="P182" s="190"/>
      <c r="Q182" s="190"/>
      <c r="R182" s="5"/>
    </row>
    <row r="183" spans="1:18" ht="15.6" x14ac:dyDescent="0.3">
      <c r="A183" s="183"/>
      <c r="B183" s="185"/>
      <c r="C183" s="185"/>
      <c r="D183" s="185"/>
      <c r="E183" s="185"/>
      <c r="F183" s="185"/>
      <c r="G183" s="185"/>
      <c r="H183" s="185"/>
      <c r="I183" s="185"/>
      <c r="J183" s="185"/>
      <c r="K183" s="185"/>
      <c r="L183" s="185"/>
      <c r="M183" s="185"/>
      <c r="N183" s="185"/>
      <c r="O183" s="185"/>
      <c r="P183" s="185"/>
      <c r="Q183" s="185"/>
      <c r="R183" s="5"/>
    </row>
    <row r="184" spans="1:18" ht="18" thickBot="1" x14ac:dyDescent="0.35">
      <c r="A184" s="199"/>
      <c r="B184" s="239" t="str">
        <f>B132</f>
        <v>PM7 INVESTOR REPORT QUARTER ENDING OCTOBER 2011</v>
      </c>
      <c r="C184" s="215"/>
      <c r="D184" s="215"/>
      <c r="E184" s="215"/>
      <c r="F184" s="215"/>
      <c r="G184" s="215"/>
      <c r="H184" s="215"/>
      <c r="I184" s="215"/>
      <c r="J184" s="215"/>
      <c r="K184" s="215"/>
      <c r="L184" s="215"/>
      <c r="M184" s="215"/>
      <c r="N184" s="215"/>
      <c r="O184" s="215"/>
      <c r="P184" s="215"/>
      <c r="Q184" s="216"/>
      <c r="R184" s="5"/>
    </row>
    <row r="185" spans="1:18" ht="15.6" x14ac:dyDescent="0.3">
      <c r="A185" s="323"/>
      <c r="B185" s="397" t="s">
        <v>77</v>
      </c>
      <c r="C185" s="398"/>
      <c r="D185" s="398"/>
      <c r="E185" s="399"/>
      <c r="F185" s="399"/>
      <c r="G185" s="399"/>
      <c r="H185" s="399"/>
      <c r="I185" s="399"/>
      <c r="J185" s="399"/>
      <c r="K185" s="399"/>
      <c r="L185" s="399"/>
      <c r="M185" s="399"/>
      <c r="N185" s="399">
        <v>40847</v>
      </c>
      <c r="O185" s="326"/>
      <c r="P185" s="326"/>
      <c r="Q185" s="326"/>
      <c r="R185" s="5"/>
    </row>
    <row r="186" spans="1:18" ht="15.6" x14ac:dyDescent="0.3">
      <c r="A186" s="217"/>
      <c r="B186" s="218"/>
      <c r="C186" s="219"/>
      <c r="D186" s="219"/>
      <c r="E186" s="220"/>
      <c r="F186" s="220"/>
      <c r="G186" s="220"/>
      <c r="H186" s="220"/>
      <c r="I186" s="220"/>
      <c r="J186" s="220"/>
      <c r="K186" s="220"/>
      <c r="L186" s="220"/>
      <c r="M186" s="220"/>
      <c r="N186" s="220"/>
      <c r="O186" s="185"/>
      <c r="P186" s="185"/>
      <c r="Q186" s="185"/>
      <c r="R186" s="5"/>
    </row>
    <row r="187" spans="1:18" ht="15.6" x14ac:dyDescent="0.3">
      <c r="A187" s="345"/>
      <c r="B187" s="261" t="s">
        <v>78</v>
      </c>
      <c r="C187" s="346"/>
      <c r="D187" s="346"/>
      <c r="E187" s="295"/>
      <c r="F187" s="295"/>
      <c r="G187" s="295"/>
      <c r="H187" s="295"/>
      <c r="I187" s="295"/>
      <c r="J187" s="295"/>
      <c r="K187" s="295"/>
      <c r="L187" s="295"/>
      <c r="M187" s="295"/>
      <c r="N187" s="290">
        <v>5.8069999999999997E-2</v>
      </c>
      <c r="O187" s="261"/>
      <c r="P187" s="261"/>
      <c r="Q187" s="264"/>
      <c r="R187" s="5"/>
    </row>
    <row r="188" spans="1:18" ht="15.6" x14ac:dyDescent="0.3">
      <c r="A188" s="345"/>
      <c r="B188" s="261" t="s">
        <v>219</v>
      </c>
      <c r="C188" s="346"/>
      <c r="D188" s="346"/>
      <c r="E188" s="295"/>
      <c r="F188" s="295"/>
      <c r="G188" s="295"/>
      <c r="H188" s="295"/>
      <c r="I188" s="295"/>
      <c r="J188" s="295"/>
      <c r="K188" s="295"/>
      <c r="L188" s="295"/>
      <c r="M188" s="295"/>
      <c r="N188" s="290">
        <v>5.1499999999999997E-2</v>
      </c>
      <c r="O188" s="261"/>
      <c r="P188" s="261"/>
      <c r="Q188" s="264"/>
      <c r="R188" s="5"/>
    </row>
    <row r="189" spans="1:18" ht="15.6" x14ac:dyDescent="0.3">
      <c r="A189" s="345"/>
      <c r="B189" s="261" t="s">
        <v>79</v>
      </c>
      <c r="C189" s="346"/>
      <c r="D189" s="346"/>
      <c r="E189" s="295"/>
      <c r="F189" s="295"/>
      <c r="G189" s="295"/>
      <c r="H189" s="295"/>
      <c r="I189" s="295"/>
      <c r="J189" s="295"/>
      <c r="K189" s="295"/>
      <c r="L189" s="295"/>
      <c r="M189" s="295"/>
      <c r="N189" s="290">
        <f>N187-N188</f>
        <v>6.5699999999999995E-3</v>
      </c>
      <c r="O189" s="261"/>
      <c r="P189" s="261"/>
      <c r="Q189" s="264"/>
      <c r="R189" s="5"/>
    </row>
    <row r="190" spans="1:18" ht="15.6" x14ac:dyDescent="0.3">
      <c r="A190" s="345"/>
      <c r="B190" s="261" t="s">
        <v>80</v>
      </c>
      <c r="C190" s="346"/>
      <c r="D190" s="346"/>
      <c r="E190" s="295"/>
      <c r="F190" s="295"/>
      <c r="G190" s="295"/>
      <c r="H190" s="295"/>
      <c r="I190" s="295"/>
      <c r="J190" s="295"/>
      <c r="K190" s="295"/>
      <c r="L190" s="295"/>
      <c r="M190" s="295"/>
      <c r="N190" s="290">
        <v>2.7029999999999998E-2</v>
      </c>
      <c r="O190" s="261"/>
      <c r="P190" s="261"/>
      <c r="Q190" s="264"/>
      <c r="R190" s="5"/>
    </row>
    <row r="191" spans="1:18" ht="15.6" x14ac:dyDescent="0.3">
      <c r="A191" s="345"/>
      <c r="B191" s="261" t="s">
        <v>241</v>
      </c>
      <c r="C191" s="346"/>
      <c r="D191" s="346"/>
      <c r="E191" s="295"/>
      <c r="F191" s="295"/>
      <c r="G191" s="295"/>
      <c r="H191" s="295"/>
      <c r="I191" s="295"/>
      <c r="J191" s="295"/>
      <c r="K191" s="295"/>
      <c r="L191" s="295"/>
      <c r="M191" s="295"/>
      <c r="N191" s="290">
        <f>+P45</f>
        <v>1.6578733768621373E-2</v>
      </c>
      <c r="O191" s="261"/>
      <c r="P191" s="261"/>
      <c r="Q191" s="264"/>
      <c r="R191" s="5"/>
    </row>
    <row r="192" spans="1:18" ht="15.6" x14ac:dyDescent="0.3">
      <c r="A192" s="345"/>
      <c r="B192" s="261" t="s">
        <v>81</v>
      </c>
      <c r="C192" s="346"/>
      <c r="D192" s="346"/>
      <c r="E192" s="295"/>
      <c r="F192" s="295"/>
      <c r="G192" s="295"/>
      <c r="H192" s="295"/>
      <c r="I192" s="295"/>
      <c r="J192" s="295"/>
      <c r="K192" s="295"/>
      <c r="L192" s="295"/>
      <c r="M192" s="295"/>
      <c r="N192" s="290">
        <f>N190-N191</f>
        <v>1.0451266231378625E-2</v>
      </c>
      <c r="O192" s="261"/>
      <c r="P192" s="261"/>
      <c r="Q192" s="264"/>
      <c r="R192" s="5"/>
    </row>
    <row r="193" spans="1:18" ht="15.6" x14ac:dyDescent="0.3">
      <c r="A193" s="345"/>
      <c r="B193" s="261" t="s">
        <v>257</v>
      </c>
      <c r="C193" s="346"/>
      <c r="D193" s="346"/>
      <c r="E193" s="295"/>
      <c r="F193" s="295"/>
      <c r="G193" s="295"/>
      <c r="H193" s="295"/>
      <c r="I193" s="295"/>
      <c r="J193" s="295"/>
      <c r="K193" s="295"/>
      <c r="L193" s="295"/>
      <c r="M193" s="295"/>
      <c r="N193" s="290">
        <f>+P102/H72</f>
        <v>7.5507160205181955E-3</v>
      </c>
      <c r="O193" s="261"/>
      <c r="P193" s="261"/>
      <c r="Q193" s="264"/>
      <c r="R193" s="5"/>
    </row>
    <row r="194" spans="1:18" ht="15.6" x14ac:dyDescent="0.3">
      <c r="A194" s="345"/>
      <c r="B194" s="261" t="s">
        <v>170</v>
      </c>
      <c r="C194" s="346"/>
      <c r="D194" s="346"/>
      <c r="E194" s="295"/>
      <c r="F194" s="295"/>
      <c r="G194" s="295"/>
      <c r="H194" s="295"/>
      <c r="I194" s="295"/>
      <c r="J194" s="295"/>
      <c r="K194" s="295"/>
      <c r="L194" s="295"/>
      <c r="M194" s="295"/>
      <c r="N194" s="347">
        <v>49065</v>
      </c>
      <c r="O194" s="261"/>
      <c r="P194" s="261"/>
      <c r="Q194" s="264"/>
      <c r="R194" s="5"/>
    </row>
    <row r="195" spans="1:18" ht="15.6" x14ac:dyDescent="0.3">
      <c r="A195" s="345"/>
      <c r="B195" s="261" t="s">
        <v>171</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172</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138</v>
      </c>
      <c r="C197" s="346"/>
      <c r="D197" s="346"/>
      <c r="E197" s="295"/>
      <c r="F197" s="295"/>
      <c r="G197" s="295"/>
      <c r="H197" s="295"/>
      <c r="I197" s="295"/>
      <c r="J197" s="295"/>
      <c r="K197" s="295"/>
      <c r="L197" s="295"/>
      <c r="M197" s="295"/>
      <c r="N197" s="347">
        <v>52352</v>
      </c>
      <c r="O197" s="261"/>
      <c r="P197" s="261"/>
      <c r="Q197" s="264"/>
      <c r="R197" s="5"/>
    </row>
    <row r="198" spans="1:18" ht="15.6" x14ac:dyDescent="0.3">
      <c r="A198" s="345"/>
      <c r="B198" s="261" t="s">
        <v>139</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82</v>
      </c>
      <c r="C199" s="346"/>
      <c r="D199" s="346"/>
      <c r="E199" s="295"/>
      <c r="F199" s="295"/>
      <c r="G199" s="295"/>
      <c r="H199" s="295"/>
      <c r="I199" s="295"/>
      <c r="J199" s="295"/>
      <c r="K199" s="295"/>
      <c r="L199" s="295"/>
      <c r="M199" s="295"/>
      <c r="N199" s="294">
        <v>20.45</v>
      </c>
      <c r="O199" s="261" t="s">
        <v>125</v>
      </c>
      <c r="P199" s="261"/>
      <c r="Q199" s="264"/>
      <c r="R199" s="5"/>
    </row>
    <row r="200" spans="1:18" ht="15.6" x14ac:dyDescent="0.3">
      <c r="A200" s="345"/>
      <c r="B200" s="261" t="s">
        <v>83</v>
      </c>
      <c r="C200" s="346"/>
      <c r="D200" s="346"/>
      <c r="E200" s="295"/>
      <c r="F200" s="295"/>
      <c r="G200" s="295"/>
      <c r="H200" s="295"/>
      <c r="I200" s="295"/>
      <c r="J200" s="295"/>
      <c r="K200" s="295"/>
      <c r="L200" s="295"/>
      <c r="M200" s="295"/>
      <c r="N200" s="294">
        <v>14.73</v>
      </c>
      <c r="O200" s="261" t="s">
        <v>125</v>
      </c>
      <c r="P200" s="261"/>
      <c r="Q200" s="264"/>
      <c r="R200" s="5"/>
    </row>
    <row r="201" spans="1:18" ht="15.6" x14ac:dyDescent="0.3">
      <c r="A201" s="345"/>
      <c r="B201" s="261" t="s">
        <v>84</v>
      </c>
      <c r="C201" s="346"/>
      <c r="D201" s="346"/>
      <c r="E201" s="295"/>
      <c r="F201" s="295"/>
      <c r="G201" s="295"/>
      <c r="H201" s="295"/>
      <c r="I201" s="295"/>
      <c r="J201" s="295"/>
      <c r="K201" s="295"/>
      <c r="L201" s="295"/>
      <c r="M201" s="295"/>
      <c r="N201" s="290">
        <f>J69/H69</f>
        <v>9.2412500377913719E-3</v>
      </c>
      <c r="O201" s="261"/>
      <c r="P201" s="261"/>
      <c r="Q201" s="264"/>
      <c r="R201" s="5"/>
    </row>
    <row r="202" spans="1:18" ht="15.6" x14ac:dyDescent="0.3">
      <c r="A202" s="345"/>
      <c r="B202" s="261" t="s">
        <v>85</v>
      </c>
      <c r="C202" s="346"/>
      <c r="D202" s="346"/>
      <c r="E202" s="295"/>
      <c r="F202" s="295"/>
      <c r="G202" s="295"/>
      <c r="H202" s="295"/>
      <c r="I202" s="295"/>
      <c r="J202" s="295"/>
      <c r="K202" s="295"/>
      <c r="L202" s="295"/>
      <c r="M202" s="295"/>
      <c r="N202" s="290">
        <v>0.1246</v>
      </c>
      <c r="O202" s="261"/>
      <c r="P202" s="261"/>
      <c r="Q202" s="264"/>
      <c r="R202" s="5"/>
    </row>
    <row r="203" spans="1:18" ht="15.6" x14ac:dyDescent="0.3">
      <c r="A203" s="217"/>
      <c r="B203" s="222"/>
      <c r="C203" s="222"/>
      <c r="D203" s="222"/>
      <c r="E203" s="190"/>
      <c r="F203" s="190"/>
      <c r="G203" s="190"/>
      <c r="H203" s="190"/>
      <c r="I203" s="190"/>
      <c r="J203" s="190"/>
      <c r="K203" s="190"/>
      <c r="L203" s="190"/>
      <c r="M203" s="190"/>
      <c r="N203" s="341"/>
      <c r="O203" s="190"/>
      <c r="P203" s="344"/>
      <c r="Q203" s="190"/>
      <c r="R203" s="5"/>
    </row>
    <row r="204" spans="1:18" ht="15.6" x14ac:dyDescent="0.3">
      <c r="A204" s="322"/>
      <c r="B204" s="393" t="s">
        <v>86</v>
      </c>
      <c r="C204" s="395"/>
      <c r="D204" s="400"/>
      <c r="E204" s="395"/>
      <c r="F204" s="395"/>
      <c r="G204" s="395"/>
      <c r="H204" s="395"/>
      <c r="I204" s="395"/>
      <c r="J204" s="395"/>
      <c r="K204" s="395"/>
      <c r="L204" s="395"/>
      <c r="M204" s="395" t="s">
        <v>113</v>
      </c>
      <c r="N204" s="400" t="s">
        <v>121</v>
      </c>
      <c r="O204" s="252"/>
      <c r="P204" s="252"/>
      <c r="Q204" s="252"/>
      <c r="R204" s="5"/>
    </row>
    <row r="205" spans="1:18" ht="15.6" x14ac:dyDescent="0.3">
      <c r="A205" s="221"/>
      <c r="B205" s="230" t="s">
        <v>87</v>
      </c>
      <c r="C205" s="235"/>
      <c r="D205" s="230"/>
      <c r="E205" s="230"/>
      <c r="F205" s="234"/>
      <c r="G205" s="234"/>
      <c r="H205" s="234"/>
      <c r="I205" s="234"/>
      <c r="J205" s="234"/>
      <c r="K205" s="234"/>
      <c r="L205" s="234"/>
      <c r="M205" s="234">
        <v>2</v>
      </c>
      <c r="N205" s="305">
        <v>208</v>
      </c>
      <c r="O205" s="230"/>
      <c r="P205" s="306"/>
      <c r="Q205" s="307"/>
      <c r="R205" s="5"/>
    </row>
    <row r="206" spans="1:18" ht="15.6" x14ac:dyDescent="0.3">
      <c r="A206" s="351"/>
      <c r="B206" s="261" t="s">
        <v>203</v>
      </c>
      <c r="C206" s="330"/>
      <c r="D206" s="261"/>
      <c r="E206" s="261"/>
      <c r="F206" s="268"/>
      <c r="G206" s="268"/>
      <c r="H206" s="268"/>
      <c r="I206" s="268"/>
      <c r="J206" s="268"/>
      <c r="K206" s="268"/>
      <c r="L206" s="268"/>
      <c r="M206" s="352">
        <f>+L254</f>
        <v>66</v>
      </c>
      <c r="N206" s="353">
        <f>+N254</f>
        <v>10818</v>
      </c>
      <c r="O206" s="261"/>
      <c r="P206" s="354"/>
      <c r="Q206" s="355"/>
      <c r="R206" s="5"/>
    </row>
    <row r="207" spans="1:18" ht="15.6" x14ac:dyDescent="0.3">
      <c r="A207" s="351"/>
      <c r="B207" s="261" t="s">
        <v>88</v>
      </c>
      <c r="C207" s="330"/>
      <c r="D207" s="261"/>
      <c r="E207" s="261"/>
      <c r="F207" s="268"/>
      <c r="G207" s="268"/>
      <c r="H207" s="268"/>
      <c r="I207" s="268"/>
      <c r="J207" s="268"/>
      <c r="K207" s="268"/>
      <c r="L207" s="268"/>
      <c r="M207" s="352">
        <f>+L265</f>
        <v>2</v>
      </c>
      <c r="N207" s="353">
        <f>+N265</f>
        <v>57</v>
      </c>
      <c r="O207" s="261"/>
      <c r="P207" s="354"/>
      <c r="Q207" s="355"/>
      <c r="R207" s="5"/>
    </row>
    <row r="208" spans="1:18" ht="15.6" x14ac:dyDescent="0.3">
      <c r="A208" s="351"/>
      <c r="B208" s="282" t="s">
        <v>89</v>
      </c>
      <c r="C208" s="356"/>
      <c r="D208" s="335"/>
      <c r="E208" s="335"/>
      <c r="F208" s="335"/>
      <c r="G208" s="335"/>
      <c r="H208" s="335"/>
      <c r="I208" s="335"/>
      <c r="J208" s="335"/>
      <c r="K208" s="335"/>
      <c r="L208" s="335"/>
      <c r="M208" s="335"/>
      <c r="N208" s="353">
        <v>0</v>
      </c>
      <c r="O208" s="335"/>
      <c r="P208" s="358"/>
      <c r="Q208" s="359"/>
      <c r="R208" s="5"/>
    </row>
    <row r="209" spans="1:18" ht="15.6" x14ac:dyDescent="0.3">
      <c r="A209" s="351"/>
      <c r="B209" s="282" t="s">
        <v>90</v>
      </c>
      <c r="C209" s="356"/>
      <c r="D209" s="335"/>
      <c r="E209" s="335"/>
      <c r="F209" s="335"/>
      <c r="G209" s="335"/>
      <c r="H209" s="335"/>
      <c r="I209" s="335"/>
      <c r="J209" s="335"/>
      <c r="K209" s="335"/>
      <c r="L209" s="335"/>
      <c r="M209" s="335"/>
      <c r="N209" s="369" t="s">
        <v>122</v>
      </c>
      <c r="O209" s="335"/>
      <c r="P209" s="358"/>
      <c r="Q209" s="359"/>
      <c r="R209" s="5"/>
    </row>
    <row r="210" spans="1:18" ht="15.6" x14ac:dyDescent="0.3">
      <c r="A210" s="360"/>
      <c r="B210" s="282" t="s">
        <v>91</v>
      </c>
      <c r="C210" s="361"/>
      <c r="D210" s="361"/>
      <c r="E210" s="335"/>
      <c r="F210" s="335"/>
      <c r="G210" s="335"/>
      <c r="H210" s="335"/>
      <c r="I210" s="335"/>
      <c r="J210" s="362"/>
      <c r="K210" s="335"/>
      <c r="L210" s="335"/>
      <c r="M210" s="335"/>
      <c r="N210" s="357"/>
      <c r="O210" s="335"/>
      <c r="P210" s="358"/>
      <c r="Q210" s="363"/>
      <c r="R210" s="5"/>
    </row>
    <row r="211" spans="1:18" ht="15.6" x14ac:dyDescent="0.3">
      <c r="A211" s="360"/>
      <c r="B211" s="261" t="s">
        <v>92</v>
      </c>
      <c r="C211" s="261"/>
      <c r="D211" s="261"/>
      <c r="E211" s="261"/>
      <c r="F211" s="261"/>
      <c r="G211" s="261"/>
      <c r="H211" s="261"/>
      <c r="I211" s="261"/>
      <c r="J211" s="261"/>
      <c r="K211" s="261"/>
      <c r="L211" s="261"/>
      <c r="M211" s="261"/>
      <c r="N211" s="353">
        <f>P154</f>
        <v>402</v>
      </c>
      <c r="O211" s="261"/>
      <c r="P211" s="354"/>
      <c r="Q211" s="363"/>
      <c r="R211" s="5"/>
    </row>
    <row r="212" spans="1:18" ht="15.6" x14ac:dyDescent="0.3">
      <c r="A212" s="351"/>
      <c r="B212" s="261" t="s">
        <v>93</v>
      </c>
      <c r="C212" s="330"/>
      <c r="D212" s="330"/>
      <c r="E212" s="261"/>
      <c r="F212" s="261"/>
      <c r="G212" s="261"/>
      <c r="H212" s="261"/>
      <c r="I212" s="261"/>
      <c r="J212" s="261"/>
      <c r="K212" s="261"/>
      <c r="L212" s="261"/>
      <c r="M212" s="261"/>
      <c r="N212" s="353">
        <f>'July 11'!N212+'Oct 11'!N211</f>
        <v>4304</v>
      </c>
      <c r="O212" s="261"/>
      <c r="P212" s="354"/>
      <c r="Q212" s="363"/>
      <c r="R212" s="5"/>
    </row>
    <row r="213" spans="1:18" ht="15.6" x14ac:dyDescent="0.3">
      <c r="A213" s="360"/>
      <c r="B213" s="282" t="s">
        <v>278</v>
      </c>
      <c r="C213" s="361"/>
      <c r="D213" s="361"/>
      <c r="E213" s="335"/>
      <c r="F213" s="335"/>
      <c r="G213" s="335"/>
      <c r="H213" s="335"/>
      <c r="I213" s="335"/>
      <c r="J213" s="335"/>
      <c r="K213" s="335"/>
      <c r="L213" s="335"/>
      <c r="M213" s="335"/>
      <c r="N213" s="357"/>
      <c r="O213" s="335"/>
      <c r="P213" s="358"/>
      <c r="Q213" s="363"/>
      <c r="R213" s="5"/>
    </row>
    <row r="214" spans="1:18" ht="15.6" x14ac:dyDescent="0.3">
      <c r="A214" s="360"/>
      <c r="B214" s="261" t="s">
        <v>276</v>
      </c>
      <c r="C214" s="261"/>
      <c r="D214" s="261"/>
      <c r="E214" s="261"/>
      <c r="F214" s="261"/>
      <c r="G214" s="261"/>
      <c r="H214" s="261"/>
      <c r="I214" s="261"/>
      <c r="J214" s="261"/>
      <c r="K214" s="261"/>
      <c r="L214" s="261"/>
      <c r="M214" s="268">
        <v>0</v>
      </c>
      <c r="N214" s="353">
        <v>0</v>
      </c>
      <c r="O214" s="261"/>
      <c r="P214" s="354"/>
      <c r="Q214" s="363"/>
      <c r="R214" s="5"/>
    </row>
    <row r="215" spans="1:18" ht="15.6" x14ac:dyDescent="0.3">
      <c r="A215" s="351"/>
      <c r="B215" s="261" t="s">
        <v>95</v>
      </c>
      <c r="C215" s="292"/>
      <c r="D215" s="368"/>
      <c r="E215" s="261"/>
      <c r="F215" s="261"/>
      <c r="G215" s="261"/>
      <c r="H215" s="261"/>
      <c r="I215" s="261"/>
      <c r="J215" s="261"/>
      <c r="K215" s="261"/>
      <c r="L215" s="261"/>
      <c r="M215" s="261"/>
      <c r="N215" s="369">
        <v>0</v>
      </c>
      <c r="O215" s="261"/>
      <c r="P215" s="354"/>
      <c r="Q215" s="363"/>
      <c r="R215" s="5"/>
    </row>
    <row r="216" spans="1:18" ht="15.6" x14ac:dyDescent="0.3">
      <c r="A216" s="351"/>
      <c r="B216" s="261" t="s">
        <v>96</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82" t="s">
        <v>251</v>
      </c>
      <c r="C217" s="370"/>
      <c r="D217" s="371"/>
      <c r="E217" s="335"/>
      <c r="F217" s="335"/>
      <c r="G217" s="335"/>
      <c r="H217" s="335"/>
      <c r="I217" s="335"/>
      <c r="J217" s="335"/>
      <c r="K217" s="335"/>
      <c r="L217" s="335"/>
      <c r="M217" s="335"/>
      <c r="N217" s="372"/>
      <c r="O217" s="335"/>
      <c r="P217" s="358"/>
      <c r="Q217" s="363"/>
      <c r="R217" s="5"/>
    </row>
    <row r="218" spans="1:18" ht="15.6" x14ac:dyDescent="0.3">
      <c r="A218" s="351"/>
      <c r="B218" s="261" t="s">
        <v>276</v>
      </c>
      <c r="C218" s="292"/>
      <c r="D218" s="368"/>
      <c r="E218" s="261"/>
      <c r="F218" s="261"/>
      <c r="G218" s="261"/>
      <c r="H218" s="261"/>
      <c r="I218" s="261"/>
      <c r="J218" s="261"/>
      <c r="K218" s="261"/>
      <c r="L218" s="261"/>
      <c r="M218" s="268">
        <v>5</v>
      </c>
      <c r="N218" s="353">
        <v>1197</v>
      </c>
      <c r="O218" s="261"/>
      <c r="P218" s="354"/>
      <c r="Q218" s="373"/>
      <c r="R218" s="308"/>
    </row>
    <row r="219" spans="1:18" ht="15.6" x14ac:dyDescent="0.3">
      <c r="A219" s="351"/>
      <c r="B219" s="261" t="s">
        <v>252</v>
      </c>
      <c r="C219" s="292"/>
      <c r="D219" s="368"/>
      <c r="E219" s="261"/>
      <c r="F219" s="261"/>
      <c r="G219" s="261"/>
      <c r="H219" s="261"/>
      <c r="I219" s="261"/>
      <c r="J219" s="261"/>
      <c r="K219" s="261"/>
      <c r="L219" s="261"/>
      <c r="M219" s="261"/>
      <c r="N219" s="369">
        <v>5.84</v>
      </c>
      <c r="O219" s="261"/>
      <c r="P219" s="354"/>
      <c r="Q219" s="373"/>
      <c r="R219" s="308"/>
    </row>
    <row r="220" spans="1:18" ht="15.6" x14ac:dyDescent="0.3">
      <c r="A220" s="351"/>
      <c r="B220" s="361"/>
      <c r="C220" s="370"/>
      <c r="D220" s="371"/>
      <c r="E220" s="335"/>
      <c r="F220" s="335"/>
      <c r="G220" s="335"/>
      <c r="H220" s="335"/>
      <c r="I220" s="335"/>
      <c r="J220" s="335"/>
      <c r="K220" s="335"/>
      <c r="L220" s="335"/>
      <c r="M220" s="335"/>
      <c r="N220" s="374"/>
      <c r="O220" s="335"/>
      <c r="P220" s="358"/>
      <c r="Q220" s="363"/>
      <c r="R220" s="5"/>
    </row>
    <row r="221" spans="1:18" ht="17.399999999999999" x14ac:dyDescent="0.3">
      <c r="A221" s="351"/>
      <c r="B221" s="375" t="s">
        <v>244</v>
      </c>
      <c r="C221" s="370"/>
      <c r="D221" s="371"/>
      <c r="E221" s="335"/>
      <c r="F221" s="335"/>
      <c r="G221" s="335"/>
      <c r="H221" s="335"/>
      <c r="I221" s="376"/>
      <c r="J221" s="377" t="s">
        <v>243</v>
      </c>
      <c r="K221" s="335"/>
      <c r="L221" s="335"/>
      <c r="M221" s="335"/>
      <c r="N221" s="374"/>
      <c r="O221" s="335"/>
      <c r="P221" s="358"/>
      <c r="Q221" s="363"/>
      <c r="R221" s="5"/>
    </row>
    <row r="222" spans="1:18" ht="15.6" x14ac:dyDescent="0.3">
      <c r="A222" s="348"/>
      <c r="B222" s="222"/>
      <c r="C222" s="223"/>
      <c r="D222" s="224"/>
      <c r="E222" s="190"/>
      <c r="F222" s="190"/>
      <c r="G222" s="190"/>
      <c r="H222" s="190"/>
      <c r="I222" s="190"/>
      <c r="J222" s="190"/>
      <c r="K222" s="190"/>
      <c r="L222" s="190"/>
      <c r="M222" s="190"/>
      <c r="N222" s="349"/>
      <c r="O222" s="190"/>
      <c r="P222" s="344"/>
      <c r="Q222" s="350"/>
      <c r="R222" s="5"/>
    </row>
    <row r="223" spans="1:18" ht="15.6" x14ac:dyDescent="0.3">
      <c r="A223" s="251"/>
      <c r="B223" s="393" t="s">
        <v>290</v>
      </c>
      <c r="C223" s="395"/>
      <c r="D223" s="400"/>
      <c r="E223" s="395"/>
      <c r="F223" s="395"/>
      <c r="G223" s="395"/>
      <c r="H223" s="395"/>
      <c r="I223" s="395"/>
      <c r="J223" s="395"/>
      <c r="K223" s="395"/>
      <c r="L223" s="400" t="s">
        <v>113</v>
      </c>
      <c r="M223" s="395" t="s">
        <v>114</v>
      </c>
      <c r="N223" s="400" t="s">
        <v>123</v>
      </c>
      <c r="O223" s="395" t="s">
        <v>114</v>
      </c>
      <c r="P223" s="252"/>
      <c r="Q223" s="393"/>
      <c r="R223" s="5"/>
    </row>
    <row r="224" spans="1:18" ht="15.6" x14ac:dyDescent="0.3">
      <c r="A224" s="198"/>
      <c r="B224" s="235" t="s">
        <v>98</v>
      </c>
      <c r="C224" s="309"/>
      <c r="D224" s="230"/>
      <c r="E224" s="309"/>
      <c r="F224" s="309"/>
      <c r="G224" s="309"/>
      <c r="H224" s="309"/>
      <c r="I224" s="309"/>
      <c r="J224" s="309"/>
      <c r="K224" s="309"/>
      <c r="L224" s="330">
        <f t="shared" ref="L224:L231" si="1">+L235+L246+L257</f>
        <v>3438</v>
      </c>
      <c r="M224" s="382">
        <f t="shared" ref="M224:M231" si="2">L224/$L$232</f>
        <v>0.98453608247422686</v>
      </c>
      <c r="N224" s="331">
        <f t="shared" ref="N224:N231" si="3">+N235+N246+N257</f>
        <v>387554</v>
      </c>
      <c r="O224" s="382">
        <f t="shared" ref="O224:O231" si="4">N224/$N$232</f>
        <v>0.98533767584237808</v>
      </c>
      <c r="P224" s="306"/>
      <c r="Q224" s="233"/>
      <c r="R224" s="5"/>
    </row>
    <row r="225" spans="1:18" ht="15.6" x14ac:dyDescent="0.3">
      <c r="A225" s="260"/>
      <c r="B225" s="330" t="s">
        <v>99</v>
      </c>
      <c r="C225" s="381"/>
      <c r="D225" s="261"/>
      <c r="E225" s="382"/>
      <c r="F225" s="381"/>
      <c r="G225" s="381"/>
      <c r="H225" s="381"/>
      <c r="I225" s="381"/>
      <c r="J225" s="381"/>
      <c r="K225" s="381"/>
      <c r="L225" s="330">
        <f t="shared" si="1"/>
        <v>25</v>
      </c>
      <c r="M225" s="382">
        <f t="shared" si="2"/>
        <v>7.1592210767468497E-3</v>
      </c>
      <c r="N225" s="331">
        <f t="shared" si="3"/>
        <v>2867</v>
      </c>
      <c r="O225" s="382">
        <f t="shared" si="4"/>
        <v>7.2892116108725447E-3</v>
      </c>
      <c r="P225" s="354"/>
      <c r="Q225" s="373"/>
      <c r="R225" s="5"/>
    </row>
    <row r="226" spans="1:18" ht="15.6" x14ac:dyDescent="0.3">
      <c r="A226" s="260"/>
      <c r="B226" s="330" t="s">
        <v>100</v>
      </c>
      <c r="C226" s="381"/>
      <c r="D226" s="261"/>
      <c r="E226" s="382"/>
      <c r="F226" s="381"/>
      <c r="G226" s="381"/>
      <c r="H226" s="381"/>
      <c r="I226" s="381"/>
      <c r="J226" s="381"/>
      <c r="K226" s="381"/>
      <c r="L226" s="330">
        <f t="shared" si="1"/>
        <v>9</v>
      </c>
      <c r="M226" s="382">
        <f t="shared" si="2"/>
        <v>2.5773195876288659E-3</v>
      </c>
      <c r="N226" s="331">
        <f t="shared" si="3"/>
        <v>765</v>
      </c>
      <c r="O226" s="382">
        <f t="shared" si="4"/>
        <v>1.9449762407804314E-3</v>
      </c>
      <c r="P226" s="354"/>
      <c r="Q226" s="373"/>
      <c r="R226" s="5"/>
    </row>
    <row r="227" spans="1:18" ht="15.6" x14ac:dyDescent="0.3">
      <c r="A227" s="260"/>
      <c r="B227" s="330" t="s">
        <v>227</v>
      </c>
      <c r="C227" s="381"/>
      <c r="D227" s="261"/>
      <c r="E227" s="382"/>
      <c r="F227" s="381"/>
      <c r="G227" s="381"/>
      <c r="H227" s="381"/>
      <c r="I227" s="381"/>
      <c r="J227" s="381"/>
      <c r="K227" s="381"/>
      <c r="L227" s="330">
        <f t="shared" si="1"/>
        <v>4</v>
      </c>
      <c r="M227" s="382">
        <f t="shared" si="2"/>
        <v>1.145475372279496E-3</v>
      </c>
      <c r="N227" s="331">
        <f t="shared" si="3"/>
        <v>329</v>
      </c>
      <c r="O227" s="382">
        <f t="shared" si="4"/>
        <v>8.3646690616570184E-4</v>
      </c>
      <c r="P227" s="354"/>
      <c r="Q227" s="373"/>
      <c r="R227" s="5"/>
    </row>
    <row r="228" spans="1:18" ht="15.6" x14ac:dyDescent="0.3">
      <c r="A228" s="260"/>
      <c r="B228" s="330" t="s">
        <v>228</v>
      </c>
      <c r="C228" s="381"/>
      <c r="D228" s="261"/>
      <c r="E228" s="382"/>
      <c r="F228" s="381"/>
      <c r="G228" s="381"/>
      <c r="H228" s="381"/>
      <c r="I228" s="381"/>
      <c r="J228" s="381"/>
      <c r="K228" s="381"/>
      <c r="L228" s="330">
        <f t="shared" si="1"/>
        <v>1</v>
      </c>
      <c r="M228" s="382">
        <f t="shared" si="2"/>
        <v>2.8636884306987401E-4</v>
      </c>
      <c r="N228" s="331">
        <f t="shared" si="3"/>
        <v>26</v>
      </c>
      <c r="O228" s="382">
        <f t="shared" si="4"/>
        <v>6.6103767660511385E-5</v>
      </c>
      <c r="P228" s="354"/>
      <c r="Q228" s="373"/>
      <c r="R228" s="5"/>
    </row>
    <row r="229" spans="1:18" ht="15.6" x14ac:dyDescent="0.3">
      <c r="A229" s="260"/>
      <c r="B229" s="330" t="s">
        <v>229</v>
      </c>
      <c r="C229" s="381"/>
      <c r="D229" s="261"/>
      <c r="E229" s="382"/>
      <c r="F229" s="381"/>
      <c r="G229" s="381"/>
      <c r="H229" s="381"/>
      <c r="I229" s="381"/>
      <c r="J229" s="381"/>
      <c r="K229" s="381"/>
      <c r="L229" s="330">
        <f t="shared" si="1"/>
        <v>3</v>
      </c>
      <c r="M229" s="382">
        <f t="shared" si="2"/>
        <v>8.5910652920962198E-4</v>
      </c>
      <c r="N229" s="331">
        <f t="shared" si="3"/>
        <v>272</v>
      </c>
      <c r="O229" s="382">
        <f t="shared" si="4"/>
        <v>6.9154710783304223E-4</v>
      </c>
      <c r="P229" s="354"/>
      <c r="Q229" s="373"/>
      <c r="R229" s="5"/>
    </row>
    <row r="230" spans="1:18" ht="15.6" x14ac:dyDescent="0.3">
      <c r="A230" s="260"/>
      <c r="B230" s="330" t="s">
        <v>230</v>
      </c>
      <c r="C230" s="381"/>
      <c r="D230" s="261"/>
      <c r="E230" s="382"/>
      <c r="F230" s="381"/>
      <c r="G230" s="381"/>
      <c r="H230" s="381"/>
      <c r="I230" s="381"/>
      <c r="J230" s="381"/>
      <c r="K230" s="381"/>
      <c r="L230" s="330">
        <f t="shared" si="1"/>
        <v>4</v>
      </c>
      <c r="M230" s="382">
        <f t="shared" si="2"/>
        <v>1.145475372279496E-3</v>
      </c>
      <c r="N230" s="331">
        <f t="shared" si="3"/>
        <v>160</v>
      </c>
      <c r="O230" s="382">
        <f t="shared" si="4"/>
        <v>4.0679241637237777E-4</v>
      </c>
      <c r="P230" s="354"/>
      <c r="Q230" s="373"/>
      <c r="R230" s="5"/>
    </row>
    <row r="231" spans="1:18" ht="15.6" x14ac:dyDescent="0.3">
      <c r="A231" s="260"/>
      <c r="B231" s="330" t="s">
        <v>231</v>
      </c>
      <c r="C231" s="381"/>
      <c r="D231" s="261"/>
      <c r="E231" s="382"/>
      <c r="F231" s="381"/>
      <c r="G231" s="381"/>
      <c r="H231" s="381"/>
      <c r="I231" s="381"/>
      <c r="J231" s="381"/>
      <c r="K231" s="381"/>
      <c r="L231" s="330">
        <f t="shared" si="1"/>
        <v>8</v>
      </c>
      <c r="M231" s="382">
        <f t="shared" si="2"/>
        <v>2.2909507445589921E-3</v>
      </c>
      <c r="N231" s="331">
        <f t="shared" si="3"/>
        <v>1348</v>
      </c>
      <c r="O231" s="382">
        <f t="shared" si="4"/>
        <v>3.4272261079372826E-3</v>
      </c>
      <c r="P231" s="354"/>
      <c r="Q231" s="373"/>
      <c r="R231" s="5"/>
    </row>
    <row r="232" spans="1:18" ht="15.6" x14ac:dyDescent="0.3">
      <c r="A232" s="260"/>
      <c r="B232" s="261" t="s">
        <v>129</v>
      </c>
      <c r="C232" s="261"/>
      <c r="D232" s="261"/>
      <c r="E232" s="261"/>
      <c r="F232" s="383"/>
      <c r="G232" s="383"/>
      <c r="H232" s="383"/>
      <c r="I232" s="383"/>
      <c r="J232" s="383"/>
      <c r="K232" s="383"/>
      <c r="L232" s="330">
        <f>SUM(L224:L231)</f>
        <v>3492</v>
      </c>
      <c r="M232" s="382">
        <f>SUM(M224:M231)</f>
        <v>1</v>
      </c>
      <c r="N232" s="330">
        <f>SUM(N224:N231)</f>
        <v>393321</v>
      </c>
      <c r="O232" s="382">
        <f>SUM(O224:O231)</f>
        <v>1</v>
      </c>
      <c r="P232" s="261"/>
      <c r="Q232" s="264"/>
      <c r="R232" s="5"/>
    </row>
    <row r="233" spans="1:18" ht="15.6" x14ac:dyDescent="0.3">
      <c r="A233" s="348"/>
      <c r="B233" s="222"/>
      <c r="C233" s="223"/>
      <c r="D233" s="224"/>
      <c r="E233" s="190"/>
      <c r="F233" s="190"/>
      <c r="G233" s="190"/>
      <c r="H233" s="190"/>
      <c r="I233" s="190"/>
      <c r="J233" s="190"/>
      <c r="K233" s="190"/>
      <c r="L233" s="190"/>
      <c r="M233" s="190"/>
      <c r="N233" s="349"/>
      <c r="O233" s="190"/>
      <c r="P233" s="344"/>
      <c r="Q233" s="350"/>
      <c r="R233" s="5"/>
    </row>
    <row r="234" spans="1:18" ht="15.6" x14ac:dyDescent="0.3">
      <c r="A234" s="251"/>
      <c r="B234" s="393" t="s">
        <v>236</v>
      </c>
      <c r="C234" s="395"/>
      <c r="D234" s="400"/>
      <c r="E234" s="395"/>
      <c r="F234" s="395"/>
      <c r="G234" s="395"/>
      <c r="H234" s="395"/>
      <c r="I234" s="395"/>
      <c r="J234" s="395"/>
      <c r="K234" s="395"/>
      <c r="L234" s="400" t="s">
        <v>113</v>
      </c>
      <c r="M234" s="395" t="s">
        <v>114</v>
      </c>
      <c r="N234" s="400" t="s">
        <v>123</v>
      </c>
      <c r="O234" s="395" t="s">
        <v>114</v>
      </c>
      <c r="P234" s="252"/>
      <c r="Q234" s="393"/>
      <c r="R234" s="5"/>
    </row>
    <row r="235" spans="1:18" ht="15.6" x14ac:dyDescent="0.3">
      <c r="A235" s="198"/>
      <c r="B235" s="235" t="s">
        <v>98</v>
      </c>
      <c r="C235" s="309"/>
      <c r="D235" s="230"/>
      <c r="E235" s="309"/>
      <c r="F235" s="309"/>
      <c r="G235" s="309"/>
      <c r="H235" s="309"/>
      <c r="I235" s="309"/>
      <c r="J235" s="309"/>
      <c r="K235" s="309"/>
      <c r="L235" s="235">
        <v>3385</v>
      </c>
      <c r="M235" s="310">
        <f t="shared" ref="M235:M242" si="5">L235/$L$243</f>
        <v>0.98860981308411211</v>
      </c>
      <c r="N235" s="300">
        <v>378830</v>
      </c>
      <c r="O235" s="310">
        <f t="shared" ref="O235:O242" si="6">N235/$N$243</f>
        <v>0.9905450704151697</v>
      </c>
      <c r="P235" s="306"/>
      <c r="Q235" s="233"/>
      <c r="R235" s="5"/>
    </row>
    <row r="236" spans="1:18" ht="15.6" x14ac:dyDescent="0.3">
      <c r="A236" s="260"/>
      <c r="B236" s="330" t="s">
        <v>99</v>
      </c>
      <c r="C236" s="381"/>
      <c r="D236" s="261"/>
      <c r="E236" s="382"/>
      <c r="F236" s="381"/>
      <c r="G236" s="381"/>
      <c r="H236" s="381"/>
      <c r="I236" s="381"/>
      <c r="J236" s="381"/>
      <c r="K236" s="381"/>
      <c r="L236" s="330">
        <v>23</v>
      </c>
      <c r="M236" s="382">
        <f t="shared" si="5"/>
        <v>6.7172897196261681E-3</v>
      </c>
      <c r="N236" s="331">
        <v>2642</v>
      </c>
      <c r="O236" s="382">
        <f t="shared" si="6"/>
        <v>6.9081648128101747E-3</v>
      </c>
      <c r="P236" s="354"/>
      <c r="Q236" s="373"/>
      <c r="R236" s="5"/>
    </row>
    <row r="237" spans="1:18" ht="15.6" x14ac:dyDescent="0.3">
      <c r="A237" s="260"/>
      <c r="B237" s="330" t="s">
        <v>100</v>
      </c>
      <c r="C237" s="381"/>
      <c r="D237" s="261"/>
      <c r="E237" s="382"/>
      <c r="F237" s="381"/>
      <c r="G237" s="381"/>
      <c r="H237" s="381"/>
      <c r="I237" s="381"/>
      <c r="J237" s="381"/>
      <c r="K237" s="381"/>
      <c r="L237" s="330">
        <v>7</v>
      </c>
      <c r="M237" s="382">
        <f t="shared" si="5"/>
        <v>2.0443925233644858E-3</v>
      </c>
      <c r="N237" s="331">
        <v>504</v>
      </c>
      <c r="O237" s="382">
        <f t="shared" si="6"/>
        <v>1.3178331058502377E-3</v>
      </c>
      <c r="P237" s="354"/>
      <c r="Q237" s="373"/>
      <c r="R237" s="5"/>
    </row>
    <row r="238" spans="1:18" ht="15.6" x14ac:dyDescent="0.3">
      <c r="A238" s="260"/>
      <c r="B238" s="330" t="s">
        <v>227</v>
      </c>
      <c r="C238" s="381"/>
      <c r="D238" s="261"/>
      <c r="E238" s="382"/>
      <c r="F238" s="381"/>
      <c r="G238" s="381"/>
      <c r="H238" s="381"/>
      <c r="I238" s="381"/>
      <c r="J238" s="381"/>
      <c r="K238" s="381"/>
      <c r="L238" s="330">
        <v>4</v>
      </c>
      <c r="M238" s="382">
        <f t="shared" si="5"/>
        <v>1.1682242990654205E-3</v>
      </c>
      <c r="N238" s="331">
        <v>329</v>
      </c>
      <c r="O238" s="382">
        <f t="shared" si="6"/>
        <v>8.602521663189052E-4</v>
      </c>
      <c r="P238" s="354"/>
      <c r="Q238" s="373"/>
      <c r="R238" s="5"/>
    </row>
    <row r="239" spans="1:18" ht="15.6" x14ac:dyDescent="0.3">
      <c r="A239" s="260"/>
      <c r="B239" s="330" t="s">
        <v>228</v>
      </c>
      <c r="C239" s="381"/>
      <c r="D239" s="261"/>
      <c r="E239" s="382"/>
      <c r="F239" s="381"/>
      <c r="G239" s="381"/>
      <c r="H239" s="381"/>
      <c r="I239" s="381"/>
      <c r="J239" s="381"/>
      <c r="K239" s="381"/>
      <c r="L239" s="330">
        <v>1</v>
      </c>
      <c r="M239" s="382">
        <f t="shared" si="5"/>
        <v>2.9205607476635512E-4</v>
      </c>
      <c r="N239" s="331">
        <v>26</v>
      </c>
      <c r="O239" s="382">
        <f t="shared" si="6"/>
        <v>6.7983453873226549E-5</v>
      </c>
      <c r="P239" s="354"/>
      <c r="Q239" s="373"/>
      <c r="R239" s="5"/>
    </row>
    <row r="240" spans="1:18" ht="15.6" x14ac:dyDescent="0.3">
      <c r="A240" s="260"/>
      <c r="B240" s="330" t="s">
        <v>229</v>
      </c>
      <c r="C240" s="381"/>
      <c r="D240" s="261"/>
      <c r="E240" s="382"/>
      <c r="F240" s="381"/>
      <c r="G240" s="381"/>
      <c r="H240" s="381"/>
      <c r="I240" s="381"/>
      <c r="J240" s="381"/>
      <c r="K240" s="381"/>
      <c r="L240" s="330">
        <v>2</v>
      </c>
      <c r="M240" s="382">
        <f t="shared" si="5"/>
        <v>5.8411214953271024E-4</v>
      </c>
      <c r="N240" s="331">
        <v>51</v>
      </c>
      <c r="O240" s="382">
        <f t="shared" si="6"/>
        <v>1.3335215952055976E-4</v>
      </c>
      <c r="P240" s="354"/>
      <c r="Q240" s="373"/>
      <c r="R240" s="5"/>
    </row>
    <row r="241" spans="1:18" ht="15.6" x14ac:dyDescent="0.3">
      <c r="A241" s="260"/>
      <c r="B241" s="330" t="s">
        <v>230</v>
      </c>
      <c r="C241" s="381"/>
      <c r="D241" s="261"/>
      <c r="E241" s="382"/>
      <c r="F241" s="381"/>
      <c r="G241" s="381"/>
      <c r="H241" s="381"/>
      <c r="I241" s="381"/>
      <c r="J241" s="381"/>
      <c r="K241" s="381"/>
      <c r="L241" s="330">
        <v>2</v>
      </c>
      <c r="M241" s="382">
        <f t="shared" si="5"/>
        <v>5.8411214953271024E-4</v>
      </c>
      <c r="N241" s="331">
        <v>64</v>
      </c>
      <c r="O241" s="382">
        <f t="shared" si="6"/>
        <v>1.6734388645717305E-4</v>
      </c>
      <c r="P241" s="354"/>
      <c r="Q241" s="373"/>
      <c r="R241" s="5"/>
    </row>
    <row r="242" spans="1:18" ht="15.6" x14ac:dyDescent="0.3">
      <c r="A242" s="260"/>
      <c r="B242" s="330" t="s">
        <v>231</v>
      </c>
      <c r="C242" s="381"/>
      <c r="D242" s="261"/>
      <c r="E242" s="382"/>
      <c r="F242" s="381"/>
      <c r="G242" s="381"/>
      <c r="H242" s="381"/>
      <c r="I242" s="381"/>
      <c r="J242" s="381"/>
      <c r="K242" s="381"/>
      <c r="L242" s="330">
        <v>0</v>
      </c>
      <c r="M242" s="382">
        <f t="shared" si="5"/>
        <v>0</v>
      </c>
      <c r="N242" s="331">
        <v>0</v>
      </c>
      <c r="O242" s="382">
        <f t="shared" si="6"/>
        <v>0</v>
      </c>
      <c r="P242" s="354"/>
      <c r="Q242" s="373"/>
      <c r="R242" s="5"/>
    </row>
    <row r="243" spans="1:18" ht="15.6" x14ac:dyDescent="0.3">
      <c r="A243" s="260"/>
      <c r="B243" s="261" t="s">
        <v>129</v>
      </c>
      <c r="C243" s="261"/>
      <c r="D243" s="261"/>
      <c r="E243" s="261"/>
      <c r="F243" s="383"/>
      <c r="G243" s="383"/>
      <c r="H243" s="383"/>
      <c r="I243" s="383"/>
      <c r="J243" s="383"/>
      <c r="K243" s="383"/>
      <c r="L243" s="330">
        <f>SUM(L235:L242)</f>
        <v>3424</v>
      </c>
      <c r="M243" s="382">
        <f>SUM(M235:M242)</f>
        <v>0.99999999999999989</v>
      </c>
      <c r="N243" s="331">
        <f>SUM(N235:N242)</f>
        <v>382446</v>
      </c>
      <c r="O243" s="382">
        <f>SUM(O235:O242)</f>
        <v>1</v>
      </c>
      <c r="P243" s="261"/>
      <c r="Q243" s="264"/>
      <c r="R243" s="5"/>
    </row>
    <row r="244" spans="1:18" ht="15.6" x14ac:dyDescent="0.3">
      <c r="A244" s="183"/>
      <c r="B244" s="257"/>
      <c r="C244" s="257"/>
      <c r="D244" s="257"/>
      <c r="E244" s="257"/>
      <c r="F244" s="378"/>
      <c r="G244" s="378"/>
      <c r="H244" s="378"/>
      <c r="I244" s="378"/>
      <c r="J244" s="378"/>
      <c r="K244" s="378"/>
      <c r="L244" s="302"/>
      <c r="M244" s="379"/>
      <c r="N244" s="380"/>
      <c r="O244" s="379"/>
      <c r="P244" s="257"/>
      <c r="Q244" s="257"/>
      <c r="R244" s="5"/>
    </row>
    <row r="245" spans="1:18" ht="15.6" x14ac:dyDescent="0.3">
      <c r="A245" s="316"/>
      <c r="B245" s="393" t="s">
        <v>238</v>
      </c>
      <c r="C245" s="395"/>
      <c r="D245" s="400"/>
      <c r="E245" s="395"/>
      <c r="F245" s="395"/>
      <c r="G245" s="395"/>
      <c r="H245" s="395"/>
      <c r="I245" s="395"/>
      <c r="J245" s="395"/>
      <c r="K245" s="395"/>
      <c r="L245" s="400" t="s">
        <v>113</v>
      </c>
      <c r="M245" s="395" t="s">
        <v>114</v>
      </c>
      <c r="N245" s="400" t="s">
        <v>123</v>
      </c>
      <c r="O245" s="395" t="s">
        <v>114</v>
      </c>
      <c r="P245" s="252"/>
      <c r="Q245" s="321"/>
      <c r="R245" s="5"/>
    </row>
    <row r="246" spans="1:18" ht="15.6" x14ac:dyDescent="0.3">
      <c r="A246" s="198"/>
      <c r="B246" s="235" t="s">
        <v>98</v>
      </c>
      <c r="C246" s="309"/>
      <c r="D246" s="230"/>
      <c r="E246" s="309"/>
      <c r="F246" s="309"/>
      <c r="G246" s="309"/>
      <c r="H246" s="309"/>
      <c r="I246" s="309"/>
      <c r="J246" s="309"/>
      <c r="K246" s="309"/>
      <c r="L246" s="235">
        <v>53</v>
      </c>
      <c r="M246" s="310">
        <f t="shared" ref="M246:M253" si="7">L246/$L$254</f>
        <v>0.80303030303030298</v>
      </c>
      <c r="N246" s="300">
        <v>8724</v>
      </c>
      <c r="O246" s="310">
        <f t="shared" ref="O246:O253" si="8">N246/$N$254</f>
        <v>0.80643372157515247</v>
      </c>
      <c r="P246" s="306"/>
      <c r="Q246" s="230"/>
      <c r="R246" s="5"/>
    </row>
    <row r="247" spans="1:18" ht="15.6" x14ac:dyDescent="0.3">
      <c r="A247" s="260"/>
      <c r="B247" s="330" t="s">
        <v>99</v>
      </c>
      <c r="C247" s="381"/>
      <c r="D247" s="261"/>
      <c r="E247" s="382"/>
      <c r="F247" s="381"/>
      <c r="G247" s="381"/>
      <c r="H247" s="381"/>
      <c r="I247" s="381"/>
      <c r="J247" s="381"/>
      <c r="K247" s="381"/>
      <c r="L247" s="330">
        <v>2</v>
      </c>
      <c r="M247" s="382">
        <f t="shared" si="7"/>
        <v>3.0303030303030304E-2</v>
      </c>
      <c r="N247" s="331">
        <v>225</v>
      </c>
      <c r="O247" s="382">
        <f t="shared" si="8"/>
        <v>2.0798668885191347E-2</v>
      </c>
      <c r="P247" s="354"/>
      <c r="Q247" s="264"/>
      <c r="R247" s="5"/>
    </row>
    <row r="248" spans="1:18" ht="15.6" x14ac:dyDescent="0.3">
      <c r="A248" s="260"/>
      <c r="B248" s="330" t="s">
        <v>100</v>
      </c>
      <c r="C248" s="381"/>
      <c r="D248" s="261"/>
      <c r="E248" s="382"/>
      <c r="F248" s="381"/>
      <c r="G248" s="381"/>
      <c r="H248" s="381"/>
      <c r="I248" s="381"/>
      <c r="J248" s="381"/>
      <c r="K248" s="381"/>
      <c r="L248" s="330">
        <v>2</v>
      </c>
      <c r="M248" s="382">
        <f t="shared" si="7"/>
        <v>3.0303030303030304E-2</v>
      </c>
      <c r="N248" s="331">
        <v>261</v>
      </c>
      <c r="O248" s="382">
        <f t="shared" si="8"/>
        <v>2.4126455906821963E-2</v>
      </c>
      <c r="P248" s="354"/>
      <c r="Q248" s="264"/>
      <c r="R248" s="5"/>
    </row>
    <row r="249" spans="1:18" ht="15.6" x14ac:dyDescent="0.3">
      <c r="A249" s="260"/>
      <c r="B249" s="330" t="s">
        <v>227</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228</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229</v>
      </c>
      <c r="C251" s="381"/>
      <c r="D251" s="261"/>
      <c r="E251" s="382"/>
      <c r="F251" s="381"/>
      <c r="G251" s="381"/>
      <c r="H251" s="381"/>
      <c r="I251" s="381"/>
      <c r="J251" s="381"/>
      <c r="K251" s="381"/>
      <c r="L251" s="330">
        <v>1</v>
      </c>
      <c r="M251" s="382">
        <f t="shared" si="7"/>
        <v>1.5151515151515152E-2</v>
      </c>
      <c r="N251" s="331">
        <v>221</v>
      </c>
      <c r="O251" s="382">
        <f t="shared" si="8"/>
        <v>2.0428914771676836E-2</v>
      </c>
      <c r="P251" s="354"/>
      <c r="Q251" s="264"/>
      <c r="R251" s="5"/>
    </row>
    <row r="252" spans="1:18" ht="15.6" x14ac:dyDescent="0.3">
      <c r="A252" s="260"/>
      <c r="B252" s="330" t="s">
        <v>230</v>
      </c>
      <c r="C252" s="381"/>
      <c r="D252" s="261"/>
      <c r="E252" s="382"/>
      <c r="F252" s="381"/>
      <c r="G252" s="381"/>
      <c r="H252" s="381"/>
      <c r="I252" s="381"/>
      <c r="J252" s="381"/>
      <c r="K252" s="381"/>
      <c r="L252" s="330">
        <v>1</v>
      </c>
      <c r="M252" s="382">
        <f t="shared" si="7"/>
        <v>1.5151515151515152E-2</v>
      </c>
      <c r="N252" s="331">
        <v>60</v>
      </c>
      <c r="O252" s="382">
        <f t="shared" si="8"/>
        <v>5.546311702717693E-3</v>
      </c>
      <c r="P252" s="354"/>
      <c r="Q252" s="264"/>
      <c r="R252" s="5"/>
    </row>
    <row r="253" spans="1:18" ht="15.6" x14ac:dyDescent="0.3">
      <c r="A253" s="260"/>
      <c r="B253" s="330" t="s">
        <v>231</v>
      </c>
      <c r="C253" s="381"/>
      <c r="D253" s="261"/>
      <c r="E253" s="382"/>
      <c r="F253" s="381"/>
      <c r="G253" s="381"/>
      <c r="H253" s="381"/>
      <c r="I253" s="381"/>
      <c r="J253" s="381"/>
      <c r="K253" s="381"/>
      <c r="L253" s="330">
        <v>7</v>
      </c>
      <c r="M253" s="382">
        <f t="shared" si="7"/>
        <v>0.10606060606060606</v>
      </c>
      <c r="N253" s="331">
        <v>1327</v>
      </c>
      <c r="O253" s="382">
        <f t="shared" si="8"/>
        <v>0.12266592715843964</v>
      </c>
      <c r="P253" s="354"/>
      <c r="Q253" s="264"/>
      <c r="R253" s="5"/>
    </row>
    <row r="254" spans="1:18" ht="15.6" x14ac:dyDescent="0.3">
      <c r="A254" s="260"/>
      <c r="B254" s="261" t="s">
        <v>129</v>
      </c>
      <c r="C254" s="261"/>
      <c r="D254" s="261"/>
      <c r="E254" s="261"/>
      <c r="F254" s="383"/>
      <c r="G254" s="383"/>
      <c r="H254" s="383"/>
      <c r="I254" s="383"/>
      <c r="J254" s="383"/>
      <c r="K254" s="383"/>
      <c r="L254" s="330">
        <f>SUM(L246:L253)</f>
        <v>66</v>
      </c>
      <c r="M254" s="382">
        <f>SUM(M246:M253)</f>
        <v>0.99999999999999989</v>
      </c>
      <c r="N254" s="331">
        <f>SUM(N246:N253)</f>
        <v>10818</v>
      </c>
      <c r="O254" s="382">
        <f>SUM(O246:O253)</f>
        <v>0.99999999999999989</v>
      </c>
      <c r="P254" s="261"/>
      <c r="Q254" s="264"/>
      <c r="R254" s="5"/>
    </row>
    <row r="255" spans="1:18" ht="15.6" x14ac:dyDescent="0.3">
      <c r="A255" s="183"/>
      <c r="B255" s="257"/>
      <c r="C255" s="257"/>
      <c r="D255" s="257"/>
      <c r="E255" s="257"/>
      <c r="F255" s="378"/>
      <c r="G255" s="378"/>
      <c r="H255" s="378"/>
      <c r="I255" s="378"/>
      <c r="J255" s="378"/>
      <c r="K255" s="378"/>
      <c r="L255" s="302"/>
      <c r="M255" s="379"/>
      <c r="N255" s="380"/>
      <c r="O255" s="379"/>
      <c r="P255" s="257"/>
      <c r="Q255" s="257"/>
      <c r="R255" s="5"/>
    </row>
    <row r="256" spans="1:18" ht="15.6" x14ac:dyDescent="0.3">
      <c r="A256" s="316"/>
      <c r="B256" s="393" t="s">
        <v>239</v>
      </c>
      <c r="C256" s="395"/>
      <c r="D256" s="400"/>
      <c r="E256" s="395"/>
      <c r="F256" s="395"/>
      <c r="G256" s="395"/>
      <c r="H256" s="395"/>
      <c r="I256" s="395"/>
      <c r="J256" s="395"/>
      <c r="K256" s="395"/>
      <c r="L256" s="400" t="s">
        <v>113</v>
      </c>
      <c r="M256" s="395" t="s">
        <v>114</v>
      </c>
      <c r="N256" s="400" t="s">
        <v>123</v>
      </c>
      <c r="O256" s="395" t="s">
        <v>114</v>
      </c>
      <c r="P256" s="320"/>
      <c r="Q256" s="321"/>
      <c r="R256" s="5"/>
    </row>
    <row r="257" spans="1:18" ht="15.6" x14ac:dyDescent="0.3">
      <c r="A257" s="198"/>
      <c r="B257" s="235" t="s">
        <v>98</v>
      </c>
      <c r="C257" s="309"/>
      <c r="D257" s="230"/>
      <c r="E257" s="309"/>
      <c r="F257" s="309"/>
      <c r="G257" s="309"/>
      <c r="H257" s="309"/>
      <c r="I257" s="309"/>
      <c r="J257" s="309"/>
      <c r="K257" s="309"/>
      <c r="L257" s="235">
        <v>0</v>
      </c>
      <c r="M257" s="310">
        <v>0</v>
      </c>
      <c r="N257" s="300">
        <v>0</v>
      </c>
      <c r="O257" s="310">
        <v>0</v>
      </c>
      <c r="P257" s="230"/>
      <c r="Q257" s="230"/>
      <c r="R257" s="5"/>
    </row>
    <row r="258" spans="1:18" ht="15.6" x14ac:dyDescent="0.3">
      <c r="A258" s="260"/>
      <c r="B258" s="330" t="s">
        <v>99</v>
      </c>
      <c r="C258" s="381"/>
      <c r="D258" s="261"/>
      <c r="E258" s="382"/>
      <c r="F258" s="381"/>
      <c r="G258" s="381"/>
      <c r="H258" s="381"/>
      <c r="I258" s="381"/>
      <c r="J258" s="381"/>
      <c r="K258" s="381"/>
      <c r="L258" s="330">
        <v>0</v>
      </c>
      <c r="M258" s="382">
        <v>0</v>
      </c>
      <c r="N258" s="331">
        <v>0</v>
      </c>
      <c r="O258" s="382">
        <v>0</v>
      </c>
      <c r="P258" s="261"/>
      <c r="Q258" s="264"/>
      <c r="R258" s="5"/>
    </row>
    <row r="259" spans="1:18" ht="15.6" x14ac:dyDescent="0.3">
      <c r="A259" s="260"/>
      <c r="B259" s="330" t="s">
        <v>100</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227</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228</v>
      </c>
      <c r="C261" s="381"/>
      <c r="D261" s="261"/>
      <c r="E261" s="382"/>
      <c r="F261" s="381"/>
      <c r="G261" s="381"/>
      <c r="H261" s="381"/>
      <c r="I261" s="381"/>
      <c r="J261" s="381"/>
      <c r="K261" s="381"/>
      <c r="L261" s="330">
        <v>0</v>
      </c>
      <c r="M261" s="382">
        <f>L261/L265</f>
        <v>0</v>
      </c>
      <c r="N261" s="331">
        <v>0</v>
      </c>
      <c r="O261" s="382">
        <f>N261/N265</f>
        <v>0</v>
      </c>
      <c r="P261" s="261"/>
      <c r="Q261" s="264"/>
      <c r="R261" s="5"/>
    </row>
    <row r="262" spans="1:18" ht="15.6" x14ac:dyDescent="0.3">
      <c r="A262" s="260"/>
      <c r="B262" s="330" t="s">
        <v>229</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230</v>
      </c>
      <c r="C263" s="381"/>
      <c r="D263" s="261"/>
      <c r="E263" s="382"/>
      <c r="F263" s="381"/>
      <c r="G263" s="381"/>
      <c r="H263" s="381"/>
      <c r="I263" s="381"/>
      <c r="J263" s="381"/>
      <c r="K263" s="381"/>
      <c r="L263" s="330">
        <v>1</v>
      </c>
      <c r="M263" s="382">
        <f>L263/L265</f>
        <v>0.5</v>
      </c>
      <c r="N263" s="331">
        <v>36</v>
      </c>
      <c r="O263" s="382">
        <f>N263/N265</f>
        <v>0.63157894736842102</v>
      </c>
      <c r="P263" s="261"/>
      <c r="Q263" s="264"/>
      <c r="R263" s="5"/>
    </row>
    <row r="264" spans="1:18" ht="15.6" x14ac:dyDescent="0.3">
      <c r="A264" s="260"/>
      <c r="B264" s="330" t="s">
        <v>231</v>
      </c>
      <c r="C264" s="381"/>
      <c r="D264" s="261"/>
      <c r="E264" s="382"/>
      <c r="F264" s="381"/>
      <c r="G264" s="381"/>
      <c r="H264" s="381"/>
      <c r="I264" s="381"/>
      <c r="J264" s="381"/>
      <c r="K264" s="381"/>
      <c r="L264" s="330">
        <v>1</v>
      </c>
      <c r="M264" s="382">
        <f>L264/L265</f>
        <v>0.5</v>
      </c>
      <c r="N264" s="331">
        <v>21</v>
      </c>
      <c r="O264" s="382">
        <f>N264/N265</f>
        <v>0.36842105263157893</v>
      </c>
      <c r="P264" s="261"/>
      <c r="Q264" s="264"/>
      <c r="R264" s="5"/>
    </row>
    <row r="265" spans="1:18" ht="15.6" x14ac:dyDescent="0.3">
      <c r="A265" s="260"/>
      <c r="B265" s="261" t="s">
        <v>129</v>
      </c>
      <c r="C265" s="261"/>
      <c r="D265" s="261"/>
      <c r="E265" s="261"/>
      <c r="F265" s="383"/>
      <c r="G265" s="383"/>
      <c r="H265" s="383"/>
      <c r="I265" s="383"/>
      <c r="J265" s="383"/>
      <c r="K265" s="383"/>
      <c r="L265" s="330">
        <f>SUM(L257:L264)</f>
        <v>2</v>
      </c>
      <c r="M265" s="382">
        <f>SUM(M257:M264)</f>
        <v>1</v>
      </c>
      <c r="N265" s="331">
        <f>SUM(N257:N264)</f>
        <v>57</v>
      </c>
      <c r="O265" s="382">
        <f>SUM(O257:O264)</f>
        <v>1</v>
      </c>
      <c r="P265" s="261"/>
      <c r="Q265" s="264"/>
      <c r="R265" s="5"/>
    </row>
    <row r="266" spans="1:18" ht="15.6" x14ac:dyDescent="0.3">
      <c r="A266" s="260"/>
      <c r="B266" s="261"/>
      <c r="C266" s="261"/>
      <c r="D266" s="261"/>
      <c r="E266" s="261"/>
      <c r="F266" s="383"/>
      <c r="G266" s="383"/>
      <c r="H266" s="383"/>
      <c r="I266" s="383"/>
      <c r="J266" s="383"/>
      <c r="K266" s="383"/>
      <c r="L266" s="330"/>
      <c r="M266" s="382"/>
      <c r="N266" s="331"/>
      <c r="O266" s="382"/>
      <c r="P266" s="261"/>
      <c r="Q266" s="264"/>
      <c r="R266" s="5"/>
    </row>
    <row r="267" spans="1:18" ht="15.6" x14ac:dyDescent="0.3">
      <c r="A267" s="260"/>
      <c r="B267" s="266" t="s">
        <v>240</v>
      </c>
      <c r="C267" s="261"/>
      <c r="D267" s="261"/>
      <c r="E267" s="261"/>
      <c r="F267" s="383"/>
      <c r="G267" s="383"/>
      <c r="H267" s="383"/>
      <c r="I267" s="383"/>
      <c r="J267" s="383"/>
      <c r="K267" s="383"/>
      <c r="L267" s="401">
        <f>+L243+L254+L265</f>
        <v>3492</v>
      </c>
      <c r="M267" s="382"/>
      <c r="N267" s="386">
        <f>+N265+N254+N243</f>
        <v>393321</v>
      </c>
      <c r="O267" s="382"/>
      <c r="P267" s="261"/>
      <c r="Q267" s="264"/>
      <c r="R267" s="5"/>
    </row>
    <row r="268" spans="1:18" ht="15.6" x14ac:dyDescent="0.3">
      <c r="A268" s="183"/>
      <c r="B268" s="257"/>
      <c r="C268" s="257"/>
      <c r="D268" s="257"/>
      <c r="E268" s="257"/>
      <c r="F268" s="378"/>
      <c r="G268" s="378"/>
      <c r="H268" s="378"/>
      <c r="I268" s="378"/>
      <c r="J268" s="378"/>
      <c r="K268" s="378"/>
      <c r="L268" s="378"/>
      <c r="M268" s="378"/>
      <c r="N268" s="380"/>
      <c r="O268" s="378"/>
      <c r="P268" s="257"/>
      <c r="Q268" s="257"/>
      <c r="R268" s="5"/>
    </row>
    <row r="269" spans="1:18" ht="15.6" x14ac:dyDescent="0.3">
      <c r="A269" s="183"/>
      <c r="B269" s="236"/>
      <c r="C269" s="236"/>
      <c r="D269" s="236"/>
      <c r="E269" s="236"/>
      <c r="F269" s="311"/>
      <c r="G269" s="311"/>
      <c r="H269" s="311"/>
      <c r="I269" s="311"/>
      <c r="J269" s="311"/>
      <c r="K269" s="311"/>
      <c r="L269" s="311"/>
      <c r="M269" s="311"/>
      <c r="N269" s="312"/>
      <c r="O269" s="311"/>
      <c r="P269" s="236"/>
      <c r="Q269" s="236"/>
      <c r="R269" s="5"/>
    </row>
    <row r="270" spans="1:18" ht="15.6" x14ac:dyDescent="0.3">
      <c r="A270" s="225"/>
      <c r="B270" s="228" t="s">
        <v>102</v>
      </c>
      <c r="C270" s="236"/>
      <c r="D270" s="236"/>
      <c r="E270" s="236"/>
      <c r="F270" s="246" t="s">
        <v>108</v>
      </c>
      <c r="G270" s="236"/>
      <c r="H270" s="228" t="s">
        <v>110</v>
      </c>
      <c r="I270" s="249"/>
      <c r="J270" s="249"/>
      <c r="K270" s="249"/>
      <c r="L270" s="249"/>
      <c r="M270" s="249"/>
      <c r="N270" s="249"/>
      <c r="O270" s="249"/>
      <c r="P270" s="249"/>
      <c r="Q270" s="249"/>
      <c r="R270" s="5"/>
    </row>
    <row r="271" spans="1:18" ht="15.6" x14ac:dyDescent="0.3">
      <c r="A271" s="225"/>
      <c r="B271" s="249"/>
      <c r="C271" s="236"/>
      <c r="D271" s="236"/>
      <c r="E271" s="236"/>
      <c r="F271" s="236"/>
      <c r="G271" s="236"/>
      <c r="H271" s="236"/>
      <c r="I271" s="249"/>
      <c r="J271" s="249"/>
      <c r="K271" s="249"/>
      <c r="L271" s="249"/>
      <c r="M271" s="249"/>
      <c r="N271" s="249"/>
      <c r="O271" s="249"/>
      <c r="P271" s="249"/>
      <c r="Q271" s="249"/>
      <c r="R271" s="5"/>
    </row>
    <row r="272" spans="1:18" ht="15.6" x14ac:dyDescent="0.3">
      <c r="A272" s="225"/>
      <c r="B272" s="228" t="s">
        <v>103</v>
      </c>
      <c r="C272" s="228"/>
      <c r="D272" s="228"/>
      <c r="E272" s="228"/>
      <c r="F272" s="313" t="s">
        <v>212</v>
      </c>
      <c r="G272" s="228"/>
      <c r="H272" s="228" t="s">
        <v>222</v>
      </c>
      <c r="I272" s="249"/>
      <c r="J272" s="249"/>
      <c r="K272" s="249"/>
      <c r="L272" s="249"/>
      <c r="M272" s="249"/>
      <c r="N272" s="249"/>
      <c r="O272" s="249"/>
      <c r="P272" s="249"/>
      <c r="Q272" s="249"/>
      <c r="R272" s="5"/>
    </row>
    <row r="273" spans="1:18" ht="15.6" x14ac:dyDescent="0.3">
      <c r="A273" s="225"/>
      <c r="B273" s="228" t="s">
        <v>263</v>
      </c>
      <c r="C273" s="228"/>
      <c r="D273" s="228"/>
      <c r="E273" s="228"/>
      <c r="F273" s="313" t="s">
        <v>264</v>
      </c>
      <c r="G273" s="228"/>
      <c r="H273" s="228" t="s">
        <v>265</v>
      </c>
      <c r="I273" s="249"/>
      <c r="J273" s="249"/>
      <c r="K273" s="249"/>
      <c r="L273" s="249"/>
      <c r="M273" s="249"/>
      <c r="N273" s="249"/>
      <c r="O273" s="249"/>
      <c r="P273" s="249"/>
      <c r="Q273" s="249"/>
      <c r="R273" s="5"/>
    </row>
    <row r="274" spans="1:18" ht="15.6" x14ac:dyDescent="0.3">
      <c r="A274" s="225"/>
      <c r="B274" s="228" t="s">
        <v>104</v>
      </c>
      <c r="C274" s="228"/>
      <c r="D274" s="228"/>
      <c r="E274" s="228"/>
      <c r="F274" s="313" t="s">
        <v>211</v>
      </c>
      <c r="G274" s="228"/>
      <c r="H274" s="228" t="s">
        <v>223</v>
      </c>
      <c r="I274" s="249"/>
      <c r="J274" s="249"/>
      <c r="K274" s="249"/>
      <c r="L274" s="249"/>
      <c r="M274" s="249"/>
      <c r="N274" s="249"/>
      <c r="O274" s="249"/>
      <c r="P274" s="249"/>
      <c r="Q274" s="249"/>
      <c r="R274" s="5"/>
    </row>
    <row r="275" spans="1:18" ht="15.6" x14ac:dyDescent="0.3">
      <c r="A275" s="225"/>
      <c r="B275" s="228"/>
      <c r="C275" s="228"/>
      <c r="D275" s="228"/>
      <c r="E275" s="314"/>
      <c r="F275" s="249"/>
      <c r="G275" s="249"/>
      <c r="H275" s="249"/>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8" thickBot="1" x14ac:dyDescent="0.35">
      <c r="A277" s="225"/>
      <c r="B277" s="315" t="str">
        <f>B184</f>
        <v>PM7 INVESTOR REPORT QUARTER ENDING OCTOBER 2011</v>
      </c>
      <c r="C277" s="228"/>
      <c r="D277" s="228"/>
      <c r="E277" s="314"/>
      <c r="F277" s="249"/>
      <c r="G277" s="249"/>
      <c r="H277" s="249"/>
      <c r="I277" s="249"/>
      <c r="J277" s="249"/>
      <c r="K277" s="249"/>
      <c r="L277" s="249"/>
      <c r="M277" s="249"/>
      <c r="N277" s="249"/>
      <c r="O277" s="249"/>
      <c r="P277" s="249"/>
      <c r="Q277" s="24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phoneticPr fontId="0" type="noConversion"/>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7" man="1"/>
    <brk id="132" max="14" man="1"/>
    <brk id="184"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23"/>
  </sheetPr>
  <dimension ref="A1:S254"/>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1796875" style="1" customWidth="1"/>
    <col min="8" max="8" width="28.453125" style="1" customWidth="1"/>
    <col min="9" max="9" width="2.36328125" style="1" customWidth="1"/>
    <col min="10" max="10" width="15.5429687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9" ht="20.399999999999999" x14ac:dyDescent="0.35">
      <c r="A1" s="2"/>
      <c r="B1" s="3" t="s">
        <v>162</v>
      </c>
      <c r="C1" s="4"/>
      <c r="D1" s="4"/>
      <c r="E1" s="4"/>
      <c r="F1" s="4"/>
      <c r="G1" s="4"/>
      <c r="H1" s="4"/>
      <c r="I1" s="4"/>
      <c r="J1" s="4"/>
      <c r="K1" s="4"/>
      <c r="L1" s="4"/>
      <c r="M1" s="4"/>
      <c r="N1" s="4"/>
      <c r="O1" s="4"/>
      <c r="P1" s="4"/>
      <c r="Q1" s="4"/>
      <c r="R1" s="5"/>
    </row>
    <row r="2" spans="1:19" ht="15.6" x14ac:dyDescent="0.3">
      <c r="A2" s="6"/>
      <c r="B2" s="7"/>
      <c r="C2" s="8"/>
      <c r="D2" s="8"/>
      <c r="E2" s="8"/>
      <c r="F2" s="8"/>
      <c r="G2" s="8"/>
      <c r="H2" s="8"/>
      <c r="I2" s="8"/>
      <c r="J2" s="8"/>
      <c r="K2" s="8"/>
      <c r="L2" s="8"/>
      <c r="M2" s="8"/>
      <c r="N2" s="8"/>
      <c r="O2" s="8"/>
      <c r="P2" s="8"/>
      <c r="Q2" s="8"/>
      <c r="R2" s="5"/>
    </row>
    <row r="3" spans="1:19" ht="15.6" x14ac:dyDescent="0.3">
      <c r="A3" s="9"/>
      <c r="B3" s="111" t="s">
        <v>163</v>
      </c>
      <c r="C3" s="8"/>
      <c r="D3" s="8"/>
      <c r="E3" s="8"/>
      <c r="F3" s="8"/>
      <c r="G3" s="8"/>
      <c r="H3" s="8"/>
      <c r="I3" s="8"/>
      <c r="J3" s="8"/>
      <c r="K3" s="8"/>
      <c r="L3" s="8"/>
      <c r="M3" s="8"/>
      <c r="N3" s="8"/>
      <c r="O3" s="8"/>
      <c r="P3" s="8"/>
      <c r="Q3" s="8"/>
      <c r="R3" s="5"/>
    </row>
    <row r="4" spans="1:19" ht="15.6" x14ac:dyDescent="0.3">
      <c r="A4" s="6"/>
      <c r="B4" s="7"/>
      <c r="C4" s="8"/>
      <c r="D4" s="8"/>
      <c r="E4" s="8"/>
      <c r="F4" s="8"/>
      <c r="G4" s="8"/>
      <c r="H4" s="8"/>
      <c r="I4" s="8"/>
      <c r="J4" s="8"/>
      <c r="K4" s="8"/>
      <c r="L4" s="8"/>
      <c r="M4" s="8"/>
      <c r="N4" s="8"/>
      <c r="O4" s="8"/>
      <c r="P4" s="8"/>
      <c r="Q4" s="8"/>
      <c r="R4" s="5"/>
    </row>
    <row r="5" spans="1:19" ht="15.6" x14ac:dyDescent="0.3">
      <c r="A5" s="6"/>
      <c r="B5" s="11" t="s">
        <v>164</v>
      </c>
      <c r="C5" s="8"/>
      <c r="D5" s="8"/>
      <c r="E5" s="8"/>
      <c r="F5" s="8"/>
      <c r="G5" s="8"/>
      <c r="H5" s="8"/>
      <c r="I5" s="8"/>
      <c r="J5" s="8"/>
      <c r="K5" s="8"/>
      <c r="L5" s="8"/>
      <c r="M5" s="8"/>
      <c r="N5" s="8"/>
      <c r="O5" s="8"/>
      <c r="P5" s="8"/>
      <c r="Q5" s="8"/>
      <c r="R5" s="5"/>
    </row>
    <row r="6" spans="1:19" ht="15.6" x14ac:dyDescent="0.3">
      <c r="A6" s="6"/>
      <c r="B6" s="11" t="s">
        <v>166</v>
      </c>
      <c r="C6" s="8"/>
      <c r="D6" s="8"/>
      <c r="E6" s="8"/>
      <c r="F6" s="8"/>
      <c r="G6" s="8"/>
      <c r="H6" s="8"/>
      <c r="I6" s="8"/>
      <c r="J6" s="8"/>
      <c r="K6" s="8"/>
      <c r="L6" s="8"/>
      <c r="M6" s="8"/>
      <c r="N6" s="8"/>
      <c r="O6" s="8"/>
      <c r="P6" s="8"/>
      <c r="Q6" s="8"/>
      <c r="R6" s="5"/>
    </row>
    <row r="7" spans="1:19" ht="15.6" x14ac:dyDescent="0.3">
      <c r="A7" s="6"/>
      <c r="B7" s="11" t="s">
        <v>165</v>
      </c>
      <c r="C7" s="8"/>
      <c r="D7" s="8"/>
      <c r="E7" s="8"/>
      <c r="F7" s="8"/>
      <c r="G7" s="8"/>
      <c r="H7" s="8"/>
      <c r="I7" s="8"/>
      <c r="J7" s="8"/>
      <c r="K7" s="8"/>
      <c r="L7" s="8"/>
      <c r="M7" s="8"/>
      <c r="N7" s="8"/>
      <c r="O7" s="8"/>
      <c r="P7" s="8"/>
      <c r="Q7" s="8"/>
      <c r="R7" s="5"/>
    </row>
    <row r="8" spans="1:19" ht="15.6" x14ac:dyDescent="0.3">
      <c r="A8" s="6"/>
      <c r="B8" s="11"/>
      <c r="C8" s="8"/>
      <c r="D8" s="8"/>
      <c r="E8" s="8"/>
      <c r="F8" s="8"/>
      <c r="G8" s="8"/>
      <c r="H8" s="8"/>
      <c r="I8" s="8"/>
      <c r="J8" s="8"/>
      <c r="K8" s="8"/>
      <c r="L8" s="8"/>
      <c r="M8" s="8"/>
      <c r="N8" s="8"/>
      <c r="O8" s="8"/>
      <c r="P8" s="8"/>
      <c r="Q8" s="8"/>
      <c r="R8" s="5"/>
    </row>
    <row r="9" spans="1:19" ht="15.6" x14ac:dyDescent="0.3">
      <c r="A9" s="6"/>
      <c r="B9" s="140"/>
      <c r="C9" s="8"/>
      <c r="D9" s="8"/>
      <c r="E9" s="8"/>
      <c r="F9" s="8"/>
      <c r="G9" s="8"/>
      <c r="H9" s="8"/>
      <c r="I9" s="8"/>
      <c r="J9" s="8"/>
      <c r="K9" s="8"/>
      <c r="L9" s="8"/>
      <c r="M9" s="8"/>
      <c r="N9" s="8"/>
      <c r="O9" s="8"/>
      <c r="P9" s="8"/>
      <c r="Q9" s="8"/>
      <c r="R9" s="5"/>
    </row>
    <row r="10" spans="1:19" ht="15.6" x14ac:dyDescent="0.3">
      <c r="A10" s="6"/>
      <c r="B10" s="11"/>
      <c r="C10" s="13"/>
      <c r="D10" s="8"/>
      <c r="E10" s="8"/>
      <c r="F10" s="8"/>
      <c r="G10" s="8"/>
      <c r="H10" s="8"/>
      <c r="I10" s="8"/>
      <c r="J10" s="8"/>
      <c r="K10" s="8"/>
      <c r="L10" s="8"/>
      <c r="M10" s="8"/>
      <c r="N10" s="8"/>
      <c r="O10" s="8"/>
      <c r="P10" s="8"/>
      <c r="Q10" s="8"/>
      <c r="R10" s="5"/>
    </row>
    <row r="11" spans="1:19" ht="15.6" x14ac:dyDescent="0.3">
      <c r="A11" s="6"/>
      <c r="B11" s="14" t="s">
        <v>0</v>
      </c>
      <c r="C11" s="8"/>
      <c r="D11" s="8"/>
      <c r="E11" s="8"/>
      <c r="F11" s="8"/>
      <c r="G11" s="8"/>
      <c r="H11" s="8"/>
      <c r="I11" s="8"/>
      <c r="J11" s="8"/>
      <c r="K11" s="8"/>
      <c r="L11" s="8"/>
      <c r="M11" s="8"/>
      <c r="N11" s="8"/>
      <c r="O11" s="8"/>
      <c r="P11" s="8"/>
      <c r="Q11" s="8"/>
      <c r="R11" s="5"/>
    </row>
    <row r="12" spans="1:19" ht="16.2" thickBot="1" x14ac:dyDescent="0.35">
      <c r="A12" s="6"/>
      <c r="B12" s="13"/>
      <c r="C12" s="8"/>
      <c r="D12" s="8"/>
      <c r="E12" s="8"/>
      <c r="F12" s="8"/>
      <c r="G12" s="8"/>
      <c r="H12" s="8"/>
      <c r="I12" s="8"/>
      <c r="J12" s="8"/>
      <c r="K12" s="8"/>
      <c r="L12" s="8"/>
      <c r="M12" s="8"/>
      <c r="N12" s="8"/>
      <c r="O12" s="8"/>
      <c r="P12" s="8"/>
      <c r="Q12" s="8"/>
      <c r="R12" s="5"/>
    </row>
    <row r="13" spans="1:19" ht="15.6" x14ac:dyDescent="0.3">
      <c r="A13" s="2"/>
      <c r="B13" s="4"/>
      <c r="C13" s="4"/>
      <c r="D13" s="4"/>
      <c r="E13" s="4"/>
      <c r="F13" s="4"/>
      <c r="G13" s="4"/>
      <c r="H13" s="4"/>
      <c r="I13" s="4"/>
      <c r="J13" s="4"/>
      <c r="K13" s="4"/>
      <c r="L13" s="4"/>
      <c r="M13" s="4"/>
      <c r="N13" s="4"/>
      <c r="O13" s="4"/>
      <c r="P13" s="4"/>
      <c r="Q13" s="4"/>
      <c r="R13" s="5"/>
    </row>
    <row r="14" spans="1:19" ht="15.6" x14ac:dyDescent="0.3">
      <c r="A14" s="6"/>
      <c r="B14" s="14" t="s">
        <v>1</v>
      </c>
      <c r="C14" s="15"/>
      <c r="D14" s="15"/>
      <c r="E14" s="15"/>
      <c r="F14" s="15"/>
      <c r="G14" s="15"/>
      <c r="H14" s="15"/>
      <c r="I14" s="15"/>
      <c r="J14" s="15"/>
      <c r="K14" s="15"/>
      <c r="L14" s="15"/>
      <c r="M14" s="15"/>
      <c r="N14" s="15"/>
      <c r="O14" s="15"/>
      <c r="P14" s="16" t="s">
        <v>167</v>
      </c>
      <c r="Q14" s="15"/>
      <c r="R14" s="5"/>
    </row>
    <row r="15" spans="1:19" ht="15.6" x14ac:dyDescent="0.3">
      <c r="A15" s="6"/>
      <c r="B15" s="14" t="s">
        <v>2</v>
      </c>
      <c r="C15" s="15"/>
      <c r="D15" s="15"/>
      <c r="E15" s="15"/>
      <c r="F15" s="18"/>
      <c r="G15" s="18"/>
      <c r="H15" s="18"/>
      <c r="I15" s="18"/>
      <c r="J15" s="18"/>
      <c r="K15" s="18"/>
      <c r="L15" s="18" t="s">
        <v>115</v>
      </c>
      <c r="M15" s="138">
        <v>0.91859999999999997</v>
      </c>
      <c r="N15" s="17" t="s">
        <v>173</v>
      </c>
      <c r="O15" s="138">
        <v>8.14E-2</v>
      </c>
      <c r="P15" s="16"/>
      <c r="Q15" s="15"/>
      <c r="R15" s="5"/>
    </row>
    <row r="16" spans="1:19" ht="15.6" x14ac:dyDescent="0.3">
      <c r="A16" s="6"/>
      <c r="B16" s="14" t="s">
        <v>3</v>
      </c>
      <c r="C16" s="15"/>
      <c r="D16" s="15"/>
      <c r="E16" s="15"/>
      <c r="F16" s="18"/>
      <c r="G16" s="18"/>
      <c r="H16" s="18"/>
      <c r="I16" s="18"/>
      <c r="J16" s="18"/>
      <c r="K16" s="18"/>
      <c r="L16" s="18" t="s">
        <v>115</v>
      </c>
      <c r="M16" s="138">
        <v>0.9355</v>
      </c>
      <c r="N16" s="17" t="s">
        <v>173</v>
      </c>
      <c r="O16" s="138">
        <v>6.4500000000000002E-2</v>
      </c>
      <c r="P16" s="16"/>
      <c r="Q16" s="15"/>
      <c r="R16" s="5"/>
      <c r="S16" s="154"/>
    </row>
    <row r="17" spans="1:18" ht="15.6" x14ac:dyDescent="0.3">
      <c r="A17" s="6"/>
      <c r="B17" s="14" t="s">
        <v>4</v>
      </c>
      <c r="C17" s="15"/>
      <c r="D17" s="15"/>
      <c r="E17" s="15"/>
      <c r="F17" s="15"/>
      <c r="G17" s="15"/>
      <c r="H17" s="15"/>
      <c r="I17" s="15"/>
      <c r="J17" s="15"/>
      <c r="K17" s="15"/>
      <c r="L17" s="15"/>
      <c r="M17" s="15"/>
      <c r="N17" s="15"/>
      <c r="O17" s="15"/>
      <c r="P17" s="19">
        <v>38133</v>
      </c>
      <c r="Q17" s="15"/>
      <c r="R17" s="5"/>
    </row>
    <row r="18" spans="1:18" ht="15.6" x14ac:dyDescent="0.3">
      <c r="A18" s="6"/>
      <c r="B18" s="14" t="s">
        <v>5</v>
      </c>
      <c r="C18" s="15"/>
      <c r="D18" s="15"/>
      <c r="E18" s="15"/>
      <c r="F18" s="15"/>
      <c r="G18" s="15"/>
      <c r="H18" s="15"/>
      <c r="I18" s="15"/>
      <c r="J18" s="15"/>
      <c r="K18" s="15"/>
      <c r="L18" s="15"/>
      <c r="M18" s="15"/>
      <c r="N18" s="15"/>
      <c r="O18" s="15"/>
      <c r="P18" s="19">
        <v>38492</v>
      </c>
      <c r="Q18" s="15"/>
      <c r="R18" s="5"/>
    </row>
    <row r="19" spans="1:18" ht="15.6" x14ac:dyDescent="0.3">
      <c r="A19" s="6"/>
      <c r="B19" s="8"/>
      <c r="C19" s="8"/>
      <c r="D19" s="8"/>
      <c r="E19" s="8"/>
      <c r="F19" s="8"/>
      <c r="G19" s="8"/>
      <c r="H19" s="8"/>
      <c r="I19" s="8"/>
      <c r="J19" s="8"/>
      <c r="K19" s="8"/>
      <c r="L19" s="8"/>
      <c r="M19" s="8"/>
      <c r="N19" s="8"/>
      <c r="O19" s="8"/>
      <c r="P19" s="20"/>
      <c r="Q19" s="8"/>
      <c r="R19" s="5"/>
    </row>
    <row r="20" spans="1:18" ht="15.6" x14ac:dyDescent="0.3">
      <c r="A20" s="6"/>
      <c r="B20" s="21" t="s">
        <v>6</v>
      </c>
      <c r="C20" s="8"/>
      <c r="D20" s="8"/>
      <c r="E20" s="8"/>
      <c r="F20" s="8"/>
      <c r="G20" s="8"/>
      <c r="H20" s="8"/>
      <c r="I20" s="8"/>
      <c r="J20" s="8"/>
      <c r="K20" s="8"/>
      <c r="L20" s="8"/>
      <c r="M20" s="8"/>
      <c r="N20" s="20" t="s">
        <v>116</v>
      </c>
      <c r="O20" s="8"/>
      <c r="P20" s="140"/>
      <c r="Q20" s="8"/>
      <c r="R20" s="5"/>
    </row>
    <row r="21" spans="1:18" ht="15.6" x14ac:dyDescent="0.3">
      <c r="A21" s="6"/>
      <c r="B21" s="8"/>
      <c r="C21" s="8"/>
      <c r="D21" s="8"/>
      <c r="E21" s="8"/>
      <c r="F21" s="8"/>
      <c r="G21" s="8"/>
      <c r="H21" s="8"/>
      <c r="I21" s="8"/>
      <c r="J21" s="8"/>
      <c r="K21" s="8"/>
      <c r="L21" s="8"/>
      <c r="M21" s="8"/>
      <c r="N21" s="8"/>
      <c r="O21" s="8"/>
      <c r="P21" s="22"/>
      <c r="Q21" s="8"/>
      <c r="R21" s="5"/>
    </row>
    <row r="22" spans="1:18" ht="15.6" x14ac:dyDescent="0.3">
      <c r="A22" s="6"/>
      <c r="B22" s="8"/>
      <c r="C22" s="112"/>
      <c r="D22" s="112" t="s">
        <v>168</v>
      </c>
      <c r="E22" s="112"/>
      <c r="F22" s="112" t="s">
        <v>169</v>
      </c>
      <c r="G22" s="112"/>
      <c r="H22" s="112" t="s">
        <v>174</v>
      </c>
      <c r="I22" s="112"/>
      <c r="J22" s="112" t="s">
        <v>133</v>
      </c>
      <c r="K22" s="112"/>
      <c r="L22" s="112" t="s">
        <v>134</v>
      </c>
      <c r="M22" s="113"/>
      <c r="N22" s="23"/>
      <c r="O22" s="140"/>
      <c r="P22" s="140"/>
      <c r="Q22" s="8"/>
      <c r="R22" s="5"/>
    </row>
    <row r="23" spans="1:18" ht="15.6" x14ac:dyDescent="0.3">
      <c r="A23" s="24"/>
      <c r="B23" s="25" t="s">
        <v>7</v>
      </c>
      <c r="C23" s="26"/>
      <c r="D23" s="26" t="s">
        <v>175</v>
      </c>
      <c r="E23" s="26"/>
      <c r="F23" s="26" t="s">
        <v>175</v>
      </c>
      <c r="G23" s="26"/>
      <c r="H23" s="26" t="s">
        <v>175</v>
      </c>
      <c r="I23" s="26"/>
      <c r="J23" s="26" t="s">
        <v>176</v>
      </c>
      <c r="K23" s="26"/>
      <c r="L23" s="26" t="s">
        <v>176</v>
      </c>
      <c r="M23" s="26"/>
      <c r="N23" s="26"/>
      <c r="O23" s="141"/>
      <c r="P23" s="141"/>
      <c r="Q23" s="25"/>
      <c r="R23" s="5"/>
    </row>
    <row r="24" spans="1:18" ht="15.6" x14ac:dyDescent="0.3">
      <c r="A24" s="24"/>
      <c r="B24" s="25" t="s">
        <v>8</v>
      </c>
      <c r="C24" s="26"/>
      <c r="D24" s="26" t="s">
        <v>177</v>
      </c>
      <c r="E24" s="26"/>
      <c r="F24" s="26" t="s">
        <v>177</v>
      </c>
      <c r="G24" s="26"/>
      <c r="H24" s="26" t="s">
        <v>177</v>
      </c>
      <c r="I24" s="26"/>
      <c r="J24" s="26" t="s">
        <v>178</v>
      </c>
      <c r="K24" s="26"/>
      <c r="L24" s="26" t="s">
        <v>178</v>
      </c>
      <c r="M24" s="26"/>
      <c r="N24" s="26"/>
      <c r="O24" s="141"/>
      <c r="P24" s="141"/>
      <c r="Q24" s="25"/>
      <c r="R24" s="5"/>
    </row>
    <row r="25" spans="1:18" ht="15.6" x14ac:dyDescent="0.3">
      <c r="A25" s="24"/>
      <c r="B25" s="25" t="s">
        <v>135</v>
      </c>
      <c r="C25" s="26"/>
      <c r="D25" s="26" t="s">
        <v>177</v>
      </c>
      <c r="E25" s="26"/>
      <c r="F25" s="26" t="s">
        <v>177</v>
      </c>
      <c r="G25" s="26"/>
      <c r="H25" s="26" t="s">
        <v>177</v>
      </c>
      <c r="I25" s="26"/>
      <c r="J25" s="26" t="s">
        <v>178</v>
      </c>
      <c r="K25" s="26"/>
      <c r="L25" s="26" t="s">
        <v>178</v>
      </c>
      <c r="M25" s="26"/>
      <c r="N25" s="26"/>
      <c r="O25" s="141"/>
      <c r="P25" s="141"/>
      <c r="Q25" s="25"/>
      <c r="R25" s="5"/>
    </row>
    <row r="26" spans="1:18" ht="15.6" x14ac:dyDescent="0.3">
      <c r="A26" s="28"/>
      <c r="B26" s="29" t="s">
        <v>9</v>
      </c>
      <c r="C26" s="123"/>
      <c r="D26" s="123" t="s">
        <v>175</v>
      </c>
      <c r="E26" s="123"/>
      <c r="F26" s="123" t="s">
        <v>175</v>
      </c>
      <c r="G26" s="123"/>
      <c r="H26" s="123" t="s">
        <v>175</v>
      </c>
      <c r="I26" s="123"/>
      <c r="J26" s="123" t="s">
        <v>176</v>
      </c>
      <c r="K26" s="123"/>
      <c r="L26" s="123" t="s">
        <v>176</v>
      </c>
      <c r="M26" s="123"/>
      <c r="N26" s="26"/>
      <c r="O26" s="141"/>
      <c r="P26" s="141"/>
      <c r="Q26" s="25"/>
      <c r="R26" s="5"/>
    </row>
    <row r="27" spans="1:18" ht="15.6" x14ac:dyDescent="0.3">
      <c r="A27" s="28"/>
      <c r="B27" s="29" t="s">
        <v>10</v>
      </c>
      <c r="C27" s="123"/>
      <c r="D27" s="123" t="s">
        <v>177</v>
      </c>
      <c r="E27" s="123"/>
      <c r="F27" s="123" t="s">
        <v>177</v>
      </c>
      <c r="G27" s="123"/>
      <c r="H27" s="123" t="s">
        <v>177</v>
      </c>
      <c r="I27" s="123"/>
      <c r="J27" s="123" t="s">
        <v>178</v>
      </c>
      <c r="K27" s="123"/>
      <c r="L27" s="123" t="s">
        <v>178</v>
      </c>
      <c r="M27" s="123"/>
      <c r="N27" s="26"/>
      <c r="O27" s="141"/>
      <c r="P27" s="141"/>
      <c r="Q27" s="25"/>
      <c r="R27" s="5"/>
    </row>
    <row r="28" spans="1:18" ht="15.6" x14ac:dyDescent="0.3">
      <c r="A28" s="28"/>
      <c r="B28" s="29" t="s">
        <v>136</v>
      </c>
      <c r="C28" s="123"/>
      <c r="D28" s="123" t="s">
        <v>177</v>
      </c>
      <c r="E28" s="123"/>
      <c r="F28" s="123" t="s">
        <v>177</v>
      </c>
      <c r="G28" s="123"/>
      <c r="H28" s="123" t="s">
        <v>177</v>
      </c>
      <c r="I28" s="123"/>
      <c r="J28" s="123" t="s">
        <v>178</v>
      </c>
      <c r="K28" s="123"/>
      <c r="L28" s="123" t="s">
        <v>178</v>
      </c>
      <c r="M28" s="123"/>
      <c r="N28" s="26"/>
      <c r="O28" s="141"/>
      <c r="P28" s="141"/>
      <c r="Q28" s="25"/>
      <c r="R28" s="5"/>
    </row>
    <row r="29" spans="1:18" ht="15.6" x14ac:dyDescent="0.3">
      <c r="A29" s="24"/>
      <c r="B29" s="25" t="s">
        <v>11</v>
      </c>
      <c r="C29" s="26"/>
      <c r="D29" s="30" t="s">
        <v>181</v>
      </c>
      <c r="E29" s="26"/>
      <c r="F29" s="26" t="s">
        <v>183</v>
      </c>
      <c r="G29" s="26"/>
      <c r="H29" s="26" t="s">
        <v>184</v>
      </c>
      <c r="I29" s="26"/>
      <c r="J29" s="26" t="s">
        <v>185</v>
      </c>
      <c r="K29" s="26"/>
      <c r="L29" s="26" t="s">
        <v>189</v>
      </c>
      <c r="M29" s="26"/>
      <c r="N29" s="30"/>
      <c r="O29" s="141"/>
      <c r="P29" s="141"/>
      <c r="Q29" s="25"/>
      <c r="R29" s="5"/>
    </row>
    <row r="30" spans="1:18" ht="15.6" x14ac:dyDescent="0.3">
      <c r="A30" s="24"/>
      <c r="B30" s="25" t="s">
        <v>11</v>
      </c>
      <c r="C30" s="26"/>
      <c r="D30" s="30" t="s">
        <v>182</v>
      </c>
      <c r="E30" s="26"/>
      <c r="F30" s="30" t="s">
        <v>137</v>
      </c>
      <c r="G30" s="26"/>
      <c r="H30" s="30" t="s">
        <v>137</v>
      </c>
      <c r="I30" s="26"/>
      <c r="J30" s="30" t="s">
        <v>186</v>
      </c>
      <c r="K30" s="26"/>
      <c r="L30" s="30" t="s">
        <v>137</v>
      </c>
      <c r="M30" s="26"/>
      <c r="N30" s="30"/>
      <c r="O30" s="141"/>
      <c r="P30" s="141"/>
      <c r="Q30" s="25"/>
      <c r="R30" s="5"/>
    </row>
    <row r="31" spans="1:18" ht="15.6" x14ac:dyDescent="0.3">
      <c r="A31" s="24"/>
      <c r="B31" s="25"/>
      <c r="C31" s="26"/>
      <c r="D31" s="26"/>
      <c r="E31" s="26"/>
      <c r="F31" s="26"/>
      <c r="G31" s="26"/>
      <c r="H31" s="26"/>
      <c r="I31" s="26"/>
      <c r="J31" s="26"/>
      <c r="K31" s="26"/>
      <c r="L31" s="26"/>
      <c r="M31" s="26"/>
      <c r="N31" s="26"/>
      <c r="O31" s="141"/>
      <c r="P31" s="141"/>
      <c r="Q31" s="25"/>
      <c r="R31" s="5"/>
    </row>
    <row r="32" spans="1:18" ht="15.6" x14ac:dyDescent="0.3">
      <c r="A32" s="24"/>
      <c r="B32" s="25" t="s">
        <v>157</v>
      </c>
      <c r="C32" s="32"/>
      <c r="D32" s="130">
        <v>450000</v>
      </c>
      <c r="E32" s="31"/>
      <c r="F32" s="131">
        <v>220000</v>
      </c>
      <c r="G32" s="31"/>
      <c r="H32" s="124">
        <v>500000</v>
      </c>
      <c r="I32" s="31"/>
      <c r="J32" s="130">
        <v>82500</v>
      </c>
      <c r="K32" s="31"/>
      <c r="L32" s="124">
        <v>65000</v>
      </c>
      <c r="M32" s="31"/>
      <c r="N32" s="31"/>
      <c r="O32" s="142"/>
      <c r="P32" s="31"/>
      <c r="Q32" s="34"/>
      <c r="R32" s="5"/>
    </row>
    <row r="33" spans="1:18" ht="15.6" x14ac:dyDescent="0.3">
      <c r="A33" s="24"/>
      <c r="B33" s="25" t="s">
        <v>156</v>
      </c>
      <c r="C33" s="32"/>
      <c r="D33" s="130">
        <f>+D32*D39</f>
        <v>417872.7</v>
      </c>
      <c r="E33" s="31"/>
      <c r="F33" s="131">
        <f>+F32*F39</f>
        <v>204290.02000000002</v>
      </c>
      <c r="G33" s="31"/>
      <c r="H33" s="124">
        <f>+H32*H39</f>
        <v>464304.5</v>
      </c>
      <c r="I33" s="31"/>
      <c r="J33" s="130">
        <v>82500</v>
      </c>
      <c r="K33" s="31"/>
      <c r="L33" s="124">
        <v>65000</v>
      </c>
      <c r="M33" s="31"/>
      <c r="N33" s="31"/>
      <c r="O33" s="142"/>
      <c r="P33" s="31"/>
      <c r="Q33" s="34"/>
      <c r="R33" s="5"/>
    </row>
    <row r="34" spans="1:18" ht="15.6" x14ac:dyDescent="0.3">
      <c r="A34" s="28"/>
      <c r="B34" s="29" t="s">
        <v>158</v>
      </c>
      <c r="C34" s="36"/>
      <c r="D34" s="129">
        <f>+D32*D38</f>
        <v>405022.95</v>
      </c>
      <c r="E34" s="35"/>
      <c r="F34" s="132">
        <f>+F32*F38</f>
        <v>198006.6</v>
      </c>
      <c r="G34" s="35"/>
      <c r="H34" s="125">
        <f>+H32*H38</f>
        <v>450027.5</v>
      </c>
      <c r="I34" s="35"/>
      <c r="J34" s="129">
        <v>82500</v>
      </c>
      <c r="K34" s="35"/>
      <c r="L34" s="125">
        <v>65000</v>
      </c>
      <c r="M34" s="35"/>
      <c r="N34" s="35"/>
      <c r="O34" s="37"/>
      <c r="P34" s="35"/>
      <c r="Q34" s="34"/>
      <c r="R34" s="5"/>
    </row>
    <row r="35" spans="1:18" ht="15.6" x14ac:dyDescent="0.3">
      <c r="A35" s="24"/>
      <c r="B35" s="25" t="s">
        <v>279</v>
      </c>
      <c r="C35" s="32"/>
      <c r="D35" s="31">
        <v>252951</v>
      </c>
      <c r="E35" s="31"/>
      <c r="F35" s="31">
        <v>220000</v>
      </c>
      <c r="G35" s="31"/>
      <c r="H35" s="31">
        <v>337500</v>
      </c>
      <c r="I35" s="31"/>
      <c r="J35" s="31">
        <v>46374</v>
      </c>
      <c r="K35" s="31"/>
      <c r="L35" s="31">
        <v>43875</v>
      </c>
      <c r="M35" s="31"/>
      <c r="N35" s="31"/>
      <c r="O35" s="142"/>
      <c r="P35" s="31">
        <f>SUM(C35:L35)</f>
        <v>900700</v>
      </c>
      <c r="Q35" s="34"/>
      <c r="R35" s="5"/>
    </row>
    <row r="36" spans="1:18" ht="15.6" x14ac:dyDescent="0.3">
      <c r="A36" s="24"/>
      <c r="B36" s="25" t="s">
        <v>280</v>
      </c>
      <c r="C36" s="32"/>
      <c r="D36" s="31">
        <f>+D33/1.779</f>
        <v>234891.90556492412</v>
      </c>
      <c r="E36" s="31"/>
      <c r="F36" s="31">
        <f>+F33</f>
        <v>204290.02000000002</v>
      </c>
      <c r="G36" s="31"/>
      <c r="H36" s="31">
        <f>+H33/1.481481</f>
        <v>313405.63935683278</v>
      </c>
      <c r="I36" s="31"/>
      <c r="J36" s="31">
        <v>46374</v>
      </c>
      <c r="K36" s="31"/>
      <c r="L36" s="31">
        <v>43875</v>
      </c>
      <c r="M36" s="31"/>
      <c r="N36" s="31"/>
      <c r="O36" s="142"/>
      <c r="P36" s="31">
        <f>SUM(C36:L36)+1</f>
        <v>842837.56492175697</v>
      </c>
      <c r="Q36" s="34"/>
      <c r="R36" s="5"/>
    </row>
    <row r="37" spans="1:18" ht="15.6" x14ac:dyDescent="0.3">
      <c r="A37" s="28"/>
      <c r="B37" s="29" t="s">
        <v>281</v>
      </c>
      <c r="C37" s="36"/>
      <c r="D37" s="35">
        <f>D34/1.779</f>
        <v>227668.88701517708</v>
      </c>
      <c r="E37" s="35"/>
      <c r="F37" s="35">
        <f>+F34</f>
        <v>198006.6</v>
      </c>
      <c r="G37" s="35"/>
      <c r="H37" s="35">
        <f>H34/1.481481</f>
        <v>303768.66122481489</v>
      </c>
      <c r="I37" s="35"/>
      <c r="J37" s="35">
        <v>46374</v>
      </c>
      <c r="K37" s="35"/>
      <c r="L37" s="35">
        <v>43875</v>
      </c>
      <c r="M37" s="35"/>
      <c r="N37" s="35"/>
      <c r="O37" s="37"/>
      <c r="P37" s="35">
        <f>SUM(D37:L37)+1</f>
        <v>819694.14823999198</v>
      </c>
      <c r="Q37" s="34"/>
      <c r="R37" s="5"/>
    </row>
    <row r="38" spans="1:18" ht="15.6" x14ac:dyDescent="0.3">
      <c r="A38" s="28"/>
      <c r="B38" s="122" t="s">
        <v>154</v>
      </c>
      <c r="C38" s="126"/>
      <c r="D38" s="139">
        <v>0.90005100000000005</v>
      </c>
      <c r="E38" s="139"/>
      <c r="F38" s="139">
        <v>0.90003</v>
      </c>
      <c r="G38" s="139"/>
      <c r="H38" s="139">
        <v>0.90005500000000005</v>
      </c>
      <c r="I38" s="139"/>
      <c r="J38" s="139">
        <v>1</v>
      </c>
      <c r="K38" s="139"/>
      <c r="L38" s="139">
        <v>1</v>
      </c>
      <c r="M38" s="31"/>
      <c r="N38" s="31"/>
      <c r="O38" s="142"/>
      <c r="P38" s="31"/>
      <c r="Q38" s="34"/>
      <c r="R38" s="5"/>
    </row>
    <row r="39" spans="1:18" ht="15.6" x14ac:dyDescent="0.3">
      <c r="A39" s="28"/>
      <c r="B39" s="122" t="s">
        <v>155</v>
      </c>
      <c r="C39" s="126"/>
      <c r="D39" s="139">
        <v>0.92860600000000004</v>
      </c>
      <c r="E39" s="139"/>
      <c r="F39" s="139">
        <v>0.92859100000000006</v>
      </c>
      <c r="G39" s="139"/>
      <c r="H39" s="139">
        <v>0.92860900000000002</v>
      </c>
      <c r="I39" s="139"/>
      <c r="J39" s="139">
        <v>1</v>
      </c>
      <c r="K39" s="139"/>
      <c r="L39" s="139">
        <v>1</v>
      </c>
      <c r="M39" s="128"/>
      <c r="N39" s="128"/>
      <c r="O39" s="142"/>
      <c r="P39" s="31"/>
      <c r="Q39" s="34"/>
      <c r="R39" s="5"/>
    </row>
    <row r="40" spans="1:18" ht="15.6" x14ac:dyDescent="0.3">
      <c r="A40" s="24"/>
      <c r="B40" s="25" t="s">
        <v>12</v>
      </c>
      <c r="C40" s="25"/>
      <c r="D40" s="30" t="s">
        <v>179</v>
      </c>
      <c r="E40" s="30"/>
      <c r="F40" s="30" t="s">
        <v>179</v>
      </c>
      <c r="G40" s="30"/>
      <c r="H40" s="30" t="s">
        <v>179</v>
      </c>
      <c r="I40" s="30"/>
      <c r="J40" s="30" t="s">
        <v>187</v>
      </c>
      <c r="K40" s="30"/>
      <c r="L40" s="30" t="s">
        <v>187</v>
      </c>
      <c r="M40" s="30"/>
      <c r="N40" s="30"/>
      <c r="O40" s="141"/>
      <c r="P40" s="141"/>
      <c r="Q40" s="25"/>
      <c r="R40" s="5"/>
    </row>
    <row r="41" spans="1:18" ht="15.6" x14ac:dyDescent="0.3">
      <c r="A41" s="24"/>
      <c r="B41" s="25" t="s">
        <v>13</v>
      </c>
      <c r="C41" s="25"/>
      <c r="D41" s="38">
        <v>3.0043799999999999E-2</v>
      </c>
      <c r="E41" s="39"/>
      <c r="F41" s="38">
        <v>5.1025000000000001E-2</v>
      </c>
      <c r="G41" s="39"/>
      <c r="H41" s="38">
        <v>2.35E-2</v>
      </c>
      <c r="I41" s="39"/>
      <c r="J41" s="38">
        <v>3.5443799999999998E-2</v>
      </c>
      <c r="K41" s="39"/>
      <c r="L41" s="38">
        <v>2.8899999999999999E-2</v>
      </c>
      <c r="M41" s="39"/>
      <c r="N41" s="38"/>
      <c r="O41" s="141"/>
      <c r="P41" s="39"/>
      <c r="Q41" s="25"/>
      <c r="R41" s="5"/>
    </row>
    <row r="42" spans="1:18" ht="15.6" x14ac:dyDescent="0.3">
      <c r="A42" s="24"/>
      <c r="B42" s="25" t="s">
        <v>14</v>
      </c>
      <c r="C42" s="25"/>
      <c r="D42" s="38">
        <v>2.5000000000000001E-2</v>
      </c>
      <c r="E42" s="39"/>
      <c r="F42" s="38">
        <v>5.0999999999999997E-2</v>
      </c>
      <c r="G42" s="39"/>
      <c r="H42" s="38">
        <v>2.3820000000000001E-2</v>
      </c>
      <c r="I42" s="39"/>
      <c r="J42" s="38">
        <v>3.04E-2</v>
      </c>
      <c r="K42" s="39"/>
      <c r="L42" s="38">
        <v>2.9219999999999999E-2</v>
      </c>
      <c r="M42" s="39"/>
      <c r="N42" s="38"/>
      <c r="O42" s="141"/>
      <c r="P42" s="141"/>
      <c r="Q42" s="25"/>
      <c r="R42" s="5"/>
    </row>
    <row r="43" spans="1:18" ht="15.6" x14ac:dyDescent="0.3">
      <c r="A43" s="24"/>
      <c r="B43" s="25" t="s">
        <v>282</v>
      </c>
      <c r="C43" s="25"/>
      <c r="D43" s="30" t="s">
        <v>204</v>
      </c>
      <c r="E43" s="30"/>
      <c r="F43" s="30" t="s">
        <v>179</v>
      </c>
      <c r="G43" s="30"/>
      <c r="H43" s="30" t="s">
        <v>205</v>
      </c>
      <c r="I43" s="30"/>
      <c r="J43" s="30" t="s">
        <v>206</v>
      </c>
      <c r="K43" s="30"/>
      <c r="L43" s="30" t="s">
        <v>206</v>
      </c>
      <c r="M43" s="39"/>
      <c r="N43" s="38"/>
      <c r="O43" s="141"/>
      <c r="P43" s="39"/>
      <c r="Q43" s="25"/>
      <c r="R43" s="5"/>
    </row>
    <row r="44" spans="1:18" ht="15.6" x14ac:dyDescent="0.3">
      <c r="A44" s="24"/>
      <c r="B44" s="25" t="s">
        <v>285</v>
      </c>
      <c r="C44" s="25"/>
      <c r="D44" s="38">
        <v>5.1970000000000002E-2</v>
      </c>
      <c r="E44" s="39"/>
      <c r="F44" s="38">
        <v>5.1025000000000001E-2</v>
      </c>
      <c r="G44" s="39"/>
      <c r="H44" s="38">
        <v>5.185E-2</v>
      </c>
      <c r="I44" s="39"/>
      <c r="J44" s="38">
        <v>5.8099999999999999E-2</v>
      </c>
      <c r="K44" s="39"/>
      <c r="L44" s="38">
        <v>5.8099999999999999E-2</v>
      </c>
      <c r="M44" s="39"/>
      <c r="N44" s="38"/>
      <c r="O44" s="141"/>
      <c r="P44" s="39">
        <f>SUMPRODUCT(D44:L44,D36:L36)/P36</f>
        <v>5.2352649834084129E-2</v>
      </c>
      <c r="Q44" s="25"/>
      <c r="R44" s="5"/>
    </row>
    <row r="45" spans="1:18" ht="15.6" x14ac:dyDescent="0.3">
      <c r="A45" s="24"/>
      <c r="B45" s="25" t="s">
        <v>283</v>
      </c>
      <c r="C45" s="25"/>
      <c r="D45" s="38">
        <v>5.1944999999999998E-2</v>
      </c>
      <c r="E45" s="39"/>
      <c r="F45" s="38">
        <v>5.0999999999999997E-2</v>
      </c>
      <c r="G45" s="39"/>
      <c r="H45" s="38">
        <v>5.1825000000000003E-2</v>
      </c>
      <c r="I45" s="39"/>
      <c r="J45" s="38">
        <v>5.8075000000000002E-2</v>
      </c>
      <c r="K45" s="39"/>
      <c r="L45" s="38">
        <v>5.8075000000000002E-2</v>
      </c>
      <c r="M45" s="39"/>
      <c r="N45" s="38"/>
      <c r="O45" s="141"/>
      <c r="P45" s="141"/>
      <c r="Q45" s="25"/>
      <c r="R45" s="5"/>
    </row>
    <row r="46" spans="1:18" ht="15.6" x14ac:dyDescent="0.3">
      <c r="A46" s="24"/>
      <c r="B46" s="25" t="s">
        <v>15</v>
      </c>
      <c r="C46" s="110"/>
      <c r="D46" s="110">
        <v>39583</v>
      </c>
      <c r="E46" s="110"/>
      <c r="F46" s="110">
        <v>39583</v>
      </c>
      <c r="G46" s="110"/>
      <c r="H46" s="110">
        <v>39583</v>
      </c>
      <c r="I46" s="110"/>
      <c r="J46" s="110">
        <v>39583</v>
      </c>
      <c r="K46" s="110"/>
      <c r="L46" s="110">
        <v>39583</v>
      </c>
      <c r="M46" s="30"/>
      <c r="N46" s="30"/>
      <c r="O46" s="141"/>
      <c r="P46" s="141"/>
      <c r="Q46" s="25"/>
      <c r="R46" s="5"/>
    </row>
    <row r="47" spans="1:18" ht="15.6" x14ac:dyDescent="0.3">
      <c r="A47" s="24"/>
      <c r="B47" s="25" t="s">
        <v>16</v>
      </c>
      <c r="C47" s="110"/>
      <c r="D47" s="110">
        <v>40313</v>
      </c>
      <c r="E47" s="110"/>
      <c r="F47" s="110">
        <v>40313</v>
      </c>
      <c r="G47" s="30"/>
      <c r="H47" s="110">
        <v>40313</v>
      </c>
      <c r="I47" s="30"/>
      <c r="J47" s="110">
        <v>40313</v>
      </c>
      <c r="K47" s="30"/>
      <c r="L47" s="110">
        <v>40313</v>
      </c>
      <c r="M47" s="30"/>
      <c r="N47" s="30"/>
      <c r="O47" s="141"/>
      <c r="P47" s="141"/>
      <c r="Q47" s="25"/>
      <c r="R47" s="5"/>
    </row>
    <row r="48" spans="1:18" ht="15.6" x14ac:dyDescent="0.3">
      <c r="A48" s="24"/>
      <c r="B48" s="25" t="s">
        <v>140</v>
      </c>
      <c r="C48" s="25"/>
      <c r="D48" s="30" t="s">
        <v>180</v>
      </c>
      <c r="E48" s="30"/>
      <c r="F48" s="30" t="s">
        <v>180</v>
      </c>
      <c r="G48" s="30"/>
      <c r="H48" s="30" t="s">
        <v>180</v>
      </c>
      <c r="I48" s="30"/>
      <c r="J48" s="30" t="s">
        <v>188</v>
      </c>
      <c r="K48" s="30"/>
      <c r="L48" s="30" t="s">
        <v>188</v>
      </c>
      <c r="M48" s="30"/>
      <c r="N48" s="30"/>
      <c r="O48" s="141"/>
      <c r="P48" s="141"/>
      <c r="Q48" s="25"/>
      <c r="R48" s="5"/>
    </row>
    <row r="49" spans="1:18" ht="15.6" x14ac:dyDescent="0.3">
      <c r="A49" s="24"/>
      <c r="B49" s="25" t="s">
        <v>284</v>
      </c>
      <c r="C49" s="25"/>
      <c r="D49" s="30" t="s">
        <v>207</v>
      </c>
      <c r="E49" s="30"/>
      <c r="F49" s="30" t="s">
        <v>180</v>
      </c>
      <c r="G49" s="30"/>
      <c r="H49" s="30" t="s">
        <v>208</v>
      </c>
      <c r="I49" s="30"/>
      <c r="J49" s="30" t="s">
        <v>209</v>
      </c>
      <c r="K49" s="30"/>
      <c r="L49" s="30" t="s">
        <v>209</v>
      </c>
      <c r="M49" s="30"/>
      <c r="N49" s="30"/>
      <c r="O49" s="141"/>
      <c r="P49" s="141"/>
      <c r="Q49" s="25"/>
      <c r="R49" s="5"/>
    </row>
    <row r="50" spans="1:18" ht="15.6" x14ac:dyDescent="0.3">
      <c r="A50" s="24"/>
      <c r="B50" s="25"/>
      <c r="C50" s="25"/>
      <c r="D50" s="30"/>
      <c r="E50" s="30"/>
      <c r="F50" s="40"/>
      <c r="G50" s="40"/>
      <c r="H50" s="40"/>
      <c r="I50" s="40"/>
      <c r="J50" s="40"/>
      <c r="K50" s="40"/>
      <c r="L50" s="40"/>
      <c r="M50" s="40"/>
      <c r="N50" s="40"/>
      <c r="O50" s="40"/>
      <c r="P50" s="40"/>
      <c r="Q50" s="25"/>
      <c r="R50" s="5"/>
    </row>
    <row r="51" spans="1:18" ht="15.6" x14ac:dyDescent="0.3">
      <c r="A51" s="24"/>
      <c r="B51" s="25" t="s">
        <v>17</v>
      </c>
      <c r="C51" s="25"/>
      <c r="D51" s="41"/>
      <c r="E51" s="25"/>
      <c r="F51" s="25"/>
      <c r="G51" s="25"/>
      <c r="H51" s="25"/>
      <c r="I51" s="25"/>
      <c r="J51" s="25"/>
      <c r="K51" s="25"/>
      <c r="L51" s="25"/>
      <c r="M51" s="25"/>
      <c r="N51" s="25"/>
      <c r="O51" s="25"/>
      <c r="P51" s="39">
        <f>SUM(J35:L35)/SUM(D35:H35)</f>
        <v>0.11135651631005453</v>
      </c>
      <c r="Q51" s="25"/>
      <c r="R51" s="5"/>
    </row>
    <row r="52" spans="1:18" ht="15.6" x14ac:dyDescent="0.3">
      <c r="A52" s="24"/>
      <c r="B52" s="25" t="s">
        <v>18</v>
      </c>
      <c r="C52" s="25"/>
      <c r="D52" s="41"/>
      <c r="E52" s="25"/>
      <c r="F52" s="25"/>
      <c r="G52" s="25"/>
      <c r="H52" s="25"/>
      <c r="I52" s="25"/>
      <c r="J52" s="25"/>
      <c r="K52" s="25"/>
      <c r="L52" s="25"/>
      <c r="M52" s="25"/>
      <c r="N52" s="25"/>
      <c r="O52" s="25"/>
      <c r="P52" s="39">
        <f>SUM(J37:L37)/SUM(D37:H37)</f>
        <v>0.12372297484016211</v>
      </c>
      <c r="Q52" s="25"/>
      <c r="R52" s="5"/>
    </row>
    <row r="53" spans="1:18" ht="15.6" x14ac:dyDescent="0.3">
      <c r="A53" s="24"/>
      <c r="B53" s="25" t="s">
        <v>19</v>
      </c>
      <c r="C53" s="25"/>
      <c r="D53" s="25"/>
      <c r="E53" s="25"/>
      <c r="F53" s="25"/>
      <c r="G53" s="25"/>
      <c r="H53" s="25"/>
      <c r="I53" s="25"/>
      <c r="J53" s="25"/>
      <c r="K53" s="25"/>
      <c r="L53" s="25"/>
      <c r="M53" s="25"/>
      <c r="N53" s="30" t="s">
        <v>117</v>
      </c>
      <c r="O53" s="30" t="s">
        <v>124</v>
      </c>
      <c r="P53" s="31">
        <f>+P35/2-SUM(J35:L35)</f>
        <v>360101</v>
      </c>
      <c r="Q53" s="25"/>
      <c r="R53" s="5"/>
    </row>
    <row r="54" spans="1:18" ht="15.6" x14ac:dyDescent="0.3">
      <c r="A54" s="24"/>
      <c r="B54" s="25"/>
      <c r="C54" s="25"/>
      <c r="D54" s="25"/>
      <c r="E54" s="25"/>
      <c r="F54" s="25"/>
      <c r="G54" s="25"/>
      <c r="H54" s="25"/>
      <c r="I54" s="25"/>
      <c r="J54" s="25"/>
      <c r="K54" s="25"/>
      <c r="L54" s="25"/>
      <c r="M54" s="25"/>
      <c r="N54" s="25" t="s">
        <v>275</v>
      </c>
      <c r="O54" s="25"/>
      <c r="P54" s="42"/>
      <c r="Q54" s="25"/>
      <c r="R54" s="5"/>
    </row>
    <row r="55" spans="1:18" ht="15.6" x14ac:dyDescent="0.3">
      <c r="A55" s="24"/>
      <c r="B55" s="25" t="s">
        <v>193</v>
      </c>
      <c r="C55" s="25"/>
      <c r="D55" s="25"/>
      <c r="E55" s="25"/>
      <c r="F55" s="25"/>
      <c r="G55" s="25"/>
      <c r="H55" s="25"/>
      <c r="I55" s="25"/>
      <c r="J55" s="25"/>
      <c r="K55" s="25"/>
      <c r="L55" s="25"/>
      <c r="M55" s="25"/>
      <c r="N55" s="30"/>
      <c r="O55" s="30"/>
      <c r="P55" s="30" t="s">
        <v>126</v>
      </c>
      <c r="Q55" s="25"/>
      <c r="R55" s="5"/>
    </row>
    <row r="56" spans="1:18" ht="15.6" x14ac:dyDescent="0.3">
      <c r="A56" s="24"/>
      <c r="B56" s="29" t="s">
        <v>194</v>
      </c>
      <c r="C56" s="29"/>
      <c r="D56" s="29"/>
      <c r="E56" s="29"/>
      <c r="F56" s="29"/>
      <c r="G56" s="29"/>
      <c r="H56" s="29"/>
      <c r="I56" s="29"/>
      <c r="J56" s="29"/>
      <c r="K56" s="29"/>
      <c r="L56" s="29"/>
      <c r="M56" s="29"/>
      <c r="N56" s="43"/>
      <c r="O56" s="43"/>
      <c r="P56" s="44">
        <v>38488</v>
      </c>
      <c r="Q56" s="25"/>
      <c r="R56" s="5"/>
    </row>
    <row r="57" spans="1:18" ht="15.6" x14ac:dyDescent="0.3">
      <c r="A57" s="24"/>
      <c r="B57" s="25" t="s">
        <v>142</v>
      </c>
      <c r="C57" s="25"/>
      <c r="D57" s="25"/>
      <c r="E57" s="25"/>
      <c r="F57" s="58"/>
      <c r="G57" s="58"/>
      <c r="H57" s="58"/>
      <c r="I57" s="58"/>
      <c r="J57" s="58"/>
      <c r="K57" s="58"/>
      <c r="L57" s="25">
        <f>+P57-N57+1</f>
        <v>92</v>
      </c>
      <c r="M57" s="58"/>
      <c r="N57" s="45">
        <v>38306</v>
      </c>
      <c r="O57" s="46"/>
      <c r="P57" s="45">
        <v>38397</v>
      </c>
      <c r="Q57" s="25"/>
      <c r="R57" s="5"/>
    </row>
    <row r="58" spans="1:18" ht="15.6" x14ac:dyDescent="0.3">
      <c r="A58" s="24"/>
      <c r="B58" s="25" t="s">
        <v>143</v>
      </c>
      <c r="C58" s="25"/>
      <c r="D58" s="25"/>
      <c r="E58" s="25"/>
      <c r="F58" s="25"/>
      <c r="G58" s="25"/>
      <c r="H58" s="25"/>
      <c r="I58" s="25"/>
      <c r="J58" s="25"/>
      <c r="K58" s="25"/>
      <c r="L58" s="25">
        <f>+P58-N58+1</f>
        <v>90</v>
      </c>
      <c r="M58" s="25"/>
      <c r="N58" s="45">
        <v>38398</v>
      </c>
      <c r="O58" s="46"/>
      <c r="P58" s="45">
        <v>38487</v>
      </c>
      <c r="Q58" s="25"/>
      <c r="R58" s="5"/>
    </row>
    <row r="59" spans="1:18" ht="15.6" x14ac:dyDescent="0.3">
      <c r="A59" s="24"/>
      <c r="B59" s="25" t="s">
        <v>216</v>
      </c>
      <c r="C59" s="25"/>
      <c r="D59" s="25"/>
      <c r="E59" s="25"/>
      <c r="F59" s="25"/>
      <c r="G59" s="25"/>
      <c r="H59" s="25"/>
      <c r="I59" s="25"/>
      <c r="J59" s="25"/>
      <c r="K59" s="25"/>
      <c r="L59" s="25"/>
      <c r="M59" s="25"/>
      <c r="N59" s="45"/>
      <c r="O59" s="46"/>
      <c r="P59" s="45" t="s">
        <v>141</v>
      </c>
      <c r="Q59" s="25"/>
      <c r="R59" s="5"/>
    </row>
    <row r="60" spans="1:18" ht="15.6" x14ac:dyDescent="0.3">
      <c r="A60" s="24"/>
      <c r="B60" s="25" t="s">
        <v>213</v>
      </c>
      <c r="C60" s="25"/>
      <c r="D60" s="25"/>
      <c r="E60" s="25"/>
      <c r="F60" s="25"/>
      <c r="G60" s="25"/>
      <c r="H60" s="25"/>
      <c r="I60" s="25"/>
      <c r="J60" s="25"/>
      <c r="K60" s="25"/>
      <c r="L60" s="25"/>
      <c r="M60" s="25"/>
      <c r="N60" s="45"/>
      <c r="O60" s="46"/>
      <c r="P60" s="45" t="s">
        <v>225</v>
      </c>
      <c r="Q60" s="25"/>
      <c r="R60" s="5"/>
    </row>
    <row r="61" spans="1:18" ht="15.6" x14ac:dyDescent="0.3">
      <c r="A61" s="24"/>
      <c r="B61" s="25" t="s">
        <v>20</v>
      </c>
      <c r="C61" s="25"/>
      <c r="D61" s="25"/>
      <c r="E61" s="25"/>
      <c r="F61" s="25"/>
      <c r="G61" s="25"/>
      <c r="H61" s="25"/>
      <c r="I61" s="25"/>
      <c r="J61" s="25"/>
      <c r="K61" s="25"/>
      <c r="L61" s="25"/>
      <c r="M61" s="25"/>
      <c r="N61" s="45"/>
      <c r="O61" s="46"/>
      <c r="P61" s="45">
        <v>38475</v>
      </c>
      <c r="Q61" s="25"/>
      <c r="R61" s="5"/>
    </row>
    <row r="62" spans="1:18" ht="15.6" x14ac:dyDescent="0.3">
      <c r="A62" s="24"/>
      <c r="B62" s="25"/>
      <c r="C62" s="25"/>
      <c r="D62" s="25"/>
      <c r="E62" s="25"/>
      <c r="F62" s="25"/>
      <c r="G62" s="25"/>
      <c r="H62" s="25"/>
      <c r="I62" s="25"/>
      <c r="J62" s="25"/>
      <c r="K62" s="25"/>
      <c r="L62" s="25"/>
      <c r="M62" s="25"/>
      <c r="N62" s="45"/>
      <c r="O62" s="46"/>
      <c r="P62" s="45"/>
      <c r="Q62" s="25"/>
      <c r="R62" s="5"/>
    </row>
    <row r="63" spans="1:18" ht="15.6" x14ac:dyDescent="0.3">
      <c r="A63" s="6"/>
      <c r="B63" s="8"/>
      <c r="C63" s="8"/>
      <c r="D63" s="8"/>
      <c r="E63" s="8"/>
      <c r="F63" s="8"/>
      <c r="G63" s="8"/>
      <c r="H63" s="8"/>
      <c r="I63" s="8"/>
      <c r="J63" s="8"/>
      <c r="K63" s="8"/>
      <c r="L63" s="8"/>
      <c r="M63" s="8"/>
      <c r="N63" s="47"/>
      <c r="O63" s="48"/>
      <c r="P63" s="47"/>
      <c r="Q63" s="8"/>
      <c r="R63" s="5"/>
    </row>
    <row r="64" spans="1:18" ht="18" thickBot="1" x14ac:dyDescent="0.35">
      <c r="A64" s="101"/>
      <c r="B64" s="102" t="s">
        <v>235</v>
      </c>
      <c r="C64" s="103"/>
      <c r="D64" s="103"/>
      <c r="E64" s="103"/>
      <c r="F64" s="103"/>
      <c r="G64" s="103"/>
      <c r="H64" s="103"/>
      <c r="I64" s="103"/>
      <c r="J64" s="103"/>
      <c r="K64" s="103"/>
      <c r="L64" s="103"/>
      <c r="M64" s="103"/>
      <c r="N64" s="103"/>
      <c r="O64" s="103"/>
      <c r="P64" s="104"/>
      <c r="Q64" s="105"/>
      <c r="R64" s="5"/>
    </row>
    <row r="65" spans="1:18" ht="15.6" x14ac:dyDescent="0.3">
      <c r="A65" s="2"/>
      <c r="B65" s="4"/>
      <c r="C65" s="4"/>
      <c r="D65" s="4"/>
      <c r="E65" s="4"/>
      <c r="F65" s="4"/>
      <c r="G65" s="4"/>
      <c r="H65" s="4"/>
      <c r="I65" s="4"/>
      <c r="J65" s="4"/>
      <c r="K65" s="4"/>
      <c r="L65" s="4"/>
      <c r="M65" s="4"/>
      <c r="N65" s="4"/>
      <c r="O65" s="4"/>
      <c r="P65" s="50"/>
      <c r="Q65" s="4"/>
      <c r="R65" s="5"/>
    </row>
    <row r="66" spans="1:18" ht="15.6" x14ac:dyDescent="0.3">
      <c r="A66" s="6"/>
      <c r="B66" s="51" t="s">
        <v>21</v>
      </c>
      <c r="C66" s="8"/>
      <c r="D66" s="8"/>
      <c r="E66" s="8"/>
      <c r="F66" s="8"/>
      <c r="G66" s="8"/>
      <c r="H66" s="8"/>
      <c r="I66" s="8"/>
      <c r="J66" s="8"/>
      <c r="K66" s="8"/>
      <c r="L66" s="8"/>
      <c r="M66" s="8"/>
      <c r="N66" s="8"/>
      <c r="O66" s="8"/>
      <c r="P66" s="52"/>
      <c r="Q66" s="8"/>
      <c r="R66" s="5"/>
    </row>
    <row r="67" spans="1:18" ht="15.6" x14ac:dyDescent="0.3">
      <c r="A67" s="6"/>
      <c r="B67" s="13"/>
      <c r="C67" s="8"/>
      <c r="D67" s="8"/>
      <c r="E67" s="8"/>
      <c r="F67" s="8"/>
      <c r="G67" s="8"/>
      <c r="H67" s="8"/>
      <c r="I67" s="8"/>
      <c r="J67" s="8"/>
      <c r="K67" s="8"/>
      <c r="L67" s="8"/>
      <c r="M67" s="8"/>
      <c r="N67" s="8"/>
      <c r="O67" s="8"/>
      <c r="P67" s="52"/>
      <c r="Q67" s="8"/>
      <c r="R67" s="5"/>
    </row>
    <row r="68" spans="1:18" ht="46.8" x14ac:dyDescent="0.3">
      <c r="A68" s="6"/>
      <c r="B68" s="114" t="s">
        <v>22</v>
      </c>
      <c r="C68" s="115"/>
      <c r="D68" s="115"/>
      <c r="E68" s="115"/>
      <c r="F68" s="115" t="s">
        <v>105</v>
      </c>
      <c r="G68" s="115"/>
      <c r="H68" s="115" t="s">
        <v>107</v>
      </c>
      <c r="I68" s="115"/>
      <c r="J68" s="115" t="s">
        <v>109</v>
      </c>
      <c r="K68" s="115"/>
      <c r="L68" s="115" t="s">
        <v>111</v>
      </c>
      <c r="M68" s="115"/>
      <c r="N68" s="115" t="s">
        <v>118</v>
      </c>
      <c r="O68" s="115"/>
      <c r="P68" s="116" t="s">
        <v>127</v>
      </c>
      <c r="Q68" s="117"/>
      <c r="R68" s="5"/>
    </row>
    <row r="69" spans="1:18" ht="15.6" x14ac:dyDescent="0.3">
      <c r="A69" s="24"/>
      <c r="B69" s="25" t="s">
        <v>23</v>
      </c>
      <c r="C69" s="34"/>
      <c r="D69" s="34"/>
      <c r="E69" s="34"/>
      <c r="F69" s="34">
        <v>690290</v>
      </c>
      <c r="G69" s="34"/>
      <c r="H69" s="53">
        <v>842838</v>
      </c>
      <c r="I69" s="34"/>
      <c r="J69" s="34">
        <f>23144+7473+6</f>
        <v>30623</v>
      </c>
      <c r="K69" s="34"/>
      <c r="L69" s="34">
        <f>7479</f>
        <v>7479</v>
      </c>
      <c r="M69" s="34"/>
      <c r="N69" s="34">
        <v>0</v>
      </c>
      <c r="O69" s="34"/>
      <c r="P69" s="53">
        <f>+H69-J69+L69-N69</f>
        <v>819694</v>
      </c>
      <c r="Q69" s="25"/>
      <c r="R69" s="5"/>
    </row>
    <row r="70" spans="1:18" ht="15.6" x14ac:dyDescent="0.3">
      <c r="A70" s="24"/>
      <c r="B70" s="25" t="s">
        <v>24</v>
      </c>
      <c r="C70" s="34"/>
      <c r="D70" s="34"/>
      <c r="E70" s="34"/>
      <c r="F70" s="34">
        <v>201</v>
      </c>
      <c r="G70" s="34"/>
      <c r="H70" s="53">
        <v>0</v>
      </c>
      <c r="I70" s="34"/>
      <c r="J70" s="34">
        <v>0</v>
      </c>
      <c r="K70" s="34"/>
      <c r="L70" s="34">
        <v>0</v>
      </c>
      <c r="M70" s="34"/>
      <c r="N70" s="34">
        <v>0</v>
      </c>
      <c r="O70" s="34"/>
      <c r="P70" s="53">
        <f>+H70-J70+L70</f>
        <v>0</v>
      </c>
      <c r="Q70" s="25"/>
      <c r="R70" s="5"/>
    </row>
    <row r="71" spans="1:18" ht="15.6" x14ac:dyDescent="0.3">
      <c r="A71" s="24"/>
      <c r="B71" s="25"/>
      <c r="C71" s="34"/>
      <c r="D71" s="34"/>
      <c r="E71" s="34"/>
      <c r="F71" s="34"/>
      <c r="G71" s="34"/>
      <c r="H71" s="53"/>
      <c r="I71" s="34"/>
      <c r="J71" s="34"/>
      <c r="K71" s="34"/>
      <c r="L71" s="34"/>
      <c r="M71" s="34"/>
      <c r="N71" s="34"/>
      <c r="O71" s="34"/>
      <c r="P71" s="53"/>
      <c r="Q71" s="25"/>
      <c r="R71" s="5"/>
    </row>
    <row r="72" spans="1:18" ht="15.6" x14ac:dyDescent="0.3">
      <c r="A72" s="24"/>
      <c r="B72" s="25" t="s">
        <v>25</v>
      </c>
      <c r="C72" s="34"/>
      <c r="D72" s="34"/>
      <c r="E72" s="34"/>
      <c r="F72" s="34">
        <f>SUM(F69:F71)</f>
        <v>690491</v>
      </c>
      <c r="G72" s="34"/>
      <c r="H72" s="54">
        <f>H69+H70</f>
        <v>842838</v>
      </c>
      <c r="I72" s="34"/>
      <c r="J72" s="34">
        <f>SUM(J69:J71)</f>
        <v>30623</v>
      </c>
      <c r="K72" s="34"/>
      <c r="L72" s="34">
        <f>SUM(L69:L71)</f>
        <v>7479</v>
      </c>
      <c r="M72" s="34"/>
      <c r="N72" s="34">
        <f>SUM(N69:N71)</f>
        <v>0</v>
      </c>
      <c r="O72" s="34"/>
      <c r="P72" s="54">
        <f>SUM(P69:P71)</f>
        <v>819694</v>
      </c>
      <c r="Q72" s="25"/>
      <c r="R72" s="5"/>
    </row>
    <row r="73" spans="1:18" ht="15.6" x14ac:dyDescent="0.3">
      <c r="A73" s="24"/>
      <c r="B73" s="25"/>
      <c r="C73" s="34"/>
      <c r="D73" s="34"/>
      <c r="E73" s="34"/>
      <c r="F73" s="34"/>
      <c r="G73" s="34"/>
      <c r="H73" s="34"/>
      <c r="I73" s="34"/>
      <c r="J73" s="34"/>
      <c r="K73" s="34"/>
      <c r="L73" s="34"/>
      <c r="M73" s="34"/>
      <c r="N73" s="34"/>
      <c r="O73" s="34"/>
      <c r="P73" s="54"/>
      <c r="Q73" s="25"/>
      <c r="R73" s="5"/>
    </row>
    <row r="74" spans="1:18" ht="15.6" x14ac:dyDescent="0.3">
      <c r="A74" s="6"/>
      <c r="B74" s="111" t="s">
        <v>26</v>
      </c>
      <c r="C74" s="55"/>
      <c r="D74" s="55"/>
      <c r="E74" s="55"/>
      <c r="F74" s="55"/>
      <c r="G74" s="55"/>
      <c r="H74" s="55"/>
      <c r="I74" s="55"/>
      <c r="J74" s="55"/>
      <c r="K74" s="55"/>
      <c r="L74" s="55"/>
      <c r="M74" s="55"/>
      <c r="N74" s="55"/>
      <c r="O74" s="55"/>
      <c r="P74" s="56"/>
      <c r="Q74" s="8"/>
      <c r="R74" s="5"/>
    </row>
    <row r="75" spans="1:18" ht="15.6" x14ac:dyDescent="0.3">
      <c r="A75" s="6"/>
      <c r="B75" s="8"/>
      <c r="C75" s="55"/>
      <c r="D75" s="55"/>
      <c r="E75" s="55"/>
      <c r="F75" s="55"/>
      <c r="G75" s="55"/>
      <c r="H75" s="55"/>
      <c r="I75" s="55"/>
      <c r="J75" s="55"/>
      <c r="K75" s="55"/>
      <c r="L75" s="55"/>
      <c r="M75" s="55"/>
      <c r="N75" s="55"/>
      <c r="O75" s="55"/>
      <c r="P75" s="56"/>
      <c r="Q75" s="8"/>
      <c r="R75" s="5"/>
    </row>
    <row r="76" spans="1:18" ht="15.6" x14ac:dyDescent="0.3">
      <c r="A76" s="24"/>
      <c r="B76" s="25" t="s">
        <v>23</v>
      </c>
      <c r="C76" s="34"/>
      <c r="D76" s="34"/>
      <c r="E76" s="34"/>
      <c r="F76" s="34"/>
      <c r="G76" s="34"/>
      <c r="H76" s="34"/>
      <c r="I76" s="34"/>
      <c r="J76" s="34"/>
      <c r="K76" s="34"/>
      <c r="L76" s="34"/>
      <c r="M76" s="34"/>
      <c r="N76" s="34"/>
      <c r="O76" s="34"/>
      <c r="P76" s="54"/>
      <c r="Q76" s="25"/>
      <c r="R76" s="5"/>
    </row>
    <row r="77" spans="1:18" ht="15.6" x14ac:dyDescent="0.3">
      <c r="A77" s="24"/>
      <c r="B77" s="25" t="s">
        <v>24</v>
      </c>
      <c r="C77" s="34"/>
      <c r="D77" s="34"/>
      <c r="E77" s="34"/>
      <c r="F77" s="34"/>
      <c r="G77" s="34"/>
      <c r="H77" s="34"/>
      <c r="I77" s="34"/>
      <c r="J77" s="34"/>
      <c r="K77" s="34"/>
      <c r="L77" s="34"/>
      <c r="M77" s="34"/>
      <c r="N77" s="34"/>
      <c r="O77" s="34"/>
      <c r="P77" s="54"/>
      <c r="Q77" s="25"/>
      <c r="R77" s="5"/>
    </row>
    <row r="78" spans="1:18" ht="15.6" x14ac:dyDescent="0.3">
      <c r="A78" s="24"/>
      <c r="B78" s="25"/>
      <c r="C78" s="34"/>
      <c r="D78" s="34"/>
      <c r="E78" s="34"/>
      <c r="F78" s="34"/>
      <c r="G78" s="34"/>
      <c r="H78" s="34"/>
      <c r="I78" s="34"/>
      <c r="J78" s="34"/>
      <c r="K78" s="34"/>
      <c r="L78" s="34"/>
      <c r="M78" s="34"/>
      <c r="N78" s="34"/>
      <c r="O78" s="34"/>
      <c r="P78" s="54"/>
      <c r="Q78" s="25"/>
      <c r="R78" s="5"/>
    </row>
    <row r="79" spans="1:18" ht="15.6" x14ac:dyDescent="0.3">
      <c r="A79" s="24"/>
      <c r="B79" s="25" t="s">
        <v>25</v>
      </c>
      <c r="C79" s="34"/>
      <c r="D79" s="34"/>
      <c r="E79" s="34"/>
      <c r="F79" s="34"/>
      <c r="G79" s="34"/>
      <c r="H79" s="34"/>
      <c r="I79" s="34"/>
      <c r="J79" s="34"/>
      <c r="K79" s="34"/>
      <c r="L79" s="34"/>
      <c r="M79" s="34"/>
      <c r="N79" s="34"/>
      <c r="O79" s="34"/>
      <c r="P79" s="34"/>
      <c r="Q79" s="25"/>
      <c r="R79" s="5"/>
    </row>
    <row r="80" spans="1:18" ht="15.6" x14ac:dyDescent="0.3">
      <c r="A80" s="24"/>
      <c r="B80" s="25"/>
      <c r="C80" s="34"/>
      <c r="D80" s="34"/>
      <c r="E80" s="34"/>
      <c r="F80" s="34"/>
      <c r="G80" s="34"/>
      <c r="H80" s="34"/>
      <c r="I80" s="34"/>
      <c r="J80" s="34"/>
      <c r="K80" s="34"/>
      <c r="L80" s="34"/>
      <c r="M80" s="34"/>
      <c r="N80" s="34"/>
      <c r="O80" s="34"/>
      <c r="P80" s="34"/>
      <c r="Q80" s="25"/>
      <c r="R80" s="5"/>
    </row>
    <row r="81" spans="1:18" ht="15.6" x14ac:dyDescent="0.3">
      <c r="A81" s="24"/>
      <c r="B81" s="25" t="s">
        <v>27</v>
      </c>
      <c r="C81" s="34"/>
      <c r="D81" s="34"/>
      <c r="E81" s="34"/>
      <c r="F81" s="34">
        <v>0</v>
      </c>
      <c r="G81" s="34"/>
      <c r="H81" s="34">
        <v>0</v>
      </c>
      <c r="I81" s="34"/>
      <c r="J81" s="34"/>
      <c r="K81" s="34"/>
      <c r="L81" s="34"/>
      <c r="M81" s="34"/>
      <c r="N81" s="34"/>
      <c r="O81" s="34"/>
      <c r="P81" s="53">
        <v>0</v>
      </c>
      <c r="Q81" s="25"/>
      <c r="R81" s="5"/>
    </row>
    <row r="82" spans="1:18" ht="15.6" x14ac:dyDescent="0.3">
      <c r="A82" s="24"/>
      <c r="B82" s="25" t="s">
        <v>132</v>
      </c>
      <c r="C82" s="34"/>
      <c r="D82" s="34"/>
      <c r="E82" s="34"/>
      <c r="F82" s="34">
        <v>210000</v>
      </c>
      <c r="G82" s="34"/>
      <c r="H82" s="34">
        <v>0</v>
      </c>
      <c r="I82" s="34"/>
      <c r="J82" s="34"/>
      <c r="K82" s="34"/>
      <c r="L82" s="34">
        <v>0</v>
      </c>
      <c r="M82" s="34"/>
      <c r="N82" s="34"/>
      <c r="O82" s="34"/>
      <c r="P82" s="54">
        <f>SUM(H82:L82)</f>
        <v>0</v>
      </c>
      <c r="Q82" s="25"/>
      <c r="R82" s="5"/>
    </row>
    <row r="83" spans="1:18" ht="15.6" x14ac:dyDescent="0.3">
      <c r="A83" s="24"/>
      <c r="B83" s="25" t="s">
        <v>210</v>
      </c>
      <c r="C83" s="34"/>
      <c r="D83" s="34"/>
      <c r="E83" s="34"/>
      <c r="F83" s="34">
        <v>209</v>
      </c>
      <c r="G83" s="34"/>
      <c r="H83" s="34">
        <v>0</v>
      </c>
      <c r="I83" s="34"/>
      <c r="J83" s="34"/>
      <c r="K83" s="34"/>
      <c r="L83" s="34">
        <v>0</v>
      </c>
      <c r="M83" s="34"/>
      <c r="N83" s="34"/>
      <c r="O83" s="34"/>
      <c r="P83" s="54">
        <f>SUM(H83:L83)</f>
        <v>0</v>
      </c>
      <c r="Q83" s="25"/>
      <c r="R83" s="5"/>
    </row>
    <row r="84" spans="1:18" ht="15.6" x14ac:dyDescent="0.3">
      <c r="A84" s="24"/>
      <c r="B84" s="25" t="s">
        <v>29</v>
      </c>
      <c r="C84" s="34"/>
      <c r="D84" s="34"/>
      <c r="E84" s="34"/>
      <c r="F84" s="34">
        <v>0</v>
      </c>
      <c r="G84" s="34"/>
      <c r="H84" s="34">
        <v>0</v>
      </c>
      <c r="I84" s="34"/>
      <c r="J84" s="34"/>
      <c r="K84" s="34"/>
      <c r="L84" s="34"/>
      <c r="M84" s="34"/>
      <c r="N84" s="34"/>
      <c r="O84" s="34"/>
      <c r="P84" s="54">
        <v>0</v>
      </c>
      <c r="Q84" s="25"/>
      <c r="R84" s="5"/>
    </row>
    <row r="85" spans="1:18" ht="15.6" x14ac:dyDescent="0.3">
      <c r="A85" s="24"/>
      <c r="B85" s="25" t="s">
        <v>30</v>
      </c>
      <c r="C85" s="34"/>
      <c r="D85" s="54"/>
      <c r="E85" s="34"/>
      <c r="F85" s="54">
        <f>SUM(F72:F84)</f>
        <v>900700</v>
      </c>
      <c r="G85" s="54"/>
      <c r="H85" s="54">
        <f>SUM(H72:H84)</f>
        <v>842838</v>
      </c>
      <c r="I85" s="34"/>
      <c r="J85" s="34"/>
      <c r="K85" s="34"/>
      <c r="L85" s="34"/>
      <c r="M85" s="34"/>
      <c r="N85" s="54"/>
      <c r="O85" s="34"/>
      <c r="P85" s="54">
        <f>SUM(P72:P84)</f>
        <v>819694</v>
      </c>
      <c r="Q85" s="25"/>
      <c r="R85" s="5"/>
    </row>
    <row r="86" spans="1:18" ht="15.6" x14ac:dyDescent="0.3">
      <c r="A86" s="24"/>
      <c r="B86" s="25"/>
      <c r="C86" s="34"/>
      <c r="D86" s="34"/>
      <c r="E86" s="34"/>
      <c r="F86" s="34"/>
      <c r="G86" s="34"/>
      <c r="H86" s="34"/>
      <c r="I86" s="34"/>
      <c r="J86" s="34"/>
      <c r="K86" s="34"/>
      <c r="L86" s="34"/>
      <c r="M86" s="34"/>
      <c r="N86" s="34"/>
      <c r="O86" s="34"/>
      <c r="P86" s="54"/>
      <c r="Q86" s="25"/>
      <c r="R86" s="5"/>
    </row>
    <row r="87" spans="1:18" ht="15.6" x14ac:dyDescent="0.3">
      <c r="A87" s="6"/>
      <c r="B87" s="8"/>
      <c r="C87" s="8"/>
      <c r="D87" s="8"/>
      <c r="E87" s="8"/>
      <c r="F87" s="8"/>
      <c r="G87" s="8"/>
      <c r="H87" s="8"/>
      <c r="I87" s="8"/>
      <c r="J87" s="8"/>
      <c r="K87" s="8"/>
      <c r="L87" s="8"/>
      <c r="M87" s="8"/>
      <c r="N87" s="8"/>
      <c r="O87" s="8"/>
      <c r="P87" s="8"/>
      <c r="Q87" s="8"/>
      <c r="R87" s="5"/>
    </row>
    <row r="88" spans="1:18" ht="15.6" x14ac:dyDescent="0.3">
      <c r="A88" s="6"/>
      <c r="B88" s="51" t="s">
        <v>31</v>
      </c>
      <c r="C88" s="14"/>
      <c r="D88" s="14"/>
      <c r="E88" s="14"/>
      <c r="F88" s="17"/>
      <c r="G88" s="17"/>
      <c r="H88" s="17"/>
      <c r="I88" s="17"/>
      <c r="J88" s="17"/>
      <c r="K88" s="17"/>
      <c r="L88" s="17"/>
      <c r="M88" s="17"/>
      <c r="N88" s="17" t="s">
        <v>119</v>
      </c>
      <c r="O88" s="17"/>
      <c r="P88" s="17" t="s">
        <v>128</v>
      </c>
      <c r="Q88" s="8"/>
      <c r="R88" s="5"/>
    </row>
    <row r="89" spans="1:18" ht="15.6" x14ac:dyDescent="0.3">
      <c r="A89" s="24"/>
      <c r="B89" s="25" t="s">
        <v>32</v>
      </c>
      <c r="C89" s="25"/>
      <c r="D89" s="25"/>
      <c r="E89" s="25"/>
      <c r="F89" s="25"/>
      <c r="G89" s="25"/>
      <c r="H89" s="25"/>
      <c r="I89" s="25"/>
      <c r="J89" s="25"/>
      <c r="K89" s="25"/>
      <c r="L89" s="25"/>
      <c r="M89" s="25"/>
      <c r="N89" s="34">
        <v>0</v>
      </c>
      <c r="O89" s="25"/>
      <c r="P89" s="53">
        <v>0</v>
      </c>
      <c r="Q89" s="25"/>
      <c r="R89" s="5"/>
    </row>
    <row r="90" spans="1:18" ht="15.6" x14ac:dyDescent="0.3">
      <c r="A90" s="24"/>
      <c r="B90" s="25" t="s">
        <v>33</v>
      </c>
      <c r="C90" s="25"/>
      <c r="D90" s="25"/>
      <c r="E90" s="25"/>
      <c r="F90" s="40" t="s">
        <v>106</v>
      </c>
      <c r="G90" s="57"/>
      <c r="H90" s="127">
        <v>38472</v>
      </c>
      <c r="I90" s="25"/>
      <c r="J90" s="25"/>
      <c r="K90" s="25"/>
      <c r="L90" s="25"/>
      <c r="M90" s="25"/>
      <c r="N90" s="34">
        <v>30623</v>
      </c>
      <c r="O90" s="25"/>
      <c r="P90" s="53"/>
      <c r="Q90" s="25"/>
      <c r="R90" s="5"/>
    </row>
    <row r="91" spans="1:18" ht="15.6" x14ac:dyDescent="0.3">
      <c r="A91" s="24"/>
      <c r="B91" s="25" t="s">
        <v>34</v>
      </c>
      <c r="C91" s="25"/>
      <c r="D91" s="25"/>
      <c r="E91" s="25"/>
      <c r="F91" s="25"/>
      <c r="G91" s="25"/>
      <c r="H91" s="25"/>
      <c r="I91" s="25"/>
      <c r="J91" s="25"/>
      <c r="K91" s="25"/>
      <c r="L91" s="25"/>
      <c r="M91" s="25"/>
      <c r="N91" s="34"/>
      <c r="O91" s="25"/>
      <c r="P91" s="53">
        <f>13914-6</f>
        <v>13908</v>
      </c>
      <c r="Q91" s="25"/>
      <c r="R91" s="5"/>
    </row>
    <row r="92" spans="1:18" ht="15.6" x14ac:dyDescent="0.3">
      <c r="A92" s="24"/>
      <c r="B92" s="25" t="s">
        <v>160</v>
      </c>
      <c r="C92" s="25"/>
      <c r="D92" s="25"/>
      <c r="E92" s="25"/>
      <c r="F92" s="25"/>
      <c r="G92" s="25"/>
      <c r="H92" s="25"/>
      <c r="I92" s="25"/>
      <c r="J92" s="25"/>
      <c r="K92" s="25"/>
      <c r="L92" s="25"/>
      <c r="M92" s="25"/>
      <c r="N92" s="34"/>
      <c r="O92" s="25"/>
      <c r="P92" s="53">
        <v>0</v>
      </c>
      <c r="Q92" s="25"/>
      <c r="R92" s="5"/>
    </row>
    <row r="93" spans="1:18" ht="15.6" x14ac:dyDescent="0.3">
      <c r="A93" s="24"/>
      <c r="B93" s="25" t="s">
        <v>192</v>
      </c>
      <c r="C93" s="25"/>
      <c r="D93" s="25"/>
      <c r="E93" s="25"/>
      <c r="F93" s="25"/>
      <c r="G93" s="25"/>
      <c r="H93" s="25"/>
      <c r="I93" s="25"/>
      <c r="J93" s="25"/>
      <c r="K93" s="25"/>
      <c r="L93" s="25"/>
      <c r="M93" s="25"/>
      <c r="N93" s="34"/>
      <c r="O93" s="25"/>
      <c r="P93" s="53">
        <v>0</v>
      </c>
      <c r="Q93" s="25"/>
      <c r="R93" s="5"/>
    </row>
    <row r="94" spans="1:18" ht="15.6" x14ac:dyDescent="0.3">
      <c r="A94" s="24"/>
      <c r="B94" s="25" t="s">
        <v>35</v>
      </c>
      <c r="C94" s="25"/>
      <c r="D94" s="25"/>
      <c r="E94" s="25"/>
      <c r="F94" s="25"/>
      <c r="G94" s="25"/>
      <c r="H94" s="25"/>
      <c r="I94" s="25"/>
      <c r="J94" s="25"/>
      <c r="K94" s="25"/>
      <c r="L94" s="25"/>
      <c r="M94" s="25"/>
      <c r="N94" s="34">
        <f>SUM(N89:N93)</f>
        <v>30623</v>
      </c>
      <c r="O94" s="25"/>
      <c r="P94" s="54">
        <f>SUM(P89:P93)</f>
        <v>13908</v>
      </c>
      <c r="Q94" s="25"/>
      <c r="R94" s="5"/>
    </row>
    <row r="95" spans="1:18" ht="15.6" x14ac:dyDescent="0.3">
      <c r="A95" s="24"/>
      <c r="B95" s="25" t="s">
        <v>237</v>
      </c>
      <c r="C95" s="25"/>
      <c r="D95" s="25"/>
      <c r="E95" s="25"/>
      <c r="F95" s="25"/>
      <c r="G95" s="25"/>
      <c r="H95" s="25"/>
      <c r="I95" s="25"/>
      <c r="J95" s="25"/>
      <c r="K95" s="25"/>
      <c r="L95" s="25"/>
      <c r="M95" s="25"/>
      <c r="N95" s="34">
        <v>-6</v>
      </c>
      <c r="O95" s="25"/>
      <c r="P95" s="54">
        <f>-N95</f>
        <v>6</v>
      </c>
      <c r="Q95" s="25"/>
      <c r="R95" s="5"/>
    </row>
    <row r="96" spans="1:18" ht="15.6" x14ac:dyDescent="0.3">
      <c r="A96" s="24"/>
      <c r="B96" s="25" t="s">
        <v>36</v>
      </c>
      <c r="C96" s="25"/>
      <c r="D96" s="25"/>
      <c r="E96" s="25"/>
      <c r="F96" s="25"/>
      <c r="G96" s="25"/>
      <c r="H96" s="25"/>
      <c r="I96" s="25"/>
      <c r="J96" s="25"/>
      <c r="K96" s="25"/>
      <c r="L96" s="25"/>
      <c r="M96" s="25"/>
      <c r="N96" s="34">
        <f>-P96</f>
        <v>0</v>
      </c>
      <c r="O96" s="25"/>
      <c r="P96" s="53">
        <v>0</v>
      </c>
      <c r="Q96" s="25"/>
      <c r="R96" s="5"/>
    </row>
    <row r="97" spans="1:19" ht="15.6" x14ac:dyDescent="0.3">
      <c r="A97" s="24"/>
      <c r="B97" s="25" t="s">
        <v>37</v>
      </c>
      <c r="C97" s="25"/>
      <c r="D97" s="25"/>
      <c r="E97" s="25"/>
      <c r="F97" s="25"/>
      <c r="G97" s="25"/>
      <c r="H97" s="25"/>
      <c r="I97" s="25"/>
      <c r="J97" s="25"/>
      <c r="K97" s="25"/>
      <c r="L97" s="25"/>
      <c r="M97" s="25"/>
      <c r="N97" s="34">
        <f>N94+N96+N95</f>
        <v>30617</v>
      </c>
      <c r="O97" s="25"/>
      <c r="P97" s="54">
        <f>P94+P96+P95</f>
        <v>13914</v>
      </c>
      <c r="Q97" s="25"/>
      <c r="R97" s="5"/>
      <c r="S97" s="154"/>
    </row>
    <row r="98" spans="1:19" ht="15.6" x14ac:dyDescent="0.3">
      <c r="A98" s="24"/>
      <c r="B98" s="118" t="s">
        <v>38</v>
      </c>
      <c r="C98" s="25"/>
      <c r="D98" s="25"/>
      <c r="E98" s="25"/>
      <c r="F98" s="25"/>
      <c r="G98" s="25"/>
      <c r="H98" s="25"/>
      <c r="I98" s="25"/>
      <c r="J98" s="25"/>
      <c r="K98" s="25"/>
      <c r="L98" s="25"/>
      <c r="M98" s="25"/>
      <c r="N98" s="34"/>
      <c r="O98" s="25"/>
      <c r="P98" s="53"/>
      <c r="Q98" s="25"/>
      <c r="R98" s="5"/>
    </row>
    <row r="99" spans="1:19" ht="15.6" x14ac:dyDescent="0.3">
      <c r="A99" s="24">
        <v>1</v>
      </c>
      <c r="B99" s="25" t="s">
        <v>39</v>
      </c>
      <c r="C99" s="25"/>
      <c r="D99" s="25"/>
      <c r="E99" s="25"/>
      <c r="F99" s="25"/>
      <c r="G99" s="25"/>
      <c r="H99" s="25"/>
      <c r="I99" s="25"/>
      <c r="J99" s="25"/>
      <c r="K99" s="25"/>
      <c r="L99" s="25"/>
      <c r="M99" s="25"/>
      <c r="N99" s="25"/>
      <c r="O99" s="25"/>
      <c r="P99" s="53">
        <v>0</v>
      </c>
      <c r="Q99" s="25"/>
      <c r="R99" s="5"/>
    </row>
    <row r="100" spans="1:19" ht="15.6" x14ac:dyDescent="0.3">
      <c r="A100" s="24">
        <f>+A99+1</f>
        <v>2</v>
      </c>
      <c r="B100" s="25" t="s">
        <v>40</v>
      </c>
      <c r="C100" s="25"/>
      <c r="D100" s="25"/>
      <c r="E100" s="25"/>
      <c r="F100" s="25"/>
      <c r="G100" s="25"/>
      <c r="H100" s="25"/>
      <c r="I100" s="25"/>
      <c r="J100" s="25"/>
      <c r="K100" s="25"/>
      <c r="L100" s="25"/>
      <c r="M100" s="25"/>
      <c r="N100" s="25"/>
      <c r="O100" s="25"/>
      <c r="P100" s="53">
        <v>-2</v>
      </c>
      <c r="Q100" s="25"/>
      <c r="R100" s="5"/>
    </row>
    <row r="101" spans="1:19" ht="15.6" x14ac:dyDescent="0.3">
      <c r="A101" s="24">
        <f>+A100+1</f>
        <v>3</v>
      </c>
      <c r="B101" s="25" t="s">
        <v>226</v>
      </c>
      <c r="C101" s="25"/>
      <c r="D101" s="25"/>
      <c r="E101" s="25"/>
      <c r="F101" s="25"/>
      <c r="G101" s="25"/>
      <c r="H101" s="25"/>
      <c r="I101" s="25"/>
      <c r="J101" s="25"/>
      <c r="K101" s="25"/>
      <c r="L101" s="25"/>
      <c r="M101" s="25"/>
      <c r="N101" s="25"/>
      <c r="O101" s="25"/>
      <c r="P101" s="53">
        <f>-204-23-16</f>
        <v>-243</v>
      </c>
      <c r="Q101" s="25"/>
      <c r="R101" s="5"/>
    </row>
    <row r="102" spans="1:19" ht="15.6" x14ac:dyDescent="0.3">
      <c r="A102" s="24" t="s">
        <v>151</v>
      </c>
      <c r="B102" s="25" t="s">
        <v>131</v>
      </c>
      <c r="C102" s="25"/>
      <c r="D102" s="25"/>
      <c r="E102" s="25"/>
      <c r="F102" s="25"/>
      <c r="G102" s="25"/>
      <c r="H102" s="25"/>
      <c r="I102" s="25"/>
      <c r="J102" s="25"/>
      <c r="K102" s="25"/>
      <c r="L102" s="25"/>
      <c r="M102" s="25"/>
      <c r="N102" s="25"/>
      <c r="O102" s="25"/>
      <c r="P102" s="53">
        <v>-96</v>
      </c>
      <c r="Q102" s="25"/>
      <c r="R102" s="5"/>
    </row>
    <row r="103" spans="1:19" ht="15.6" x14ac:dyDescent="0.3">
      <c r="A103" s="24" t="s">
        <v>152</v>
      </c>
      <c r="B103" s="25" t="s">
        <v>195</v>
      </c>
      <c r="C103" s="25"/>
      <c r="D103" s="25"/>
      <c r="E103" s="25"/>
      <c r="F103" s="25"/>
      <c r="G103" s="25"/>
      <c r="H103" s="25"/>
      <c r="I103" s="25"/>
      <c r="J103" s="25"/>
      <c r="K103" s="25"/>
      <c r="L103" s="25"/>
      <c r="M103" s="25"/>
      <c r="N103" s="25"/>
      <c r="O103" s="25"/>
      <c r="P103" s="53">
        <v>-3010</v>
      </c>
      <c r="Q103" s="25"/>
      <c r="R103" s="5"/>
      <c r="S103" s="109"/>
    </row>
    <row r="104" spans="1:19" ht="15.6" x14ac:dyDescent="0.3">
      <c r="A104" s="24" t="s">
        <v>217</v>
      </c>
      <c r="B104" s="25" t="s">
        <v>196</v>
      </c>
      <c r="C104" s="25"/>
      <c r="D104" s="25"/>
      <c r="E104" s="25"/>
      <c r="F104" s="25"/>
      <c r="G104" s="25"/>
      <c r="H104" s="25"/>
      <c r="I104" s="25"/>
      <c r="J104" s="25"/>
      <c r="K104" s="25"/>
      <c r="L104" s="25"/>
      <c r="M104" s="25"/>
      <c r="N104" s="25"/>
      <c r="O104" s="25"/>
      <c r="P104" s="53">
        <v>-2570</v>
      </c>
      <c r="Q104" s="25"/>
      <c r="R104" s="5"/>
    </row>
    <row r="105" spans="1:19" ht="15.6" x14ac:dyDescent="0.3">
      <c r="A105" s="24" t="s">
        <v>218</v>
      </c>
      <c r="B105" s="25" t="s">
        <v>197</v>
      </c>
      <c r="C105" s="25"/>
      <c r="D105" s="25"/>
      <c r="E105" s="25"/>
      <c r="F105" s="25"/>
      <c r="G105" s="25"/>
      <c r="H105" s="25"/>
      <c r="I105" s="25"/>
      <c r="J105" s="25"/>
      <c r="K105" s="25"/>
      <c r="L105" s="25"/>
      <c r="M105" s="25"/>
      <c r="N105" s="25"/>
      <c r="O105" s="25"/>
      <c r="P105" s="53">
        <v>-4007</v>
      </c>
      <c r="Q105" s="25"/>
      <c r="R105" s="5"/>
      <c r="S105" s="109"/>
    </row>
    <row r="106" spans="1:19" ht="15.6" x14ac:dyDescent="0.3">
      <c r="A106" s="24" t="s">
        <v>147</v>
      </c>
      <c r="B106" s="25" t="s">
        <v>146</v>
      </c>
      <c r="C106" s="25"/>
      <c r="D106" s="25"/>
      <c r="E106" s="25"/>
      <c r="F106" s="25"/>
      <c r="G106" s="25"/>
      <c r="H106" s="25"/>
      <c r="I106" s="25"/>
      <c r="J106" s="25"/>
      <c r="K106" s="25"/>
      <c r="L106" s="25"/>
      <c r="M106" s="25"/>
      <c r="N106" s="25"/>
      <c r="O106" s="25"/>
      <c r="P106" s="53">
        <v>-665</v>
      </c>
      <c r="Q106" s="25"/>
      <c r="R106" s="5"/>
      <c r="S106" s="109"/>
    </row>
    <row r="107" spans="1:19" ht="15.6" x14ac:dyDescent="0.3">
      <c r="A107" s="24" t="s">
        <v>148</v>
      </c>
      <c r="B107" s="25" t="s">
        <v>198</v>
      </c>
      <c r="C107" s="25"/>
      <c r="D107" s="25"/>
      <c r="E107" s="25"/>
      <c r="F107" s="25"/>
      <c r="G107" s="25"/>
      <c r="H107" s="25"/>
      <c r="I107" s="25"/>
      <c r="J107" s="25"/>
      <c r="K107" s="25"/>
      <c r="L107" s="25"/>
      <c r="M107" s="25"/>
      <c r="N107" s="25"/>
      <c r="O107" s="25"/>
      <c r="P107" s="53">
        <v>-628</v>
      </c>
      <c r="Q107" s="25"/>
      <c r="R107" s="5"/>
      <c r="S107" s="109"/>
    </row>
    <row r="108" spans="1:19" ht="15.6" x14ac:dyDescent="0.3">
      <c r="A108" s="24">
        <v>6</v>
      </c>
      <c r="B108" s="25" t="s">
        <v>41</v>
      </c>
      <c r="C108" s="25"/>
      <c r="D108" s="25"/>
      <c r="E108" s="25"/>
      <c r="F108" s="25"/>
      <c r="G108" s="25"/>
      <c r="H108" s="25"/>
      <c r="I108" s="25"/>
      <c r="J108" s="25"/>
      <c r="K108" s="25"/>
      <c r="L108" s="25"/>
      <c r="M108" s="25"/>
      <c r="N108" s="25"/>
      <c r="O108" s="25"/>
      <c r="P108" s="53">
        <v>-10</v>
      </c>
      <c r="Q108" s="25"/>
      <c r="R108" s="5"/>
    </row>
    <row r="109" spans="1:19" ht="15.6" x14ac:dyDescent="0.3">
      <c r="A109" s="24">
        <f t="shared" ref="A109:A114" si="0">+A108+1</f>
        <v>7</v>
      </c>
      <c r="B109" s="25" t="s">
        <v>53</v>
      </c>
      <c r="C109" s="25"/>
      <c r="D109" s="25"/>
      <c r="E109" s="25"/>
      <c r="F109" s="25"/>
      <c r="G109" s="25"/>
      <c r="H109" s="25"/>
      <c r="I109" s="25"/>
      <c r="J109" s="25"/>
      <c r="K109" s="25"/>
      <c r="L109" s="25"/>
      <c r="M109" s="25"/>
      <c r="N109" s="25"/>
      <c r="O109" s="25"/>
      <c r="P109" s="53">
        <v>0</v>
      </c>
      <c r="Q109" s="25"/>
      <c r="R109" s="5"/>
    </row>
    <row r="110" spans="1:19" ht="15.6" x14ac:dyDescent="0.3">
      <c r="A110" s="24">
        <f t="shared" si="0"/>
        <v>8</v>
      </c>
      <c r="B110" s="25" t="s">
        <v>149</v>
      </c>
      <c r="C110" s="25"/>
      <c r="D110" s="25"/>
      <c r="E110" s="25"/>
      <c r="F110" s="25"/>
      <c r="G110" s="25"/>
      <c r="H110" s="25"/>
      <c r="I110" s="25"/>
      <c r="J110" s="25"/>
      <c r="K110" s="25"/>
      <c r="L110" s="25"/>
      <c r="M110" s="25"/>
      <c r="N110" s="25"/>
      <c r="O110" s="25"/>
      <c r="P110" s="53">
        <v>0</v>
      </c>
      <c r="Q110" s="25"/>
      <c r="R110" s="5"/>
    </row>
    <row r="111" spans="1:19" ht="15.6" x14ac:dyDescent="0.3">
      <c r="A111" s="24">
        <f t="shared" si="0"/>
        <v>9</v>
      </c>
      <c r="B111" s="25" t="s">
        <v>42</v>
      </c>
      <c r="C111" s="25"/>
      <c r="D111" s="25"/>
      <c r="E111" s="25"/>
      <c r="F111" s="25"/>
      <c r="G111" s="25"/>
      <c r="H111" s="25"/>
      <c r="I111" s="25"/>
      <c r="J111" s="25"/>
      <c r="K111" s="25"/>
      <c r="L111" s="25"/>
      <c r="M111" s="25"/>
      <c r="N111" s="25"/>
      <c r="O111" s="25"/>
      <c r="P111" s="53">
        <v>0</v>
      </c>
      <c r="Q111" s="25"/>
      <c r="R111" s="5"/>
    </row>
    <row r="112" spans="1:19" ht="15.6" x14ac:dyDescent="0.3">
      <c r="A112" s="24">
        <f t="shared" si="0"/>
        <v>10</v>
      </c>
      <c r="B112" s="25" t="s">
        <v>43</v>
      </c>
      <c r="C112" s="25"/>
      <c r="D112" s="25"/>
      <c r="E112" s="25"/>
      <c r="F112" s="25"/>
      <c r="G112" s="25"/>
      <c r="H112" s="25"/>
      <c r="I112" s="25"/>
      <c r="J112" s="25"/>
      <c r="K112" s="25"/>
      <c r="L112" s="25"/>
      <c r="M112" s="25"/>
      <c r="N112" s="25"/>
      <c r="O112" s="25"/>
      <c r="P112" s="53">
        <v>0</v>
      </c>
      <c r="Q112" s="25"/>
      <c r="R112" s="5"/>
    </row>
    <row r="113" spans="1:18" ht="15.6" x14ac:dyDescent="0.3">
      <c r="A113" s="24">
        <f t="shared" si="0"/>
        <v>11</v>
      </c>
      <c r="B113" s="25" t="s">
        <v>215</v>
      </c>
      <c r="C113" s="25"/>
      <c r="D113" s="25"/>
      <c r="E113" s="25"/>
      <c r="F113" s="25"/>
      <c r="G113" s="25"/>
      <c r="H113" s="25"/>
      <c r="I113" s="25"/>
      <c r="J113" s="25"/>
      <c r="K113" s="25"/>
      <c r="L113" s="25"/>
      <c r="M113" s="25"/>
      <c r="N113" s="25"/>
      <c r="O113" s="25"/>
      <c r="P113" s="53">
        <f>-414</f>
        <v>-414</v>
      </c>
      <c r="Q113" s="25"/>
      <c r="R113" s="5"/>
    </row>
    <row r="114" spans="1:18" ht="15.6" x14ac:dyDescent="0.3">
      <c r="A114" s="24">
        <f t="shared" si="0"/>
        <v>12</v>
      </c>
      <c r="B114" s="25" t="s">
        <v>150</v>
      </c>
      <c r="C114" s="25"/>
      <c r="D114" s="25"/>
      <c r="E114" s="25"/>
      <c r="F114" s="25"/>
      <c r="G114" s="25"/>
      <c r="H114" s="25"/>
      <c r="I114" s="25"/>
      <c r="J114" s="25"/>
      <c r="K114" s="25"/>
      <c r="L114" s="25"/>
      <c r="M114" s="25"/>
      <c r="N114" s="25"/>
      <c r="O114" s="25"/>
      <c r="P114" s="53">
        <f>-P97-SUM(P99:P113)</f>
        <v>-2269</v>
      </c>
      <c r="Q114" s="25"/>
      <c r="R114" s="5"/>
    </row>
    <row r="115" spans="1:18" ht="15.6" x14ac:dyDescent="0.3">
      <c r="A115" s="24"/>
      <c r="B115" s="118" t="s">
        <v>44</v>
      </c>
      <c r="C115" s="25"/>
      <c r="D115" s="25"/>
      <c r="E115" s="25"/>
      <c r="F115" s="25"/>
      <c r="G115" s="25"/>
      <c r="H115" s="25"/>
      <c r="I115" s="25"/>
      <c r="J115" s="25"/>
      <c r="K115" s="25"/>
      <c r="L115" s="25"/>
      <c r="M115" s="25"/>
      <c r="N115" s="25"/>
      <c r="O115" s="25"/>
      <c r="P115" s="59"/>
      <c r="Q115" s="25"/>
      <c r="R115" s="5"/>
    </row>
    <row r="116" spans="1:18" ht="15.6" x14ac:dyDescent="0.3">
      <c r="A116" s="24"/>
      <c r="B116" s="25" t="s">
        <v>45</v>
      </c>
      <c r="C116" s="25"/>
      <c r="D116" s="25"/>
      <c r="E116" s="25"/>
      <c r="F116" s="25"/>
      <c r="G116" s="25"/>
      <c r="H116" s="25"/>
      <c r="I116" s="25"/>
      <c r="J116" s="25"/>
      <c r="K116" s="25"/>
      <c r="L116" s="25"/>
      <c r="M116" s="25"/>
      <c r="N116" s="34">
        <v>-462</v>
      </c>
      <c r="O116" s="34"/>
      <c r="P116" s="53"/>
      <c r="Q116" s="25"/>
      <c r="R116" s="5"/>
    </row>
    <row r="117" spans="1:18" ht="15.6" x14ac:dyDescent="0.3">
      <c r="A117" s="24"/>
      <c r="B117" s="25" t="s">
        <v>46</v>
      </c>
      <c r="C117" s="25"/>
      <c r="D117" s="25"/>
      <c r="E117" s="25"/>
      <c r="F117" s="25"/>
      <c r="G117" s="25"/>
      <c r="H117" s="25"/>
      <c r="I117" s="25"/>
      <c r="J117" s="25"/>
      <c r="K117" s="25"/>
      <c r="L117" s="25"/>
      <c r="M117" s="25"/>
      <c r="N117" s="34">
        <f>-M164</f>
        <v>-7011</v>
      </c>
      <c r="O117" s="34"/>
      <c r="P117" s="53"/>
      <c r="Q117" s="25"/>
      <c r="R117" s="5"/>
    </row>
    <row r="118" spans="1:18" ht="15.6" x14ac:dyDescent="0.3">
      <c r="A118" s="24"/>
      <c r="B118" s="25" t="s">
        <v>199</v>
      </c>
      <c r="C118" s="25"/>
      <c r="D118" s="25"/>
      <c r="E118" s="25"/>
      <c r="F118" s="25"/>
      <c r="G118" s="25"/>
      <c r="H118" s="25"/>
      <c r="I118" s="25"/>
      <c r="J118" s="25"/>
      <c r="K118" s="25"/>
      <c r="L118" s="25"/>
      <c r="M118" s="25"/>
      <c r="N118" s="34">
        <v>-7223</v>
      </c>
      <c r="O118" s="34"/>
      <c r="P118" s="53"/>
      <c r="Q118" s="25"/>
      <c r="R118" s="5"/>
    </row>
    <row r="119" spans="1:18" ht="15.6" x14ac:dyDescent="0.3">
      <c r="A119" s="24"/>
      <c r="B119" s="25" t="s">
        <v>200</v>
      </c>
      <c r="C119" s="25"/>
      <c r="D119" s="25"/>
      <c r="E119" s="25"/>
      <c r="F119" s="25"/>
      <c r="G119" s="25"/>
      <c r="H119" s="25"/>
      <c r="I119" s="25"/>
      <c r="J119" s="25"/>
      <c r="K119" s="25"/>
      <c r="L119" s="25"/>
      <c r="M119" s="25"/>
      <c r="N119" s="34">
        <v>-6284</v>
      </c>
      <c r="O119" s="34"/>
      <c r="P119" s="53"/>
      <c r="Q119" s="25"/>
      <c r="R119" s="5"/>
    </row>
    <row r="120" spans="1:18" ht="15.6" x14ac:dyDescent="0.3">
      <c r="A120" s="24"/>
      <c r="B120" s="25" t="s">
        <v>201</v>
      </c>
      <c r="C120" s="25"/>
      <c r="D120" s="25"/>
      <c r="E120" s="25"/>
      <c r="F120" s="25"/>
      <c r="G120" s="25"/>
      <c r="H120" s="25"/>
      <c r="I120" s="25"/>
      <c r="J120" s="25"/>
      <c r="K120" s="25"/>
      <c r="L120" s="25"/>
      <c r="M120" s="25"/>
      <c r="N120" s="34">
        <v>-9637</v>
      </c>
      <c r="O120" s="34"/>
      <c r="P120" s="53"/>
      <c r="Q120" s="25"/>
      <c r="R120" s="5"/>
    </row>
    <row r="121" spans="1:18" ht="15.6" x14ac:dyDescent="0.3">
      <c r="A121" s="24"/>
      <c r="B121" s="25" t="s">
        <v>159</v>
      </c>
      <c r="C121" s="25"/>
      <c r="D121" s="25"/>
      <c r="E121" s="25"/>
      <c r="F121" s="25"/>
      <c r="G121" s="25"/>
      <c r="H121" s="25"/>
      <c r="I121" s="25"/>
      <c r="J121" s="25"/>
      <c r="K121" s="25"/>
      <c r="L121" s="25"/>
      <c r="M121" s="25"/>
      <c r="N121" s="34">
        <v>0</v>
      </c>
      <c r="O121" s="34"/>
      <c r="P121" s="53"/>
      <c r="Q121" s="25"/>
      <c r="R121" s="5"/>
    </row>
    <row r="122" spans="1:18" ht="15.6" x14ac:dyDescent="0.3">
      <c r="A122" s="24"/>
      <c r="B122" s="25" t="s">
        <v>214</v>
      </c>
      <c r="C122" s="25"/>
      <c r="D122" s="25"/>
      <c r="E122" s="25"/>
      <c r="F122" s="25"/>
      <c r="G122" s="25"/>
      <c r="H122" s="25"/>
      <c r="I122" s="25"/>
      <c r="J122" s="25"/>
      <c r="K122" s="25"/>
      <c r="L122" s="25"/>
      <c r="M122" s="25"/>
      <c r="N122" s="34">
        <v>0</v>
      </c>
      <c r="O122" s="34"/>
      <c r="P122" s="53"/>
      <c r="Q122" s="25"/>
      <c r="R122" s="5"/>
    </row>
    <row r="123" spans="1:18" ht="15.6" x14ac:dyDescent="0.3">
      <c r="A123" s="24"/>
      <c r="B123" s="25" t="s">
        <v>47</v>
      </c>
      <c r="C123" s="25"/>
      <c r="D123" s="25"/>
      <c r="E123" s="25"/>
      <c r="F123" s="25"/>
      <c r="G123" s="25"/>
      <c r="H123" s="25"/>
      <c r="I123" s="25"/>
      <c r="J123" s="25"/>
      <c r="K123" s="25"/>
      <c r="L123" s="25"/>
      <c r="M123" s="25"/>
      <c r="N123" s="34">
        <f>SUM(N116:N122)</f>
        <v>-30617</v>
      </c>
      <c r="O123" s="34"/>
      <c r="P123" s="34">
        <f>SUM(P98:P122)</f>
        <v>-13914</v>
      </c>
      <c r="Q123" s="25"/>
      <c r="R123" s="5"/>
    </row>
    <row r="124" spans="1:18" ht="15.6" x14ac:dyDescent="0.3">
      <c r="A124" s="24"/>
      <c r="B124" s="25" t="s">
        <v>48</v>
      </c>
      <c r="C124" s="25"/>
      <c r="D124" s="25"/>
      <c r="E124" s="25"/>
      <c r="F124" s="25"/>
      <c r="G124" s="25"/>
      <c r="H124" s="25"/>
      <c r="I124" s="25"/>
      <c r="J124" s="25"/>
      <c r="K124" s="25"/>
      <c r="L124" s="25"/>
      <c r="M124" s="25"/>
      <c r="N124" s="34">
        <f>N97+N123</f>
        <v>0</v>
      </c>
      <c r="O124" s="34"/>
      <c r="P124" s="34">
        <f>P97+P123</f>
        <v>0</v>
      </c>
      <c r="Q124" s="25"/>
      <c r="R124" s="5"/>
    </row>
    <row r="125" spans="1:18" ht="15.6" x14ac:dyDescent="0.3">
      <c r="A125" s="24"/>
      <c r="B125" s="25"/>
      <c r="C125" s="25"/>
      <c r="D125" s="25"/>
      <c r="E125" s="25"/>
      <c r="F125" s="25"/>
      <c r="G125" s="25"/>
      <c r="H125" s="25"/>
      <c r="I125" s="25"/>
      <c r="J125" s="25"/>
      <c r="K125" s="25"/>
      <c r="L125" s="25"/>
      <c r="M125" s="25"/>
      <c r="N125" s="34"/>
      <c r="O125" s="34"/>
      <c r="P125" s="34"/>
      <c r="Q125" s="25"/>
      <c r="R125" s="5"/>
    </row>
    <row r="126" spans="1:18" ht="15.6" x14ac:dyDescent="0.3">
      <c r="A126" s="6"/>
      <c r="B126" s="146"/>
      <c r="C126" s="146"/>
      <c r="D126" s="146"/>
      <c r="E126" s="146"/>
      <c r="F126" s="146"/>
      <c r="G126" s="146"/>
      <c r="H126" s="146"/>
      <c r="I126" s="146"/>
      <c r="J126" s="146"/>
      <c r="K126" s="146"/>
      <c r="L126" s="146"/>
      <c r="M126" s="146"/>
      <c r="N126" s="147"/>
      <c r="O126" s="147"/>
      <c r="P126" s="147"/>
      <c r="Q126" s="146"/>
      <c r="R126" s="5"/>
    </row>
    <row r="127" spans="1:18" ht="18" thickBot="1" x14ac:dyDescent="0.35">
      <c r="A127" s="101"/>
      <c r="B127" s="102" t="str">
        <f>B64</f>
        <v>PM7 INVESTOR REPORT QUARTER ENDING APRIL 2005</v>
      </c>
      <c r="C127" s="103"/>
      <c r="D127" s="103"/>
      <c r="E127" s="103"/>
      <c r="F127" s="103"/>
      <c r="G127" s="103"/>
      <c r="H127" s="103"/>
      <c r="I127" s="103"/>
      <c r="J127" s="103"/>
      <c r="K127" s="103"/>
      <c r="L127" s="103"/>
      <c r="M127" s="103"/>
      <c r="N127" s="103"/>
      <c r="O127" s="103"/>
      <c r="P127" s="106"/>
      <c r="Q127" s="105"/>
      <c r="R127" s="5"/>
    </row>
    <row r="128" spans="1:18" ht="15.6" x14ac:dyDescent="0.3">
      <c r="A128" s="2"/>
      <c r="B128" s="60" t="s">
        <v>49</v>
      </c>
      <c r="C128" s="4"/>
      <c r="D128" s="4"/>
      <c r="E128" s="4"/>
      <c r="F128" s="4"/>
      <c r="G128" s="4"/>
      <c r="H128" s="4"/>
      <c r="I128" s="4"/>
      <c r="J128" s="4"/>
      <c r="K128" s="4"/>
      <c r="L128" s="4"/>
      <c r="M128" s="4"/>
      <c r="N128" s="4"/>
      <c r="O128" s="4"/>
      <c r="P128" s="50"/>
      <c r="Q128" s="4"/>
      <c r="R128" s="5"/>
    </row>
    <row r="129" spans="1:19" ht="15.6" x14ac:dyDescent="0.3">
      <c r="A129" s="6"/>
      <c r="B129" s="21"/>
      <c r="C129" s="8"/>
      <c r="D129" s="8"/>
      <c r="E129" s="8"/>
      <c r="F129" s="8"/>
      <c r="G129" s="8"/>
      <c r="H129" s="8"/>
      <c r="I129" s="8"/>
      <c r="J129" s="8"/>
      <c r="K129" s="8"/>
      <c r="L129" s="8"/>
      <c r="M129" s="8"/>
      <c r="N129" s="8"/>
      <c r="O129" s="8"/>
      <c r="P129" s="52"/>
      <c r="Q129" s="8"/>
      <c r="R129" s="5"/>
    </row>
    <row r="130" spans="1:19" ht="15.6" x14ac:dyDescent="0.3">
      <c r="A130" s="6"/>
      <c r="B130" s="119" t="s">
        <v>50</v>
      </c>
      <c r="C130" s="8"/>
      <c r="D130" s="8"/>
      <c r="E130" s="8"/>
      <c r="F130" s="8"/>
      <c r="G130" s="8"/>
      <c r="H130" s="8"/>
      <c r="I130" s="8"/>
      <c r="J130" s="8"/>
      <c r="K130" s="8"/>
      <c r="L130" s="8"/>
      <c r="M130" s="8"/>
      <c r="N130" s="8"/>
      <c r="O130" s="8"/>
      <c r="P130" s="52"/>
      <c r="Q130" s="8"/>
      <c r="R130" s="5"/>
    </row>
    <row r="131" spans="1:19" ht="15.6" x14ac:dyDescent="0.3">
      <c r="A131" s="24"/>
      <c r="B131" s="25" t="s">
        <v>51</v>
      </c>
      <c r="C131" s="25"/>
      <c r="D131" s="25"/>
      <c r="E131" s="25"/>
      <c r="F131" s="25"/>
      <c r="G131" s="25"/>
      <c r="H131" s="25"/>
      <c r="I131" s="25"/>
      <c r="J131" s="25"/>
      <c r="K131" s="25"/>
      <c r="L131" s="25"/>
      <c r="M131" s="25"/>
      <c r="N131" s="25"/>
      <c r="O131" s="25"/>
      <c r="P131" s="53">
        <f>+P35*0.022</f>
        <v>19815.399999999998</v>
      </c>
      <c r="Q131" s="25"/>
      <c r="R131" s="5"/>
    </row>
    <row r="132" spans="1:19" ht="15.6" x14ac:dyDescent="0.3">
      <c r="A132" s="24"/>
      <c r="B132" s="25" t="s">
        <v>52</v>
      </c>
      <c r="C132" s="25"/>
      <c r="D132" s="25"/>
      <c r="E132" s="25"/>
      <c r="F132" s="25"/>
      <c r="G132" s="25"/>
      <c r="H132" s="25"/>
      <c r="I132" s="25"/>
      <c r="J132" s="25"/>
      <c r="K132" s="25"/>
      <c r="L132" s="25"/>
      <c r="M132" s="25"/>
      <c r="N132" s="25"/>
      <c r="O132" s="25"/>
      <c r="P132" s="53">
        <v>19815</v>
      </c>
      <c r="Q132" s="25"/>
      <c r="R132" s="5"/>
    </row>
    <row r="133" spans="1:19" ht="15.6" x14ac:dyDescent="0.3">
      <c r="A133" s="24"/>
      <c r="B133" s="25" t="s">
        <v>161</v>
      </c>
      <c r="C133" s="25"/>
      <c r="D133" s="25"/>
      <c r="E133" s="25"/>
      <c r="F133" s="25"/>
      <c r="G133" s="25"/>
      <c r="H133" s="25"/>
      <c r="I133" s="25"/>
      <c r="J133" s="25"/>
      <c r="K133" s="25"/>
      <c r="L133" s="25"/>
      <c r="M133" s="25"/>
      <c r="N133" s="25"/>
      <c r="O133" s="25"/>
      <c r="P133" s="53">
        <v>0</v>
      </c>
      <c r="Q133" s="25"/>
      <c r="R133" s="5"/>
    </row>
    <row r="134" spans="1:19" ht="15.6" x14ac:dyDescent="0.3">
      <c r="A134" s="24"/>
      <c r="B134" s="25" t="s">
        <v>144</v>
      </c>
      <c r="C134" s="25"/>
      <c r="D134" s="25"/>
      <c r="E134" s="25"/>
      <c r="F134" s="25"/>
      <c r="G134" s="25"/>
      <c r="H134" s="25"/>
      <c r="I134" s="25"/>
      <c r="J134" s="25"/>
      <c r="K134" s="25"/>
      <c r="L134" s="25"/>
      <c r="M134" s="25"/>
      <c r="N134" s="25"/>
      <c r="O134" s="25"/>
      <c r="P134" s="53">
        <v>0</v>
      </c>
      <c r="Q134" s="25"/>
      <c r="R134" s="5"/>
    </row>
    <row r="135" spans="1:19" ht="15.6" x14ac:dyDescent="0.3">
      <c r="A135" s="24"/>
      <c r="B135" s="25" t="s">
        <v>145</v>
      </c>
      <c r="C135" s="25"/>
      <c r="D135" s="25"/>
      <c r="E135" s="25"/>
      <c r="F135" s="25"/>
      <c r="G135" s="25"/>
      <c r="H135" s="25"/>
      <c r="I135" s="25"/>
      <c r="J135" s="25"/>
      <c r="K135" s="25"/>
      <c r="L135" s="25"/>
      <c r="M135" s="25"/>
      <c r="N135" s="25"/>
      <c r="O135" s="25"/>
      <c r="P135" s="53">
        <v>0</v>
      </c>
      <c r="Q135" s="25"/>
      <c r="R135" s="5"/>
    </row>
    <row r="136" spans="1:19" ht="15.6" x14ac:dyDescent="0.3">
      <c r="A136" s="24"/>
      <c r="B136" s="25" t="s">
        <v>53</v>
      </c>
      <c r="C136" s="25"/>
      <c r="D136" s="25"/>
      <c r="E136" s="25"/>
      <c r="F136" s="25"/>
      <c r="G136" s="25"/>
      <c r="H136" s="25"/>
      <c r="I136" s="25"/>
      <c r="J136" s="25"/>
      <c r="K136" s="25"/>
      <c r="L136" s="25"/>
      <c r="M136" s="25"/>
      <c r="N136" s="25"/>
      <c r="O136" s="25"/>
      <c r="P136" s="53">
        <v>0</v>
      </c>
      <c r="Q136" s="25"/>
      <c r="R136" s="5"/>
    </row>
    <row r="137" spans="1:19" ht="15.6" x14ac:dyDescent="0.3">
      <c r="A137" s="24"/>
      <c r="B137" s="25" t="s">
        <v>153</v>
      </c>
      <c r="C137" s="25"/>
      <c r="D137" s="25"/>
      <c r="E137" s="25"/>
      <c r="F137" s="25"/>
      <c r="G137" s="25"/>
      <c r="H137" s="25"/>
      <c r="I137" s="25"/>
      <c r="J137" s="25"/>
      <c r="K137" s="25"/>
      <c r="L137" s="25"/>
      <c r="M137" s="25"/>
      <c r="N137" s="25"/>
      <c r="O137" s="25"/>
      <c r="P137" s="53">
        <v>0</v>
      </c>
      <c r="Q137" s="25"/>
      <c r="R137" s="5"/>
    </row>
    <row r="138" spans="1:19" ht="15.6" x14ac:dyDescent="0.3">
      <c r="A138" s="24"/>
      <c r="B138" s="25" t="s">
        <v>202</v>
      </c>
      <c r="C138" s="25"/>
      <c r="D138" s="25"/>
      <c r="E138" s="25"/>
      <c r="F138" s="25"/>
      <c r="G138" s="25"/>
      <c r="H138" s="25"/>
      <c r="I138" s="25"/>
      <c r="J138" s="25"/>
      <c r="K138" s="25"/>
      <c r="L138" s="25"/>
      <c r="M138" s="25"/>
      <c r="N138" s="25"/>
      <c r="O138" s="25"/>
      <c r="P138" s="53">
        <v>0</v>
      </c>
      <c r="Q138" s="25"/>
      <c r="R138" s="5"/>
      <c r="S138" s="109"/>
    </row>
    <row r="139" spans="1:19" ht="15.6" x14ac:dyDescent="0.3">
      <c r="A139" s="24"/>
      <c r="B139" s="25" t="s">
        <v>54</v>
      </c>
      <c r="C139" s="25"/>
      <c r="D139" s="25"/>
      <c r="E139" s="25"/>
      <c r="F139" s="25"/>
      <c r="G139" s="25"/>
      <c r="H139" s="25"/>
      <c r="I139" s="25"/>
      <c r="J139" s="25"/>
      <c r="K139" s="25"/>
      <c r="L139" s="25"/>
      <c r="M139" s="25"/>
      <c r="N139" s="25"/>
      <c r="O139" s="25"/>
      <c r="P139" s="53">
        <f>SUM(P132:P138)</f>
        <v>19815</v>
      </c>
      <c r="Q139" s="25"/>
      <c r="R139" s="5"/>
    </row>
    <row r="140" spans="1:19" ht="15.6" x14ac:dyDescent="0.3">
      <c r="A140" s="24"/>
      <c r="B140" s="25"/>
      <c r="C140" s="25"/>
      <c r="D140" s="25"/>
      <c r="E140" s="25"/>
      <c r="F140" s="25"/>
      <c r="G140" s="25"/>
      <c r="H140" s="25"/>
      <c r="I140" s="25"/>
      <c r="J140" s="25"/>
      <c r="K140" s="25"/>
      <c r="L140" s="25"/>
      <c r="M140" s="25"/>
      <c r="N140" s="25"/>
      <c r="O140" s="25"/>
      <c r="P140" s="61"/>
      <c r="Q140" s="25"/>
      <c r="R140" s="5"/>
    </row>
    <row r="141" spans="1:19" ht="15.6" x14ac:dyDescent="0.3">
      <c r="A141" s="6"/>
      <c r="B141" s="119" t="s">
        <v>28</v>
      </c>
      <c r="C141" s="8"/>
      <c r="D141" s="8"/>
      <c r="E141" s="8"/>
      <c r="F141" s="8"/>
      <c r="G141" s="8"/>
      <c r="H141" s="8"/>
      <c r="I141" s="8"/>
      <c r="J141" s="8"/>
      <c r="K141" s="8"/>
      <c r="L141" s="8"/>
      <c r="M141" s="8"/>
      <c r="N141" s="8"/>
      <c r="O141" s="8"/>
      <c r="P141" s="52"/>
      <c r="Q141" s="8"/>
      <c r="R141" s="5"/>
    </row>
    <row r="142" spans="1:19" ht="15.6" x14ac:dyDescent="0.3">
      <c r="A142" s="24"/>
      <c r="B142" s="25" t="s">
        <v>55</v>
      </c>
      <c r="C142" s="25"/>
      <c r="D142" s="25"/>
      <c r="E142" s="25"/>
      <c r="F142" s="25"/>
      <c r="G142" s="25"/>
      <c r="H142" s="25"/>
      <c r="I142" s="25"/>
      <c r="J142" s="25"/>
      <c r="K142" s="25"/>
      <c r="L142" s="25"/>
      <c r="M142" s="25"/>
      <c r="N142" s="25"/>
      <c r="O142" s="25"/>
      <c r="P142" s="59" t="s">
        <v>137</v>
      </c>
      <c r="Q142" s="25"/>
      <c r="R142" s="5"/>
    </row>
    <row r="143" spans="1:19" ht="15.6" x14ac:dyDescent="0.3">
      <c r="A143" s="24"/>
      <c r="B143" s="25" t="s">
        <v>56</v>
      </c>
      <c r="C143" s="141"/>
      <c r="D143" s="141"/>
      <c r="E143" s="141"/>
      <c r="F143" s="141"/>
      <c r="G143" s="141"/>
      <c r="H143" s="141"/>
      <c r="I143" s="141"/>
      <c r="J143" s="141"/>
      <c r="K143" s="141"/>
      <c r="L143" s="141"/>
      <c r="M143" s="141"/>
      <c r="N143" s="141"/>
      <c r="O143" s="141"/>
      <c r="P143" s="59" t="s">
        <v>137</v>
      </c>
      <c r="Q143" s="25"/>
      <c r="R143" s="5"/>
    </row>
    <row r="144" spans="1:19" ht="15.6" x14ac:dyDescent="0.3">
      <c r="A144" s="24"/>
      <c r="B144" s="25" t="s">
        <v>57</v>
      </c>
      <c r="C144" s="25"/>
      <c r="D144" s="25"/>
      <c r="E144" s="25"/>
      <c r="F144" s="25"/>
      <c r="G144" s="25"/>
      <c r="H144" s="25"/>
      <c r="I144" s="25"/>
      <c r="J144" s="25"/>
      <c r="K144" s="25"/>
      <c r="L144" s="25"/>
      <c r="M144" s="25"/>
      <c r="N144" s="25"/>
      <c r="O144" s="25"/>
      <c r="P144" s="59" t="s">
        <v>137</v>
      </c>
      <c r="Q144" s="25"/>
      <c r="R144" s="5"/>
    </row>
    <row r="145" spans="1:18" ht="15.6" x14ac:dyDescent="0.3">
      <c r="A145" s="24"/>
      <c r="B145" s="25" t="s">
        <v>58</v>
      </c>
      <c r="C145" s="25"/>
      <c r="D145" s="25"/>
      <c r="E145" s="25"/>
      <c r="F145" s="25"/>
      <c r="G145" s="25"/>
      <c r="H145" s="25"/>
      <c r="I145" s="25"/>
      <c r="J145" s="25"/>
      <c r="K145" s="25"/>
      <c r="L145" s="25"/>
      <c r="M145" s="25"/>
      <c r="N145" s="25"/>
      <c r="O145" s="25"/>
      <c r="P145" s="59" t="s">
        <v>137</v>
      </c>
      <c r="Q145" s="25"/>
      <c r="R145" s="5"/>
    </row>
    <row r="146" spans="1:18" ht="15.6" x14ac:dyDescent="0.3">
      <c r="A146" s="24"/>
      <c r="B146" s="25"/>
      <c r="C146" s="25"/>
      <c r="D146" s="25"/>
      <c r="E146" s="25"/>
      <c r="F146" s="25"/>
      <c r="G146" s="25"/>
      <c r="H146" s="25"/>
      <c r="I146" s="25"/>
      <c r="J146" s="25"/>
      <c r="K146" s="25"/>
      <c r="L146" s="25"/>
      <c r="M146" s="25"/>
      <c r="N146" s="25"/>
      <c r="O146" s="25"/>
      <c r="P146" s="61"/>
      <c r="Q146" s="25"/>
      <c r="R146" s="5"/>
    </row>
    <row r="147" spans="1:18" ht="15.6" x14ac:dyDescent="0.3">
      <c r="A147" s="6"/>
      <c r="B147" s="119" t="s">
        <v>59</v>
      </c>
      <c r="C147" s="8"/>
      <c r="D147" s="8"/>
      <c r="E147" s="8"/>
      <c r="F147" s="8"/>
      <c r="G147" s="8"/>
      <c r="H147" s="8"/>
      <c r="I147" s="8"/>
      <c r="J147" s="8"/>
      <c r="K147" s="8"/>
      <c r="L147" s="8"/>
      <c r="M147" s="8"/>
      <c r="N147" s="8"/>
      <c r="O147" s="8"/>
      <c r="P147" s="63"/>
      <c r="Q147" s="8"/>
      <c r="R147" s="5"/>
    </row>
    <row r="148" spans="1:18" ht="15.6" x14ac:dyDescent="0.3">
      <c r="A148" s="24"/>
      <c r="B148" s="25" t="s">
        <v>60</v>
      </c>
      <c r="C148" s="25"/>
      <c r="D148" s="25"/>
      <c r="E148" s="25"/>
      <c r="F148" s="25"/>
      <c r="G148" s="25"/>
      <c r="H148" s="25"/>
      <c r="I148" s="25"/>
      <c r="J148" s="25"/>
      <c r="K148" s="25"/>
      <c r="L148" s="25"/>
      <c r="M148" s="25"/>
      <c r="N148" s="25"/>
      <c r="O148" s="25"/>
      <c r="P148" s="53">
        <v>0</v>
      </c>
      <c r="Q148" s="25"/>
      <c r="R148" s="5"/>
    </row>
    <row r="149" spans="1:18" ht="15.6" x14ac:dyDescent="0.3">
      <c r="A149" s="24"/>
      <c r="B149" s="25" t="s">
        <v>61</v>
      </c>
      <c r="C149" s="25"/>
      <c r="D149" s="25"/>
      <c r="E149" s="25"/>
      <c r="F149" s="25"/>
      <c r="G149" s="25"/>
      <c r="H149" s="25"/>
      <c r="I149" s="25"/>
      <c r="J149" s="25"/>
      <c r="K149" s="25"/>
      <c r="L149" s="25"/>
      <c r="M149" s="25"/>
      <c r="N149" s="25"/>
      <c r="O149" s="25"/>
      <c r="P149" s="53">
        <v>0</v>
      </c>
      <c r="Q149" s="25"/>
      <c r="R149" s="5"/>
    </row>
    <row r="150" spans="1:18" ht="15.6" x14ac:dyDescent="0.3">
      <c r="A150" s="24"/>
      <c r="B150" s="25" t="s">
        <v>62</v>
      </c>
      <c r="C150" s="25"/>
      <c r="D150" s="25"/>
      <c r="E150" s="25"/>
      <c r="F150" s="25"/>
      <c r="G150" s="25"/>
      <c r="H150" s="25"/>
      <c r="I150" s="25"/>
      <c r="J150" s="25"/>
      <c r="K150" s="25"/>
      <c r="L150" s="25"/>
      <c r="M150" s="25"/>
      <c r="N150" s="25"/>
      <c r="O150" s="25"/>
      <c r="P150" s="53">
        <f>P149+P148</f>
        <v>0</v>
      </c>
      <c r="Q150" s="25"/>
      <c r="R150" s="5"/>
    </row>
    <row r="151" spans="1:18" ht="15.6" x14ac:dyDescent="0.3">
      <c r="A151" s="24"/>
      <c r="B151" s="403" t="s">
        <v>297</v>
      </c>
      <c r="C151" s="25"/>
      <c r="D151" s="25"/>
      <c r="E151" s="25"/>
      <c r="F151" s="25"/>
      <c r="G151" s="25"/>
      <c r="H151" s="25"/>
      <c r="I151" s="25"/>
      <c r="J151" s="25"/>
      <c r="K151" s="25"/>
      <c r="L151" s="25"/>
      <c r="M151" s="25"/>
      <c r="N151" s="25"/>
      <c r="O151" s="25"/>
      <c r="P151" s="53">
        <f>P110</f>
        <v>0</v>
      </c>
      <c r="Q151" s="25"/>
      <c r="R151" s="5"/>
    </row>
    <row r="152" spans="1:18" ht="15.6" x14ac:dyDescent="0.3">
      <c r="A152" s="24"/>
      <c r="B152" s="25" t="s">
        <v>63</v>
      </c>
      <c r="C152" s="25"/>
      <c r="D152" s="25"/>
      <c r="E152" s="25"/>
      <c r="F152" s="25"/>
      <c r="G152" s="25"/>
      <c r="H152" s="25"/>
      <c r="I152" s="25"/>
      <c r="J152" s="25"/>
      <c r="K152" s="25"/>
      <c r="L152" s="25"/>
      <c r="M152" s="25"/>
      <c r="N152" s="25"/>
      <c r="O152" s="25"/>
      <c r="P152" s="53">
        <f>P150+P151</f>
        <v>0</v>
      </c>
      <c r="Q152" s="25"/>
      <c r="R152" s="5"/>
    </row>
    <row r="153" spans="1:18" ht="16.2" thickBot="1" x14ac:dyDescent="0.35">
      <c r="A153" s="24"/>
      <c r="B153" s="25"/>
      <c r="C153" s="25"/>
      <c r="D153" s="25"/>
      <c r="E153" s="25"/>
      <c r="F153" s="25"/>
      <c r="G153" s="25"/>
      <c r="H153" s="25"/>
      <c r="I153" s="25"/>
      <c r="J153" s="25"/>
      <c r="K153" s="25"/>
      <c r="L153" s="25"/>
      <c r="M153" s="25"/>
      <c r="N153" s="25"/>
      <c r="O153" s="25"/>
      <c r="P153" s="61"/>
      <c r="Q153" s="25"/>
      <c r="R153" s="5"/>
    </row>
    <row r="154" spans="1:18" ht="15.6" x14ac:dyDescent="0.3">
      <c r="A154" s="2"/>
      <c r="B154" s="4"/>
      <c r="C154" s="4"/>
      <c r="D154" s="4"/>
      <c r="E154" s="4"/>
      <c r="F154" s="4"/>
      <c r="G154" s="4"/>
      <c r="H154" s="4"/>
      <c r="I154" s="4"/>
      <c r="J154" s="4"/>
      <c r="K154" s="4"/>
      <c r="L154" s="4"/>
      <c r="M154" s="4"/>
      <c r="N154" s="4"/>
      <c r="O154" s="4"/>
      <c r="P154" s="50"/>
      <c r="Q154" s="4"/>
      <c r="R154" s="5"/>
    </row>
    <row r="155" spans="1:18" ht="15.6" x14ac:dyDescent="0.3">
      <c r="A155" s="6"/>
      <c r="B155" s="119" t="s">
        <v>64</v>
      </c>
      <c r="C155" s="8"/>
      <c r="D155" s="8"/>
      <c r="E155" s="8"/>
      <c r="F155" s="8"/>
      <c r="G155" s="8"/>
      <c r="H155" s="8"/>
      <c r="I155" s="8"/>
      <c r="J155" s="8"/>
      <c r="K155" s="8"/>
      <c r="L155" s="8"/>
      <c r="M155" s="8"/>
      <c r="N155" s="8"/>
      <c r="O155" s="8"/>
      <c r="P155" s="52"/>
      <c r="Q155" s="8"/>
      <c r="R155" s="5"/>
    </row>
    <row r="156" spans="1:18" ht="15.6" x14ac:dyDescent="0.3">
      <c r="A156" s="6"/>
      <c r="B156" s="21"/>
      <c r="C156" s="8"/>
      <c r="D156" s="8"/>
      <c r="E156" s="8"/>
      <c r="F156" s="8"/>
      <c r="G156" s="8"/>
      <c r="H156" s="8"/>
      <c r="I156" s="8"/>
      <c r="J156" s="8"/>
      <c r="K156" s="8"/>
      <c r="L156" s="8"/>
      <c r="M156" s="8"/>
      <c r="N156" s="8"/>
      <c r="O156" s="8"/>
      <c r="P156" s="52"/>
      <c r="Q156" s="8"/>
      <c r="R156" s="5"/>
    </row>
    <row r="157" spans="1:18" ht="15.6" x14ac:dyDescent="0.3">
      <c r="A157" s="24"/>
      <c r="B157" s="25" t="s">
        <v>221</v>
      </c>
      <c r="C157" s="25"/>
      <c r="D157" s="25"/>
      <c r="E157" s="25"/>
      <c r="F157" s="25"/>
      <c r="G157" s="25"/>
      <c r="H157" s="25"/>
      <c r="I157" s="25"/>
      <c r="J157" s="25"/>
      <c r="K157" s="25"/>
      <c r="L157" s="25"/>
      <c r="M157" s="25"/>
      <c r="N157" s="25"/>
      <c r="O157" s="25"/>
      <c r="P157" s="53">
        <f>P72</f>
        <v>819694</v>
      </c>
      <c r="Q157" s="25"/>
      <c r="R157" s="5"/>
    </row>
    <row r="158" spans="1:18" ht="15.6" x14ac:dyDescent="0.3">
      <c r="A158" s="24"/>
      <c r="B158" s="25" t="s">
        <v>65</v>
      </c>
      <c r="C158" s="25"/>
      <c r="D158" s="25"/>
      <c r="E158" s="25"/>
      <c r="F158" s="25"/>
      <c r="G158" s="25"/>
      <c r="H158" s="25"/>
      <c r="I158" s="25"/>
      <c r="J158" s="25"/>
      <c r="K158" s="25"/>
      <c r="L158" s="25"/>
      <c r="M158" s="25"/>
      <c r="N158" s="25"/>
      <c r="O158" s="25"/>
      <c r="P158" s="53">
        <f>P85</f>
        <v>819694</v>
      </c>
      <c r="Q158" s="25"/>
      <c r="R158" s="5"/>
    </row>
    <row r="159" spans="1:18" ht="16.2" thickBot="1" x14ac:dyDescent="0.35">
      <c r="A159" s="24"/>
      <c r="B159" s="25"/>
      <c r="C159" s="25"/>
      <c r="D159" s="25"/>
      <c r="E159" s="25"/>
      <c r="F159" s="25"/>
      <c r="G159" s="25"/>
      <c r="H159" s="25"/>
      <c r="I159" s="25"/>
      <c r="J159" s="25"/>
      <c r="K159" s="25"/>
      <c r="L159" s="25"/>
      <c r="M159" s="25"/>
      <c r="N159" s="25"/>
      <c r="O159" s="25"/>
      <c r="P159" s="61"/>
      <c r="Q159" s="25"/>
      <c r="R159" s="5"/>
    </row>
    <row r="160" spans="1:18" ht="15.6" x14ac:dyDescent="0.3">
      <c r="A160" s="2"/>
      <c r="B160" s="4"/>
      <c r="C160" s="4"/>
      <c r="D160" s="4"/>
      <c r="E160" s="4"/>
      <c r="F160" s="4"/>
      <c r="G160" s="4"/>
      <c r="H160" s="4"/>
      <c r="I160" s="4"/>
      <c r="J160" s="4"/>
      <c r="K160" s="4"/>
      <c r="L160" s="4"/>
      <c r="M160" s="4"/>
      <c r="N160" s="4"/>
      <c r="O160" s="4"/>
      <c r="P160" s="50"/>
      <c r="Q160" s="4"/>
      <c r="R160" s="5"/>
    </row>
    <row r="161" spans="1:18" ht="15.6" x14ac:dyDescent="0.3">
      <c r="A161" s="6"/>
      <c r="B161" s="119" t="s">
        <v>66</v>
      </c>
      <c r="C161" s="117"/>
      <c r="D161" s="117"/>
      <c r="E161" s="117"/>
      <c r="F161" s="120"/>
      <c r="G161" s="120"/>
      <c r="H161" s="120"/>
      <c r="I161" s="120"/>
      <c r="J161" s="120"/>
      <c r="K161" s="120"/>
      <c r="L161" s="120"/>
      <c r="M161" s="120" t="s">
        <v>112</v>
      </c>
      <c r="N161" s="120" t="s">
        <v>120</v>
      </c>
      <c r="O161" s="111"/>
      <c r="P161" s="121" t="s">
        <v>129</v>
      </c>
      <c r="Q161" s="10"/>
      <c r="R161" s="5"/>
    </row>
    <row r="162" spans="1:18" ht="15.6" x14ac:dyDescent="0.3">
      <c r="A162" s="24"/>
      <c r="B162" s="25" t="s">
        <v>67</v>
      </c>
      <c r="C162" s="25"/>
      <c r="D162" s="25"/>
      <c r="E162" s="25"/>
      <c r="F162" s="25"/>
      <c r="G162" s="25"/>
      <c r="H162" s="25"/>
      <c r="I162" s="25"/>
      <c r="J162" s="25"/>
      <c r="K162" s="25"/>
      <c r="L162" s="25"/>
      <c r="M162" s="53">
        <v>144000</v>
      </c>
      <c r="N162" s="40">
        <v>0</v>
      </c>
      <c r="O162" s="25"/>
      <c r="P162" s="53"/>
      <c r="Q162" s="25"/>
      <c r="R162" s="5"/>
    </row>
    <row r="163" spans="1:18" ht="15.6" x14ac:dyDescent="0.3">
      <c r="A163" s="24"/>
      <c r="B163" s="25" t="s">
        <v>68</v>
      </c>
      <c r="C163" s="25"/>
      <c r="D163" s="25"/>
      <c r="E163" s="25"/>
      <c r="F163" s="25"/>
      <c r="G163" s="25"/>
      <c r="H163" s="25"/>
      <c r="I163" s="25"/>
      <c r="J163" s="25"/>
      <c r="K163" s="25"/>
      <c r="L163" s="25"/>
      <c r="M163" s="53">
        <f>+'Jan 05'!M164</f>
        <v>19198</v>
      </c>
      <c r="N163" s="53">
        <f>+'Jan 05'!N164</f>
        <v>6955</v>
      </c>
      <c r="O163" s="25"/>
      <c r="P163" s="53">
        <f>M163+N163</f>
        <v>26153</v>
      </c>
      <c r="Q163" s="25"/>
      <c r="R163" s="5"/>
    </row>
    <row r="164" spans="1:18" ht="15.6" x14ac:dyDescent="0.3">
      <c r="A164" s="24"/>
      <c r="B164" s="25" t="s">
        <v>69</v>
      </c>
      <c r="C164" s="25"/>
      <c r="D164" s="25"/>
      <c r="E164" s="25"/>
      <c r="F164" s="25"/>
      <c r="G164" s="25"/>
      <c r="H164" s="25"/>
      <c r="I164" s="25"/>
      <c r="J164" s="25"/>
      <c r="K164" s="25"/>
      <c r="L164" s="25"/>
      <c r="M164" s="34">
        <v>7011</v>
      </c>
      <c r="N164" s="34">
        <f>-N95-N116</f>
        <v>468</v>
      </c>
      <c r="O164" s="25"/>
      <c r="P164" s="53">
        <f>M164+N164</f>
        <v>7479</v>
      </c>
      <c r="Q164" s="25"/>
      <c r="R164" s="5"/>
    </row>
    <row r="165" spans="1:18" ht="15.6" x14ac:dyDescent="0.3">
      <c r="A165" s="24"/>
      <c r="B165" s="25" t="s">
        <v>70</v>
      </c>
      <c r="C165" s="25"/>
      <c r="D165" s="25"/>
      <c r="E165" s="25"/>
      <c r="F165" s="25"/>
      <c r="G165" s="25"/>
      <c r="H165" s="25"/>
      <c r="I165" s="25"/>
      <c r="J165" s="25"/>
      <c r="K165" s="25"/>
      <c r="L165" s="25"/>
      <c r="M165" s="53">
        <f>M163+M164</f>
        <v>26209</v>
      </c>
      <c r="N165" s="53">
        <f>N164+N163</f>
        <v>7423</v>
      </c>
      <c r="O165" s="25"/>
      <c r="P165" s="53">
        <f>M165+N165</f>
        <v>33632</v>
      </c>
      <c r="Q165" s="25"/>
      <c r="R165" s="5"/>
    </row>
    <row r="166" spans="1:18" ht="15.6" x14ac:dyDescent="0.3">
      <c r="A166" s="24"/>
      <c r="B166" s="25" t="s">
        <v>71</v>
      </c>
      <c r="C166" s="25"/>
      <c r="D166" s="25"/>
      <c r="E166" s="25"/>
      <c r="F166" s="25"/>
      <c r="G166" s="25"/>
      <c r="H166" s="25"/>
      <c r="I166" s="25"/>
      <c r="J166" s="25"/>
      <c r="K166" s="25"/>
      <c r="L166" s="25"/>
      <c r="M166" s="53">
        <f>M162-M165-N165</f>
        <v>110368</v>
      </c>
      <c r="N166" s="40"/>
      <c r="O166" s="25"/>
      <c r="P166" s="53"/>
      <c r="Q166" s="25"/>
      <c r="R166" s="5"/>
    </row>
    <row r="167" spans="1:18" ht="16.2" thickBot="1" x14ac:dyDescent="0.35">
      <c r="A167" s="24"/>
      <c r="B167" s="25"/>
      <c r="C167" s="25"/>
      <c r="D167" s="25"/>
      <c r="E167" s="25"/>
      <c r="F167" s="25"/>
      <c r="G167" s="25"/>
      <c r="H167" s="25"/>
      <c r="I167" s="25"/>
      <c r="J167" s="25"/>
      <c r="K167" s="25"/>
      <c r="L167" s="25"/>
      <c r="M167" s="25"/>
      <c r="N167" s="25"/>
      <c r="O167" s="25"/>
      <c r="P167" s="61"/>
      <c r="Q167" s="25"/>
      <c r="R167" s="5"/>
    </row>
    <row r="168" spans="1:18" ht="15.6" x14ac:dyDescent="0.3">
      <c r="A168" s="2"/>
      <c r="B168" s="4"/>
      <c r="C168" s="4"/>
      <c r="D168" s="4"/>
      <c r="E168" s="4"/>
      <c r="F168" s="4"/>
      <c r="G168" s="4"/>
      <c r="H168" s="4"/>
      <c r="I168" s="4"/>
      <c r="J168" s="4"/>
      <c r="K168" s="4"/>
      <c r="L168" s="4"/>
      <c r="M168" s="4"/>
      <c r="N168" s="4"/>
      <c r="O168" s="4"/>
      <c r="P168" s="50"/>
      <c r="Q168" s="4"/>
      <c r="R168" s="5"/>
    </row>
    <row r="169" spans="1:18" ht="15.6" x14ac:dyDescent="0.3">
      <c r="A169" s="6"/>
      <c r="B169" s="119" t="s">
        <v>72</v>
      </c>
      <c r="C169" s="8"/>
      <c r="D169" s="8"/>
      <c r="E169" s="8"/>
      <c r="F169" s="8"/>
      <c r="G169" s="8"/>
      <c r="H169" s="8"/>
      <c r="I169" s="8"/>
      <c r="J169" s="8"/>
      <c r="K169" s="8"/>
      <c r="L169" s="8"/>
      <c r="M169" s="8"/>
      <c r="N169" s="8"/>
      <c r="O169" s="8"/>
      <c r="P169" s="65"/>
      <c r="Q169" s="8"/>
      <c r="R169" s="5"/>
    </row>
    <row r="170" spans="1:18" ht="15.6" x14ac:dyDescent="0.3">
      <c r="A170" s="24"/>
      <c r="B170" s="25" t="s">
        <v>73</v>
      </c>
      <c r="C170" s="25"/>
      <c r="D170" s="25"/>
      <c r="E170" s="25"/>
      <c r="F170" s="25"/>
      <c r="G170" s="25"/>
      <c r="H170" s="25"/>
      <c r="I170" s="25"/>
      <c r="J170" s="25"/>
      <c r="K170" s="25"/>
      <c r="L170" s="25"/>
      <c r="M170" s="25"/>
      <c r="N170" s="25"/>
      <c r="O170" s="25"/>
      <c r="P170" s="66">
        <f>(P97+P99+P100+P101+P102)/-(P103+P104+P105)</f>
        <v>1.4157713570459998</v>
      </c>
      <c r="Q170" s="25" t="s">
        <v>130</v>
      </c>
      <c r="R170" s="5"/>
    </row>
    <row r="171" spans="1:18" ht="15.6" x14ac:dyDescent="0.3">
      <c r="A171" s="24"/>
      <c r="B171" s="25" t="s">
        <v>74</v>
      </c>
      <c r="C171" s="25"/>
      <c r="D171" s="25"/>
      <c r="E171" s="25"/>
      <c r="F171" s="25"/>
      <c r="G171" s="25"/>
      <c r="H171" s="25"/>
      <c r="I171" s="25"/>
      <c r="J171" s="25"/>
      <c r="K171" s="25"/>
      <c r="L171" s="25"/>
      <c r="M171" s="25"/>
      <c r="N171" s="25"/>
      <c r="O171" s="25"/>
      <c r="P171" s="66">
        <v>1.29</v>
      </c>
      <c r="Q171" s="25" t="s">
        <v>130</v>
      </c>
      <c r="R171" s="5"/>
    </row>
    <row r="172" spans="1:18" ht="15.6" x14ac:dyDescent="0.3">
      <c r="A172" s="24"/>
      <c r="B172" s="25" t="s">
        <v>75</v>
      </c>
      <c r="C172" s="25"/>
      <c r="D172" s="25"/>
      <c r="E172" s="25"/>
      <c r="F172" s="25"/>
      <c r="G172" s="25"/>
      <c r="H172" s="25"/>
      <c r="I172" s="25"/>
      <c r="J172" s="25"/>
      <c r="K172" s="25"/>
      <c r="L172" s="25"/>
      <c r="M172" s="25"/>
      <c r="N172" s="25"/>
      <c r="O172" s="25"/>
      <c r="P172" s="59">
        <f>(P97+P99+P100+P101+P102+P103+P104+P105)/-(P106+P107)</f>
        <v>3.0827532869296213</v>
      </c>
      <c r="Q172" s="25" t="s">
        <v>130</v>
      </c>
      <c r="R172" s="5"/>
    </row>
    <row r="173" spans="1:18" ht="15.6" x14ac:dyDescent="0.3">
      <c r="A173" s="24"/>
      <c r="B173" s="25" t="s">
        <v>76</v>
      </c>
      <c r="C173" s="25"/>
      <c r="D173" s="25"/>
      <c r="E173" s="25"/>
      <c r="F173" s="25"/>
      <c r="G173" s="25"/>
      <c r="H173" s="25"/>
      <c r="I173" s="25"/>
      <c r="J173" s="25"/>
      <c r="K173" s="25"/>
      <c r="L173" s="25"/>
      <c r="M173" s="25"/>
      <c r="N173" s="25"/>
      <c r="O173" s="25"/>
      <c r="P173" s="66">
        <v>2.2799999999999998</v>
      </c>
      <c r="Q173" s="25" t="s">
        <v>130</v>
      </c>
      <c r="R173" s="5"/>
    </row>
    <row r="174" spans="1:18" ht="15.6" x14ac:dyDescent="0.3">
      <c r="A174" s="24"/>
      <c r="B174" s="25"/>
      <c r="C174" s="25"/>
      <c r="D174" s="25"/>
      <c r="E174" s="25"/>
      <c r="F174" s="25"/>
      <c r="G174" s="25"/>
      <c r="H174" s="25"/>
      <c r="I174" s="25"/>
      <c r="J174" s="25"/>
      <c r="K174" s="25"/>
      <c r="L174" s="25"/>
      <c r="M174" s="25"/>
      <c r="N174" s="25"/>
      <c r="O174" s="25"/>
      <c r="P174" s="25"/>
      <c r="Q174" s="25"/>
      <c r="R174" s="5"/>
    </row>
    <row r="175" spans="1:18" ht="15.6" x14ac:dyDescent="0.3">
      <c r="A175" s="24"/>
      <c r="B175" s="25"/>
      <c r="C175" s="25"/>
      <c r="D175" s="25"/>
      <c r="E175" s="25"/>
      <c r="F175" s="25"/>
      <c r="G175" s="25"/>
      <c r="H175" s="25"/>
      <c r="I175" s="25"/>
      <c r="J175" s="25"/>
      <c r="K175" s="25"/>
      <c r="L175" s="25"/>
      <c r="M175" s="25"/>
      <c r="N175" s="25"/>
      <c r="O175" s="25"/>
      <c r="P175" s="25"/>
      <c r="Q175" s="25"/>
      <c r="R175" s="5"/>
    </row>
    <row r="176" spans="1:18" ht="15.6" x14ac:dyDescent="0.3">
      <c r="A176" s="6"/>
      <c r="B176" s="8"/>
      <c r="C176" s="8"/>
      <c r="D176" s="8"/>
      <c r="E176" s="8"/>
      <c r="F176" s="8"/>
      <c r="G176" s="8"/>
      <c r="H176" s="8"/>
      <c r="I176" s="8"/>
      <c r="J176" s="8"/>
      <c r="K176" s="8"/>
      <c r="L176" s="8"/>
      <c r="M176" s="8"/>
      <c r="N176" s="8"/>
      <c r="O176" s="8"/>
      <c r="P176" s="8"/>
      <c r="Q176" s="8"/>
      <c r="R176" s="5"/>
    </row>
    <row r="177" spans="1:18" ht="18" thickBot="1" x14ac:dyDescent="0.35">
      <c r="A177" s="101"/>
      <c r="B177" s="102" t="str">
        <f>B127</f>
        <v>PM7 INVESTOR REPORT QUARTER ENDING APRIL 2005</v>
      </c>
      <c r="C177" s="143"/>
      <c r="D177" s="143"/>
      <c r="E177" s="143"/>
      <c r="F177" s="143"/>
      <c r="G177" s="143"/>
      <c r="H177" s="143"/>
      <c r="I177" s="143"/>
      <c r="J177" s="143"/>
      <c r="K177" s="143"/>
      <c r="L177" s="143"/>
      <c r="M177" s="143"/>
      <c r="N177" s="143"/>
      <c r="O177" s="143"/>
      <c r="P177" s="143"/>
      <c r="Q177" s="144"/>
      <c r="R177" s="5"/>
    </row>
    <row r="178" spans="1:18" ht="15.6" x14ac:dyDescent="0.3">
      <c r="A178" s="67"/>
      <c r="B178" s="60" t="s">
        <v>77</v>
      </c>
      <c r="C178" s="68"/>
      <c r="D178" s="68"/>
      <c r="E178" s="69"/>
      <c r="F178" s="69"/>
      <c r="G178" s="69"/>
      <c r="H178" s="69"/>
      <c r="I178" s="69"/>
      <c r="J178" s="69"/>
      <c r="K178" s="69"/>
      <c r="L178" s="69"/>
      <c r="M178" s="69"/>
      <c r="N178" s="70">
        <f>H90</f>
        <v>38472</v>
      </c>
      <c r="O178" s="4"/>
      <c r="P178" s="4"/>
      <c r="Q178" s="4"/>
      <c r="R178" s="5"/>
    </row>
    <row r="179" spans="1:18" ht="15.6" x14ac:dyDescent="0.3">
      <c r="A179" s="71"/>
      <c r="B179" s="72"/>
      <c r="C179" s="73"/>
      <c r="D179" s="73"/>
      <c r="E179" s="74"/>
      <c r="F179" s="74"/>
      <c r="G179" s="74"/>
      <c r="H179" s="74"/>
      <c r="I179" s="74"/>
      <c r="J179" s="74"/>
      <c r="K179" s="74"/>
      <c r="L179" s="74"/>
      <c r="M179" s="74"/>
      <c r="N179" s="74"/>
      <c r="O179" s="8"/>
      <c r="P179" s="8"/>
      <c r="Q179" s="8"/>
      <c r="R179" s="5"/>
    </row>
    <row r="180" spans="1:18" ht="15.6" x14ac:dyDescent="0.3">
      <c r="A180" s="75"/>
      <c r="B180" s="76" t="s">
        <v>78</v>
      </c>
      <c r="C180" s="77"/>
      <c r="D180" s="77"/>
      <c r="E180" s="64"/>
      <c r="F180" s="64"/>
      <c r="G180" s="64"/>
      <c r="H180" s="64"/>
      <c r="I180" s="64"/>
      <c r="J180" s="64"/>
      <c r="K180" s="64"/>
      <c r="L180" s="64"/>
      <c r="M180" s="64"/>
      <c r="N180" s="78">
        <v>5.8069999999999997E-2</v>
      </c>
      <c r="O180" s="25"/>
      <c r="P180" s="25"/>
      <c r="Q180" s="25"/>
      <c r="R180" s="5"/>
    </row>
    <row r="181" spans="1:18" ht="15.6" x14ac:dyDescent="0.3">
      <c r="A181" s="75"/>
      <c r="B181" s="76" t="s">
        <v>219</v>
      </c>
      <c r="C181" s="77"/>
      <c r="D181" s="77"/>
      <c r="E181" s="64"/>
      <c r="F181" s="64"/>
      <c r="G181" s="64"/>
      <c r="H181" s="64"/>
      <c r="I181" s="64"/>
      <c r="J181" s="64"/>
      <c r="K181" s="64"/>
      <c r="L181" s="64"/>
      <c r="M181" s="64"/>
      <c r="N181" s="39">
        <v>5.1499999999999997E-2</v>
      </c>
      <c r="O181" s="25"/>
      <c r="P181" s="25"/>
      <c r="Q181" s="25"/>
      <c r="R181" s="5"/>
    </row>
    <row r="182" spans="1:18" ht="15.6" x14ac:dyDescent="0.3">
      <c r="A182" s="75"/>
      <c r="B182" s="76" t="s">
        <v>79</v>
      </c>
      <c r="C182" s="77"/>
      <c r="D182" s="77"/>
      <c r="E182" s="64"/>
      <c r="F182" s="64"/>
      <c r="G182" s="64"/>
      <c r="H182" s="64"/>
      <c r="I182" s="64"/>
      <c r="J182" s="64"/>
      <c r="K182" s="64"/>
      <c r="L182" s="64"/>
      <c r="M182" s="64"/>
      <c r="N182" s="78">
        <f>N180-N181</f>
        <v>6.5699999999999995E-3</v>
      </c>
      <c r="O182" s="25"/>
      <c r="P182" s="25"/>
      <c r="Q182" s="25"/>
      <c r="R182" s="5"/>
    </row>
    <row r="183" spans="1:18" ht="15.6" x14ac:dyDescent="0.3">
      <c r="A183" s="75"/>
      <c r="B183" s="76" t="s">
        <v>80</v>
      </c>
      <c r="C183" s="77"/>
      <c r="D183" s="77"/>
      <c r="E183" s="64"/>
      <c r="F183" s="64"/>
      <c r="G183" s="64"/>
      <c r="H183" s="64"/>
      <c r="I183" s="64"/>
      <c r="J183" s="64"/>
      <c r="K183" s="64"/>
      <c r="L183" s="64"/>
      <c r="M183" s="64"/>
      <c r="N183" s="78">
        <v>6.3740000000000005E-2</v>
      </c>
      <c r="O183" s="25"/>
      <c r="P183" s="25"/>
      <c r="Q183" s="25"/>
      <c r="R183" s="5"/>
    </row>
    <row r="184" spans="1:18" ht="15.6" x14ac:dyDescent="0.3">
      <c r="A184" s="75"/>
      <c r="B184" s="76" t="s">
        <v>241</v>
      </c>
      <c r="C184" s="77"/>
      <c r="D184" s="77"/>
      <c r="E184" s="64"/>
      <c r="F184" s="64"/>
      <c r="G184" s="64"/>
      <c r="H184" s="64"/>
      <c r="I184" s="64"/>
      <c r="J184" s="64"/>
      <c r="K184" s="64"/>
      <c r="L184" s="64"/>
      <c r="M184" s="64"/>
      <c r="N184" s="78">
        <f>+P44</f>
        <v>5.2352649834084129E-2</v>
      </c>
      <c r="O184" s="25"/>
      <c r="P184" s="25"/>
      <c r="Q184" s="25"/>
      <c r="R184" s="5"/>
    </row>
    <row r="185" spans="1:18" ht="15.6" x14ac:dyDescent="0.3">
      <c r="A185" s="75"/>
      <c r="B185" s="76" t="s">
        <v>81</v>
      </c>
      <c r="C185" s="77"/>
      <c r="D185" s="77"/>
      <c r="E185" s="64"/>
      <c r="F185" s="64"/>
      <c r="G185" s="64"/>
      <c r="H185" s="64"/>
      <c r="I185" s="64"/>
      <c r="J185" s="64"/>
      <c r="K185" s="64"/>
      <c r="L185" s="64"/>
      <c r="M185" s="64"/>
      <c r="N185" s="78">
        <f>N183-N184</f>
        <v>1.1387350165915876E-2</v>
      </c>
      <c r="O185" s="25"/>
      <c r="P185" s="25"/>
      <c r="Q185" s="25"/>
      <c r="R185" s="5"/>
    </row>
    <row r="186" spans="1:18" ht="15.6" x14ac:dyDescent="0.3">
      <c r="A186" s="75"/>
      <c r="B186" s="76" t="s">
        <v>257</v>
      </c>
      <c r="C186" s="77"/>
      <c r="D186" s="77"/>
      <c r="E186" s="64"/>
      <c r="F186" s="64"/>
      <c r="G186" s="64"/>
      <c r="H186" s="64"/>
      <c r="I186" s="64"/>
      <c r="J186" s="64"/>
      <c r="K186" s="64"/>
      <c r="L186" s="64"/>
      <c r="M186" s="64"/>
      <c r="N186" s="78">
        <f>+P97/H72</f>
        <v>1.6508510532273105E-2</v>
      </c>
      <c r="O186" s="25"/>
      <c r="P186" s="25"/>
      <c r="Q186" s="25"/>
      <c r="R186" s="5"/>
    </row>
    <row r="187" spans="1:18" ht="15.6" x14ac:dyDescent="0.3">
      <c r="A187" s="75"/>
      <c r="B187" s="76" t="s">
        <v>170</v>
      </c>
      <c r="C187" s="77"/>
      <c r="D187" s="77"/>
      <c r="E187" s="64"/>
      <c r="F187" s="64"/>
      <c r="G187" s="64"/>
      <c r="H187" s="64"/>
      <c r="I187" s="64"/>
      <c r="J187" s="64"/>
      <c r="K187" s="64"/>
      <c r="L187" s="64"/>
      <c r="M187" s="64"/>
      <c r="N187" s="133">
        <v>49065</v>
      </c>
      <c r="O187" s="25"/>
      <c r="P187" s="25"/>
      <c r="Q187" s="25"/>
      <c r="R187" s="5"/>
    </row>
    <row r="188" spans="1:18" ht="15.6" x14ac:dyDescent="0.3">
      <c r="A188" s="75"/>
      <c r="B188" s="76" t="s">
        <v>171</v>
      </c>
      <c r="C188" s="77"/>
      <c r="D188" s="77"/>
      <c r="E188" s="64"/>
      <c r="F188" s="64"/>
      <c r="G188" s="64"/>
      <c r="H188" s="64"/>
      <c r="I188" s="64"/>
      <c r="J188" s="64"/>
      <c r="K188" s="64"/>
      <c r="L188" s="64"/>
      <c r="M188" s="64"/>
      <c r="N188" s="133">
        <v>49065</v>
      </c>
      <c r="O188" s="25"/>
      <c r="P188" s="25"/>
      <c r="Q188" s="25"/>
      <c r="R188" s="5"/>
    </row>
    <row r="189" spans="1:18" ht="15.6" x14ac:dyDescent="0.3">
      <c r="A189" s="75"/>
      <c r="B189" s="76" t="s">
        <v>172</v>
      </c>
      <c r="C189" s="77"/>
      <c r="D189" s="77"/>
      <c r="E189" s="64"/>
      <c r="F189" s="64"/>
      <c r="G189" s="64"/>
      <c r="H189" s="64"/>
      <c r="I189" s="64"/>
      <c r="J189" s="64"/>
      <c r="K189" s="64"/>
      <c r="L189" s="64"/>
      <c r="M189" s="64"/>
      <c r="N189" s="133">
        <v>49065</v>
      </c>
      <c r="O189" s="25"/>
      <c r="P189" s="25"/>
      <c r="Q189" s="25"/>
      <c r="R189" s="5"/>
    </row>
    <row r="190" spans="1:18" ht="15.6" x14ac:dyDescent="0.3">
      <c r="A190" s="75"/>
      <c r="B190" s="76" t="s">
        <v>138</v>
      </c>
      <c r="C190" s="77"/>
      <c r="D190" s="77"/>
      <c r="E190" s="64"/>
      <c r="F190" s="64"/>
      <c r="G190" s="64"/>
      <c r="H190" s="64"/>
      <c r="I190" s="64"/>
      <c r="J190" s="64"/>
      <c r="K190" s="64"/>
      <c r="L190" s="64"/>
      <c r="M190" s="64"/>
      <c r="N190" s="133">
        <v>52352</v>
      </c>
      <c r="O190" s="25"/>
      <c r="P190" s="25"/>
      <c r="Q190" s="25"/>
      <c r="R190" s="5"/>
    </row>
    <row r="191" spans="1:18" ht="15.6" x14ac:dyDescent="0.3">
      <c r="A191" s="75"/>
      <c r="B191" s="76" t="s">
        <v>139</v>
      </c>
      <c r="C191" s="77"/>
      <c r="D191" s="77"/>
      <c r="E191" s="64"/>
      <c r="F191" s="64"/>
      <c r="G191" s="64"/>
      <c r="H191" s="64"/>
      <c r="I191" s="64"/>
      <c r="J191" s="64"/>
      <c r="K191" s="64"/>
      <c r="L191" s="64"/>
      <c r="M191" s="64"/>
      <c r="N191" s="133">
        <v>52352</v>
      </c>
      <c r="O191" s="25"/>
      <c r="P191" s="25"/>
      <c r="Q191" s="25"/>
      <c r="R191" s="5"/>
    </row>
    <row r="192" spans="1:18" ht="15.6" x14ac:dyDescent="0.3">
      <c r="A192" s="75"/>
      <c r="B192" s="76" t="s">
        <v>82</v>
      </c>
      <c r="C192" s="77"/>
      <c r="D192" s="77"/>
      <c r="E192" s="64"/>
      <c r="F192" s="64"/>
      <c r="G192" s="64"/>
      <c r="H192" s="64"/>
      <c r="I192" s="64"/>
      <c r="J192" s="64"/>
      <c r="K192" s="64"/>
      <c r="L192" s="64"/>
      <c r="M192" s="64"/>
      <c r="N192" s="137">
        <v>20.45</v>
      </c>
      <c r="O192" s="25" t="s">
        <v>125</v>
      </c>
      <c r="P192" s="25"/>
      <c r="Q192" s="25"/>
      <c r="R192" s="5"/>
    </row>
    <row r="193" spans="1:18" ht="15.6" x14ac:dyDescent="0.3">
      <c r="A193" s="75"/>
      <c r="B193" s="76" t="s">
        <v>83</v>
      </c>
      <c r="C193" s="77"/>
      <c r="D193" s="77"/>
      <c r="E193" s="64"/>
      <c r="F193" s="64"/>
      <c r="G193" s="64"/>
      <c r="H193" s="64"/>
      <c r="I193" s="64"/>
      <c r="J193" s="64"/>
      <c r="K193" s="64"/>
      <c r="L193" s="64"/>
      <c r="M193" s="64"/>
      <c r="N193" s="137">
        <v>20.48</v>
      </c>
      <c r="O193" s="25" t="s">
        <v>125</v>
      </c>
      <c r="P193" s="25"/>
      <c r="Q193" s="25"/>
      <c r="R193" s="5"/>
    </row>
    <row r="194" spans="1:18" ht="15.6" x14ac:dyDescent="0.3">
      <c r="A194" s="75"/>
      <c r="B194" s="76" t="s">
        <v>84</v>
      </c>
      <c r="C194" s="77"/>
      <c r="D194" s="77"/>
      <c r="E194" s="64"/>
      <c r="F194" s="64"/>
      <c r="G194" s="64"/>
      <c r="H194" s="64"/>
      <c r="I194" s="64"/>
      <c r="J194" s="64"/>
      <c r="K194" s="64"/>
      <c r="L194" s="64"/>
      <c r="M194" s="64"/>
      <c r="N194" s="78">
        <f>+J72/H72</f>
        <v>3.6333198076024101E-2</v>
      </c>
      <c r="O194" s="25"/>
      <c r="P194" s="25"/>
      <c r="Q194" s="25"/>
      <c r="R194" s="5"/>
    </row>
    <row r="195" spans="1:18" ht="15.6" x14ac:dyDescent="0.3">
      <c r="A195" s="75"/>
      <c r="B195" s="76" t="s">
        <v>85</v>
      </c>
      <c r="C195" s="77"/>
      <c r="D195" s="77"/>
      <c r="E195" s="64"/>
      <c r="F195" s="64"/>
      <c r="G195" s="64"/>
      <c r="H195" s="64"/>
      <c r="I195" s="64"/>
      <c r="J195" s="64"/>
      <c r="K195" s="64"/>
      <c r="L195" s="64"/>
      <c r="M195" s="64"/>
      <c r="N195" s="78">
        <v>0.1507</v>
      </c>
      <c r="O195" s="25"/>
      <c r="P195" s="25"/>
      <c r="Q195" s="25"/>
      <c r="R195" s="5"/>
    </row>
    <row r="196" spans="1:18" ht="15.6" x14ac:dyDescent="0.3">
      <c r="A196" s="75"/>
      <c r="B196" s="76"/>
      <c r="C196" s="76"/>
      <c r="D196" s="76"/>
      <c r="E196" s="25"/>
      <c r="F196" s="25"/>
      <c r="G196" s="25"/>
      <c r="H196" s="25"/>
      <c r="I196" s="25"/>
      <c r="J196" s="25"/>
      <c r="K196" s="25"/>
      <c r="L196" s="25"/>
      <c r="M196" s="25"/>
      <c r="N196" s="61"/>
      <c r="O196" s="25"/>
      <c r="P196" s="79"/>
      <c r="Q196" s="25"/>
      <c r="R196" s="5"/>
    </row>
    <row r="197" spans="1:18" ht="15.6" x14ac:dyDescent="0.3">
      <c r="A197" s="80"/>
      <c r="B197" s="14" t="s">
        <v>86</v>
      </c>
      <c r="C197" s="81"/>
      <c r="D197" s="82"/>
      <c r="E197" s="81"/>
      <c r="F197" s="17"/>
      <c r="G197" s="17"/>
      <c r="H197" s="17"/>
      <c r="I197" s="17"/>
      <c r="J197" s="17"/>
      <c r="K197" s="17"/>
      <c r="L197" s="17"/>
      <c r="M197" s="17" t="s">
        <v>113</v>
      </c>
      <c r="N197" s="83" t="s">
        <v>121</v>
      </c>
      <c r="O197" s="8"/>
      <c r="P197" s="8"/>
      <c r="Q197" s="8"/>
      <c r="R197" s="5"/>
    </row>
    <row r="198" spans="1:18" ht="15.6" x14ac:dyDescent="0.3">
      <c r="A198" s="84"/>
      <c r="B198" s="76" t="s">
        <v>87</v>
      </c>
      <c r="C198" s="54"/>
      <c r="D198" s="25"/>
      <c r="E198" s="25"/>
      <c r="F198" s="30"/>
      <c r="G198" s="30"/>
      <c r="H198" s="30"/>
      <c r="I198" s="30"/>
      <c r="J198" s="30"/>
      <c r="K198" s="30"/>
      <c r="L198" s="30"/>
      <c r="M198" s="30">
        <v>20</v>
      </c>
      <c r="N198" s="85">
        <v>1546</v>
      </c>
      <c r="O198" s="25"/>
      <c r="P198" s="79"/>
      <c r="Q198" s="86"/>
      <c r="R198" s="5"/>
    </row>
    <row r="199" spans="1:18" ht="15.6" x14ac:dyDescent="0.3">
      <c r="A199" s="84"/>
      <c r="B199" s="76" t="s">
        <v>203</v>
      </c>
      <c r="C199" s="54"/>
      <c r="D199" s="25"/>
      <c r="E199" s="25"/>
      <c r="F199" s="30"/>
      <c r="G199" s="30"/>
      <c r="H199" s="30"/>
      <c r="I199" s="30"/>
      <c r="J199" s="30"/>
      <c r="K199" s="30"/>
      <c r="L199" s="30"/>
      <c r="M199" s="151">
        <f>+L231</f>
        <v>31</v>
      </c>
      <c r="N199" s="85">
        <f>+N231</f>
        <v>3781</v>
      </c>
      <c r="O199" s="25"/>
      <c r="P199" s="79"/>
      <c r="Q199" s="86"/>
      <c r="R199" s="5"/>
    </row>
    <row r="200" spans="1:18" ht="15.6" x14ac:dyDescent="0.3">
      <c r="A200" s="84"/>
      <c r="B200" s="76" t="s">
        <v>88</v>
      </c>
      <c r="C200" s="54"/>
      <c r="D200" s="25"/>
      <c r="E200" s="25"/>
      <c r="F200" s="30"/>
      <c r="G200" s="30"/>
      <c r="H200" s="30"/>
      <c r="I200" s="30"/>
      <c r="J200" s="30"/>
      <c r="K200" s="30"/>
      <c r="L200" s="30"/>
      <c r="M200" s="151">
        <f>+L242</f>
        <v>1</v>
      </c>
      <c r="N200" s="85">
        <f>+N242</f>
        <v>39</v>
      </c>
      <c r="O200" s="25"/>
      <c r="P200" s="79"/>
      <c r="Q200" s="86"/>
      <c r="R200" s="5"/>
    </row>
    <row r="201" spans="1:18" ht="15.6" x14ac:dyDescent="0.3">
      <c r="A201" s="84"/>
      <c r="B201" s="122" t="s">
        <v>89</v>
      </c>
      <c r="C201" s="54"/>
      <c r="D201" s="25"/>
      <c r="E201" s="25"/>
      <c r="F201" s="25"/>
      <c r="G201" s="25"/>
      <c r="H201" s="25"/>
      <c r="I201" s="25"/>
      <c r="J201" s="25"/>
      <c r="K201" s="25"/>
      <c r="L201" s="25"/>
      <c r="M201" s="25"/>
      <c r="N201" s="85">
        <v>0</v>
      </c>
      <c r="O201" s="25"/>
      <c r="P201" s="79"/>
      <c r="Q201" s="86"/>
      <c r="R201" s="5"/>
    </row>
    <row r="202" spans="1:18" ht="15.6" x14ac:dyDescent="0.3">
      <c r="A202" s="84"/>
      <c r="B202" s="122" t="s">
        <v>90</v>
      </c>
      <c r="C202" s="54"/>
      <c r="D202" s="25"/>
      <c r="E202" s="25"/>
      <c r="F202" s="25"/>
      <c r="G202" s="25"/>
      <c r="H202" s="25"/>
      <c r="I202" s="25"/>
      <c r="J202" s="25"/>
      <c r="K202" s="25"/>
      <c r="L202" s="25"/>
      <c r="M202" s="25"/>
      <c r="N202" s="62" t="s">
        <v>122</v>
      </c>
      <c r="O202" s="25"/>
      <c r="P202" s="79"/>
      <c r="Q202" s="86"/>
      <c r="R202" s="5"/>
    </row>
    <row r="203" spans="1:18" ht="15.6" x14ac:dyDescent="0.3">
      <c r="A203" s="87"/>
      <c r="B203" s="122" t="s">
        <v>91</v>
      </c>
      <c r="C203" s="76"/>
      <c r="D203" s="76"/>
      <c r="E203" s="25"/>
      <c r="F203" s="25"/>
      <c r="G203" s="25"/>
      <c r="H203" s="25"/>
      <c r="I203" s="25"/>
      <c r="J203" s="25"/>
      <c r="K203" s="25"/>
      <c r="L203" s="25"/>
      <c r="M203" s="25"/>
      <c r="N203" s="85"/>
      <c r="O203" s="25"/>
      <c r="P203" s="79"/>
      <c r="Q203" s="88"/>
      <c r="R203" s="5"/>
    </row>
    <row r="204" spans="1:18" ht="15.6" x14ac:dyDescent="0.3">
      <c r="A204" s="87"/>
      <c r="B204" s="135" t="s">
        <v>92</v>
      </c>
      <c r="C204" s="76"/>
      <c r="D204" s="76"/>
      <c r="E204" s="25"/>
      <c r="F204" s="25"/>
      <c r="G204" s="25"/>
      <c r="H204" s="25"/>
      <c r="I204" s="25"/>
      <c r="J204" s="25"/>
      <c r="K204" s="25"/>
      <c r="L204" s="25"/>
      <c r="M204" s="25">
        <v>0</v>
      </c>
      <c r="N204" s="85">
        <f>P149</f>
        <v>0</v>
      </c>
      <c r="O204" s="25"/>
      <c r="P204" s="79"/>
      <c r="Q204" s="88"/>
      <c r="R204" s="5"/>
    </row>
    <row r="205" spans="1:18" ht="15.6" x14ac:dyDescent="0.3">
      <c r="A205" s="84"/>
      <c r="B205" s="76" t="s">
        <v>93</v>
      </c>
      <c r="C205" s="54"/>
      <c r="D205" s="54"/>
      <c r="E205" s="25"/>
      <c r="F205" s="25"/>
      <c r="G205" s="25"/>
      <c r="H205" s="25"/>
      <c r="I205" s="25"/>
      <c r="J205" s="25"/>
      <c r="K205" s="25"/>
      <c r="L205" s="25"/>
      <c r="M205" s="25">
        <v>0</v>
      </c>
      <c r="N205" s="85">
        <f>+N204</f>
        <v>0</v>
      </c>
      <c r="O205" s="25"/>
      <c r="P205" s="79"/>
      <c r="Q205" s="88"/>
      <c r="R205" s="5"/>
    </row>
    <row r="206" spans="1:18" ht="15.6" x14ac:dyDescent="0.3">
      <c r="A206" s="87"/>
      <c r="B206" s="122" t="s">
        <v>94</v>
      </c>
      <c r="C206" s="76"/>
      <c r="D206" s="76"/>
      <c r="E206" s="25"/>
      <c r="F206" s="25"/>
      <c r="G206" s="25"/>
      <c r="H206" s="25"/>
      <c r="I206" s="25"/>
      <c r="J206" s="25"/>
      <c r="K206" s="25"/>
      <c r="L206" s="25"/>
      <c r="M206" s="25"/>
      <c r="N206" s="85"/>
      <c r="O206" s="25"/>
      <c r="P206" s="79"/>
      <c r="Q206" s="88"/>
      <c r="R206" s="5"/>
    </row>
    <row r="207" spans="1:18" ht="15.6" x14ac:dyDescent="0.3">
      <c r="A207" s="87"/>
      <c r="B207" s="76" t="s">
        <v>276</v>
      </c>
      <c r="C207" s="76"/>
      <c r="D207" s="76"/>
      <c r="E207" s="25"/>
      <c r="F207" s="25"/>
      <c r="G207" s="25"/>
      <c r="H207" s="25"/>
      <c r="I207" s="25"/>
      <c r="J207" s="25"/>
      <c r="K207" s="25"/>
      <c r="L207" s="25"/>
      <c r="M207" s="25">
        <v>0</v>
      </c>
      <c r="N207" s="85">
        <v>0</v>
      </c>
      <c r="O207" s="25"/>
      <c r="P207" s="79"/>
      <c r="Q207" s="88"/>
      <c r="R207" s="5"/>
    </row>
    <row r="208" spans="1:18" ht="15.6" x14ac:dyDescent="0.3">
      <c r="A208" s="84"/>
      <c r="B208" s="76" t="s">
        <v>95</v>
      </c>
      <c r="C208" s="89"/>
      <c r="D208" s="90"/>
      <c r="E208" s="25"/>
      <c r="F208" s="25"/>
      <c r="G208" s="25"/>
      <c r="H208" s="25"/>
      <c r="I208" s="25"/>
      <c r="J208" s="25"/>
      <c r="K208" s="25"/>
      <c r="L208" s="25"/>
      <c r="M208" s="25"/>
      <c r="N208" s="62">
        <v>0</v>
      </c>
      <c r="O208" s="25"/>
      <c r="P208" s="79"/>
      <c r="Q208" s="88"/>
      <c r="R208" s="5"/>
    </row>
    <row r="209" spans="1:18" ht="15.6" x14ac:dyDescent="0.3">
      <c r="A209" s="84"/>
      <c r="B209" s="76" t="s">
        <v>96</v>
      </c>
      <c r="C209" s="89"/>
      <c r="D209" s="90"/>
      <c r="E209" s="25"/>
      <c r="F209" s="25"/>
      <c r="G209" s="25"/>
      <c r="H209" s="25"/>
      <c r="I209" s="25"/>
      <c r="J209" s="25"/>
      <c r="K209" s="25"/>
      <c r="L209" s="25"/>
      <c r="M209" s="25"/>
      <c r="N209" s="62">
        <v>0</v>
      </c>
      <c r="O209" s="25"/>
      <c r="P209" s="79"/>
      <c r="Q209" s="88"/>
      <c r="R209" s="5"/>
    </row>
    <row r="210" spans="1:18" ht="15.6" x14ac:dyDescent="0.3">
      <c r="A210" s="84"/>
      <c r="B210" s="76"/>
      <c r="C210" s="89"/>
      <c r="D210" s="90"/>
      <c r="E210" s="25"/>
      <c r="F210" s="25"/>
      <c r="G210" s="25"/>
      <c r="H210" s="25"/>
      <c r="I210" s="25"/>
      <c r="J210" s="25"/>
      <c r="K210" s="25"/>
      <c r="L210" s="25"/>
      <c r="M210" s="25"/>
      <c r="N210" s="91"/>
      <c r="O210" s="25"/>
      <c r="P210" s="79"/>
      <c r="Q210" s="88"/>
      <c r="R210" s="5"/>
    </row>
    <row r="211" spans="1:18" ht="15.6" x14ac:dyDescent="0.3">
      <c r="A211" s="6"/>
      <c r="B211" s="14" t="s">
        <v>236</v>
      </c>
      <c r="C211" s="81"/>
      <c r="D211" s="82"/>
      <c r="E211" s="81"/>
      <c r="F211" s="17"/>
      <c r="G211" s="17"/>
      <c r="H211" s="17"/>
      <c r="I211" s="17"/>
      <c r="J211" s="17"/>
      <c r="K211" s="17"/>
      <c r="L211" s="83" t="s">
        <v>113</v>
      </c>
      <c r="M211" s="17" t="s">
        <v>114</v>
      </c>
      <c r="N211" s="83" t="s">
        <v>123</v>
      </c>
      <c r="O211" s="17" t="s">
        <v>114</v>
      </c>
      <c r="P211" s="8"/>
      <c r="Q211" s="92"/>
      <c r="R211" s="5"/>
    </row>
    <row r="212" spans="1:18" ht="15.6" x14ac:dyDescent="0.3">
      <c r="A212" s="24"/>
      <c r="B212" s="54" t="s">
        <v>98</v>
      </c>
      <c r="C212" s="93"/>
      <c r="D212" s="25"/>
      <c r="E212" s="93"/>
      <c r="F212" s="93"/>
      <c r="G212" s="93"/>
      <c r="H212" s="93"/>
      <c r="I212" s="93"/>
      <c r="J212" s="93"/>
      <c r="K212" s="93"/>
      <c r="L212" s="54">
        <v>8746</v>
      </c>
      <c r="M212" s="94">
        <f t="shared" ref="M212:M219" si="1">L212/$L$220</f>
        <v>0.98914272788961777</v>
      </c>
      <c r="N212" s="53">
        <v>807247</v>
      </c>
      <c r="O212" s="136">
        <f t="shared" ref="O212:O219" si="2">N212/$N$220</f>
        <v>0.98942606333821159</v>
      </c>
      <c r="P212" s="79"/>
      <c r="Q212" s="88"/>
      <c r="R212" s="5"/>
    </row>
    <row r="213" spans="1:18" ht="15.6" x14ac:dyDescent="0.3">
      <c r="A213" s="24"/>
      <c r="B213" s="54" t="s">
        <v>99</v>
      </c>
      <c r="C213" s="93"/>
      <c r="D213" s="25"/>
      <c r="E213" s="94"/>
      <c r="F213" s="93"/>
      <c r="G213" s="93"/>
      <c r="H213" s="93"/>
      <c r="I213" s="93"/>
      <c r="J213" s="93"/>
      <c r="K213" s="93"/>
      <c r="L213" s="54">
        <v>52</v>
      </c>
      <c r="M213" s="94">
        <f t="shared" si="1"/>
        <v>5.8810223931237277E-3</v>
      </c>
      <c r="N213" s="53">
        <v>4810</v>
      </c>
      <c r="O213" s="136">
        <f t="shared" si="2"/>
        <v>5.895518180503362E-3</v>
      </c>
      <c r="P213" s="79"/>
      <c r="Q213" s="88"/>
      <c r="R213" s="5"/>
    </row>
    <row r="214" spans="1:18" ht="15.6" x14ac:dyDescent="0.3">
      <c r="A214" s="24"/>
      <c r="B214" s="54" t="s">
        <v>100</v>
      </c>
      <c r="C214" s="93"/>
      <c r="D214" s="25"/>
      <c r="E214" s="94"/>
      <c r="F214" s="93"/>
      <c r="G214" s="93"/>
      <c r="H214" s="93"/>
      <c r="I214" s="93"/>
      <c r="J214" s="93"/>
      <c r="K214" s="93"/>
      <c r="L214" s="54">
        <v>24</v>
      </c>
      <c r="M214" s="94">
        <f t="shared" si="1"/>
        <v>2.7143180275955667E-3</v>
      </c>
      <c r="N214" s="53">
        <v>1913</v>
      </c>
      <c r="O214" s="136">
        <f t="shared" si="2"/>
        <v>2.3447247981918775E-3</v>
      </c>
      <c r="P214" s="79"/>
      <c r="Q214" s="88"/>
      <c r="R214" s="5"/>
    </row>
    <row r="215" spans="1:18" ht="15.6" x14ac:dyDescent="0.3">
      <c r="A215" s="24"/>
      <c r="B215" s="54" t="s">
        <v>227</v>
      </c>
      <c r="C215" s="93"/>
      <c r="D215" s="25"/>
      <c r="E215" s="94"/>
      <c r="F215" s="93"/>
      <c r="G215" s="93"/>
      <c r="H215" s="93"/>
      <c r="I215" s="93"/>
      <c r="J215" s="93"/>
      <c r="K215" s="93"/>
      <c r="L215" s="54">
        <v>7</v>
      </c>
      <c r="M215" s="94">
        <f t="shared" si="1"/>
        <v>7.9167609138204023E-4</v>
      </c>
      <c r="N215" s="53">
        <v>1030</v>
      </c>
      <c r="O215" s="136">
        <f t="shared" si="2"/>
        <v>1.2624498390682874E-3</v>
      </c>
      <c r="P215" s="79"/>
      <c r="Q215" s="88"/>
      <c r="R215" s="5"/>
    </row>
    <row r="216" spans="1:18" ht="15.6" x14ac:dyDescent="0.3">
      <c r="A216" s="24"/>
      <c r="B216" s="54" t="s">
        <v>228</v>
      </c>
      <c r="C216" s="93"/>
      <c r="D216" s="25"/>
      <c r="E216" s="94"/>
      <c r="F216" s="93"/>
      <c r="G216" s="93"/>
      <c r="H216" s="93"/>
      <c r="I216" s="93"/>
      <c r="J216" s="93"/>
      <c r="K216" s="93"/>
      <c r="L216" s="54">
        <v>6</v>
      </c>
      <c r="M216" s="94">
        <f t="shared" si="1"/>
        <v>6.7857950689889169E-4</v>
      </c>
      <c r="N216" s="53">
        <v>529</v>
      </c>
      <c r="O216" s="136">
        <f t="shared" si="2"/>
        <v>6.483844319098292E-4</v>
      </c>
      <c r="P216" s="79"/>
      <c r="Q216" s="88"/>
      <c r="R216" s="5"/>
    </row>
    <row r="217" spans="1:18" ht="15.6" x14ac:dyDescent="0.3">
      <c r="A217" s="24"/>
      <c r="B217" s="54" t="s">
        <v>229</v>
      </c>
      <c r="C217" s="93"/>
      <c r="D217" s="25"/>
      <c r="E217" s="94"/>
      <c r="F217" s="93"/>
      <c r="G217" s="93"/>
      <c r="H217" s="93"/>
      <c r="I217" s="93"/>
      <c r="J217" s="93"/>
      <c r="K217" s="93"/>
      <c r="L217" s="54">
        <v>4</v>
      </c>
      <c r="M217" s="94">
        <f t="shared" si="1"/>
        <v>4.5238633793259444E-4</v>
      </c>
      <c r="N217" s="53">
        <v>247</v>
      </c>
      <c r="O217" s="136">
        <f t="shared" si="2"/>
        <v>3.0274282548530776E-4</v>
      </c>
      <c r="P217" s="79"/>
      <c r="Q217" s="88"/>
      <c r="R217" s="5"/>
    </row>
    <row r="218" spans="1:18" ht="15.6" x14ac:dyDescent="0.3">
      <c r="A218" s="24"/>
      <c r="B218" s="54" t="s">
        <v>230</v>
      </c>
      <c r="C218" s="93"/>
      <c r="D218" s="25"/>
      <c r="E218" s="94"/>
      <c r="F218" s="93"/>
      <c r="G218" s="93"/>
      <c r="H218" s="93"/>
      <c r="I218" s="93"/>
      <c r="J218" s="93"/>
      <c r="K218" s="93"/>
      <c r="L218" s="54">
        <v>3</v>
      </c>
      <c r="M218" s="94">
        <f t="shared" si="1"/>
        <v>3.3928975344944584E-4</v>
      </c>
      <c r="N218" s="53">
        <v>98</v>
      </c>
      <c r="O218" s="136">
        <f t="shared" si="2"/>
        <v>1.2011658662979823E-4</v>
      </c>
      <c r="P218" s="79"/>
      <c r="Q218" s="88"/>
      <c r="R218" s="5"/>
    </row>
    <row r="219" spans="1:18" ht="15.6" x14ac:dyDescent="0.3">
      <c r="A219" s="24"/>
      <c r="B219" s="54" t="s">
        <v>231</v>
      </c>
      <c r="C219" s="93"/>
      <c r="D219" s="25"/>
      <c r="E219" s="94"/>
      <c r="F219" s="93"/>
      <c r="G219" s="93"/>
      <c r="H219" s="93"/>
      <c r="I219" s="93"/>
      <c r="J219" s="93"/>
      <c r="K219" s="93"/>
      <c r="L219" s="54">
        <v>0</v>
      </c>
      <c r="M219" s="94">
        <f t="shared" si="1"/>
        <v>0</v>
      </c>
      <c r="N219" s="53">
        <v>0</v>
      </c>
      <c r="O219" s="136">
        <f t="shared" si="2"/>
        <v>0</v>
      </c>
      <c r="P219" s="79"/>
      <c r="Q219" s="88"/>
      <c r="R219" s="5"/>
    </row>
    <row r="220" spans="1:18" ht="15.6" x14ac:dyDescent="0.3">
      <c r="A220" s="24"/>
      <c r="B220" s="25" t="s">
        <v>129</v>
      </c>
      <c r="C220" s="25"/>
      <c r="D220" s="25"/>
      <c r="E220" s="25"/>
      <c r="F220" s="95"/>
      <c r="G220" s="95"/>
      <c r="H220" s="95"/>
      <c r="I220" s="95"/>
      <c r="J220" s="95"/>
      <c r="K220" s="95"/>
      <c r="L220" s="34">
        <f>SUM(L212:L219)</f>
        <v>8842</v>
      </c>
      <c r="M220" s="136">
        <f>SUM(M212:M219)</f>
        <v>1</v>
      </c>
      <c r="N220" s="53">
        <f>SUM(N212:N219)</f>
        <v>815874</v>
      </c>
      <c r="O220" s="136">
        <f>SUM(O212:O219)</f>
        <v>1</v>
      </c>
      <c r="P220" s="25"/>
      <c r="Q220" s="25"/>
      <c r="R220" s="5"/>
    </row>
    <row r="221" spans="1:18" ht="15.6" x14ac:dyDescent="0.3">
      <c r="A221" s="24"/>
      <c r="B221" s="25"/>
      <c r="C221" s="25"/>
      <c r="D221" s="25"/>
      <c r="E221" s="25"/>
      <c r="F221" s="95"/>
      <c r="G221" s="95"/>
      <c r="H221" s="95"/>
      <c r="I221" s="95"/>
      <c r="J221" s="95"/>
      <c r="K221" s="95"/>
      <c r="L221" s="34"/>
      <c r="M221" s="136"/>
      <c r="N221" s="53"/>
      <c r="O221" s="136"/>
      <c r="P221" s="25"/>
      <c r="Q221" s="25"/>
      <c r="R221" s="5"/>
    </row>
    <row r="222" spans="1:18" ht="15.6" x14ac:dyDescent="0.3">
      <c r="A222" s="148"/>
      <c r="B222" s="14" t="s">
        <v>238</v>
      </c>
      <c r="C222" s="81"/>
      <c r="D222" s="82"/>
      <c r="E222" s="81"/>
      <c r="F222" s="17"/>
      <c r="G222" s="17"/>
      <c r="H222" s="17"/>
      <c r="I222" s="17"/>
      <c r="J222" s="17"/>
      <c r="K222" s="17"/>
      <c r="L222" s="83" t="s">
        <v>113</v>
      </c>
      <c r="M222" s="17" t="s">
        <v>114</v>
      </c>
      <c r="N222" s="83" t="s">
        <v>123</v>
      </c>
      <c r="O222" s="17" t="s">
        <v>114</v>
      </c>
      <c r="P222" s="8"/>
      <c r="Q222" s="149"/>
      <c r="R222" s="5"/>
    </row>
    <row r="223" spans="1:18" ht="15.6" x14ac:dyDescent="0.3">
      <c r="A223" s="24"/>
      <c r="B223" s="54" t="s">
        <v>98</v>
      </c>
      <c r="C223" s="93"/>
      <c r="D223" s="25"/>
      <c r="E223" s="93"/>
      <c r="F223" s="93"/>
      <c r="G223" s="93"/>
      <c r="H223" s="93"/>
      <c r="I223" s="93"/>
      <c r="J223" s="93"/>
      <c r="K223" s="93"/>
      <c r="L223" s="54">
        <v>3</v>
      </c>
      <c r="M223" s="94">
        <f t="shared" ref="M223:M230" si="3">L223/$L$231</f>
        <v>9.6774193548387094E-2</v>
      </c>
      <c r="N223" s="53">
        <v>170</v>
      </c>
      <c r="O223" s="136">
        <f t="shared" ref="O223:O230" si="4">N223/$N$231</f>
        <v>4.4961650357048397E-2</v>
      </c>
      <c r="P223" s="79"/>
      <c r="Q223" s="25"/>
      <c r="R223" s="5"/>
    </row>
    <row r="224" spans="1:18" ht="15.6" x14ac:dyDescent="0.3">
      <c r="A224" s="24"/>
      <c r="B224" s="54" t="s">
        <v>99</v>
      </c>
      <c r="C224" s="93"/>
      <c r="D224" s="25"/>
      <c r="E224" s="94"/>
      <c r="F224" s="93"/>
      <c r="G224" s="93"/>
      <c r="H224" s="93"/>
      <c r="I224" s="93"/>
      <c r="J224" s="93"/>
      <c r="K224" s="93"/>
      <c r="L224" s="54">
        <v>3</v>
      </c>
      <c r="M224" s="94">
        <f t="shared" si="3"/>
        <v>9.6774193548387094E-2</v>
      </c>
      <c r="N224" s="53">
        <v>298</v>
      </c>
      <c r="O224" s="136">
        <f t="shared" si="4"/>
        <v>7.8815128272943666E-2</v>
      </c>
      <c r="P224" s="79"/>
      <c r="Q224" s="25"/>
      <c r="R224" s="5"/>
    </row>
    <row r="225" spans="1:18" ht="15.6" x14ac:dyDescent="0.3">
      <c r="A225" s="24"/>
      <c r="B225" s="54" t="s">
        <v>100</v>
      </c>
      <c r="C225" s="93"/>
      <c r="D225" s="25"/>
      <c r="E225" s="94"/>
      <c r="F225" s="93"/>
      <c r="G225" s="93"/>
      <c r="H225" s="93"/>
      <c r="I225" s="93"/>
      <c r="J225" s="93"/>
      <c r="K225" s="93"/>
      <c r="L225" s="54">
        <v>2</v>
      </c>
      <c r="M225" s="94">
        <f t="shared" si="3"/>
        <v>6.4516129032258063E-2</v>
      </c>
      <c r="N225" s="53">
        <v>178</v>
      </c>
      <c r="O225" s="136">
        <f t="shared" si="4"/>
        <v>4.7077492726791854E-2</v>
      </c>
      <c r="P225" s="79"/>
      <c r="Q225" s="25"/>
      <c r="R225" s="5"/>
    </row>
    <row r="226" spans="1:18" ht="15.6" x14ac:dyDescent="0.3">
      <c r="A226" s="24"/>
      <c r="B226" s="54" t="s">
        <v>227</v>
      </c>
      <c r="C226" s="93"/>
      <c r="D226" s="25"/>
      <c r="E226" s="94"/>
      <c r="F226" s="93"/>
      <c r="G226" s="93"/>
      <c r="H226" s="93"/>
      <c r="I226" s="93"/>
      <c r="J226" s="93"/>
      <c r="K226" s="93"/>
      <c r="L226" s="54">
        <v>1</v>
      </c>
      <c r="M226" s="94">
        <f t="shared" si="3"/>
        <v>3.2258064516129031E-2</v>
      </c>
      <c r="N226" s="53">
        <v>165</v>
      </c>
      <c r="O226" s="136">
        <f t="shared" si="4"/>
        <v>4.3639248875958742E-2</v>
      </c>
      <c r="P226" s="79"/>
      <c r="Q226" s="25"/>
      <c r="R226" s="5"/>
    </row>
    <row r="227" spans="1:18" ht="15.6" x14ac:dyDescent="0.3">
      <c r="A227" s="24"/>
      <c r="B227" s="54" t="s">
        <v>228</v>
      </c>
      <c r="C227" s="93"/>
      <c r="D227" s="25"/>
      <c r="E227" s="94"/>
      <c r="F227" s="93"/>
      <c r="G227" s="93"/>
      <c r="H227" s="93"/>
      <c r="I227" s="93"/>
      <c r="J227" s="93"/>
      <c r="K227" s="93"/>
      <c r="L227" s="54">
        <v>0</v>
      </c>
      <c r="M227" s="94">
        <f t="shared" si="3"/>
        <v>0</v>
      </c>
      <c r="N227" s="53">
        <v>0</v>
      </c>
      <c r="O227" s="136">
        <f t="shared" si="4"/>
        <v>0</v>
      </c>
      <c r="P227" s="79"/>
      <c r="Q227" s="25"/>
      <c r="R227" s="5"/>
    </row>
    <row r="228" spans="1:18" ht="15.6" x14ac:dyDescent="0.3">
      <c r="A228" s="24"/>
      <c r="B228" s="54" t="s">
        <v>229</v>
      </c>
      <c r="C228" s="93"/>
      <c r="D228" s="25"/>
      <c r="E228" s="94"/>
      <c r="F228" s="93"/>
      <c r="G228" s="93"/>
      <c r="H228" s="93"/>
      <c r="I228" s="93"/>
      <c r="J228" s="93"/>
      <c r="K228" s="93"/>
      <c r="L228" s="54">
        <v>5</v>
      </c>
      <c r="M228" s="94">
        <f t="shared" si="3"/>
        <v>0.16129032258064516</v>
      </c>
      <c r="N228" s="53">
        <v>621</v>
      </c>
      <c r="O228" s="136">
        <f t="shared" si="4"/>
        <v>0.16424226395133562</v>
      </c>
      <c r="P228" s="79"/>
      <c r="Q228" s="25"/>
      <c r="R228" s="5"/>
    </row>
    <row r="229" spans="1:18" ht="15.6" x14ac:dyDescent="0.3">
      <c r="A229" s="24"/>
      <c r="B229" s="54" t="s">
        <v>230</v>
      </c>
      <c r="C229" s="93"/>
      <c r="D229" s="25"/>
      <c r="E229" s="94"/>
      <c r="F229" s="93"/>
      <c r="G229" s="93"/>
      <c r="H229" s="93"/>
      <c r="I229" s="93"/>
      <c r="J229" s="93"/>
      <c r="K229" s="93"/>
      <c r="L229" s="54">
        <v>17</v>
      </c>
      <c r="M229" s="94">
        <f t="shared" si="3"/>
        <v>0.54838709677419351</v>
      </c>
      <c r="N229" s="53">
        <v>2349</v>
      </c>
      <c r="O229" s="136">
        <f t="shared" si="4"/>
        <v>0.62126421581592173</v>
      </c>
      <c r="P229" s="79"/>
      <c r="Q229" s="25"/>
      <c r="R229" s="5"/>
    </row>
    <row r="230" spans="1:18" ht="15.6" x14ac:dyDescent="0.3">
      <c r="A230" s="24"/>
      <c r="B230" s="54" t="s">
        <v>231</v>
      </c>
      <c r="C230" s="93"/>
      <c r="D230" s="25"/>
      <c r="E230" s="94"/>
      <c r="F230" s="93"/>
      <c r="G230" s="93"/>
      <c r="H230" s="93"/>
      <c r="I230" s="93"/>
      <c r="J230" s="93"/>
      <c r="K230" s="93"/>
      <c r="L230" s="54">
        <v>0</v>
      </c>
      <c r="M230" s="94">
        <f t="shared" si="3"/>
        <v>0</v>
      </c>
      <c r="N230" s="53">
        <v>0</v>
      </c>
      <c r="O230" s="136">
        <f t="shared" si="4"/>
        <v>0</v>
      </c>
      <c r="P230" s="79"/>
      <c r="Q230" s="25"/>
      <c r="R230" s="5"/>
    </row>
    <row r="231" spans="1:18" ht="15.6" x14ac:dyDescent="0.3">
      <c r="A231" s="24"/>
      <c r="B231" s="25" t="s">
        <v>129</v>
      </c>
      <c r="C231" s="25"/>
      <c r="D231" s="25"/>
      <c r="E231" s="25"/>
      <c r="F231" s="95"/>
      <c r="G231" s="95"/>
      <c r="H231" s="95"/>
      <c r="I231" s="95"/>
      <c r="J231" s="95"/>
      <c r="K231" s="95"/>
      <c r="L231" s="34">
        <f>SUM(L223:L230)</f>
        <v>31</v>
      </c>
      <c r="M231" s="136">
        <f>SUM(M223:M230)</f>
        <v>0.99999999999999989</v>
      </c>
      <c r="N231" s="53">
        <f>SUM(N223:N230)</f>
        <v>3781</v>
      </c>
      <c r="O231" s="136">
        <f>SUM(O223:O230)</f>
        <v>1</v>
      </c>
      <c r="P231" s="25"/>
      <c r="Q231" s="25"/>
      <c r="R231" s="5"/>
    </row>
    <row r="232" spans="1:18" ht="15.6" x14ac:dyDescent="0.3">
      <c r="A232" s="24"/>
      <c r="B232" s="25"/>
      <c r="C232" s="25"/>
      <c r="D232" s="25"/>
      <c r="E232" s="25"/>
      <c r="F232" s="95"/>
      <c r="G232" s="95"/>
      <c r="H232" s="95"/>
      <c r="I232" s="95"/>
      <c r="J232" s="95"/>
      <c r="K232" s="95"/>
      <c r="L232" s="34"/>
      <c r="M232" s="136"/>
      <c r="N232" s="53"/>
      <c r="O232" s="136"/>
      <c r="P232" s="25"/>
      <c r="Q232" s="25"/>
      <c r="R232" s="5"/>
    </row>
    <row r="233" spans="1:18" ht="15.6" x14ac:dyDescent="0.3">
      <c r="A233" s="148"/>
      <c r="B233" s="14" t="s">
        <v>239</v>
      </c>
      <c r="C233" s="81"/>
      <c r="D233" s="82"/>
      <c r="E233" s="81"/>
      <c r="F233" s="17"/>
      <c r="G233" s="17"/>
      <c r="H233" s="17"/>
      <c r="I233" s="17"/>
      <c r="J233" s="17"/>
      <c r="K233" s="17"/>
      <c r="L233" s="83" t="s">
        <v>113</v>
      </c>
      <c r="M233" s="17" t="s">
        <v>114</v>
      </c>
      <c r="N233" s="83" t="s">
        <v>123</v>
      </c>
      <c r="O233" s="17" t="s">
        <v>114</v>
      </c>
      <c r="P233" s="150"/>
      <c r="Q233" s="149"/>
      <c r="R233" s="5"/>
    </row>
    <row r="234" spans="1:18" ht="15.6" x14ac:dyDescent="0.3">
      <c r="A234" s="24"/>
      <c r="B234" s="54" t="s">
        <v>98</v>
      </c>
      <c r="C234" s="93"/>
      <c r="D234" s="25"/>
      <c r="E234" s="93"/>
      <c r="F234" s="93"/>
      <c r="G234" s="93"/>
      <c r="H234" s="93"/>
      <c r="I234" s="93"/>
      <c r="J234" s="93"/>
      <c r="K234" s="93"/>
      <c r="L234" s="54">
        <v>0</v>
      </c>
      <c r="M234" s="94">
        <f t="shared" ref="M234:M241" si="5">L234/$L$242</f>
        <v>0</v>
      </c>
      <c r="N234" s="53">
        <v>0</v>
      </c>
      <c r="O234" s="136">
        <f t="shared" ref="O234:O241" si="6">N234/$N$242</f>
        <v>0</v>
      </c>
      <c r="P234" s="25"/>
      <c r="Q234" s="25"/>
      <c r="R234" s="5"/>
    </row>
    <row r="235" spans="1:18" ht="15.6" x14ac:dyDescent="0.3">
      <c r="A235" s="24"/>
      <c r="B235" s="54" t="s">
        <v>99</v>
      </c>
      <c r="C235" s="93"/>
      <c r="D235" s="25"/>
      <c r="E235" s="94"/>
      <c r="F235" s="93"/>
      <c r="G235" s="93"/>
      <c r="H235" s="93"/>
      <c r="I235" s="93"/>
      <c r="J235" s="93"/>
      <c r="K235" s="93"/>
      <c r="L235" s="54">
        <v>0</v>
      </c>
      <c r="M235" s="94">
        <f t="shared" si="5"/>
        <v>0</v>
      </c>
      <c r="N235" s="53">
        <v>0</v>
      </c>
      <c r="O235" s="136">
        <f t="shared" si="6"/>
        <v>0</v>
      </c>
      <c r="P235" s="25"/>
      <c r="Q235" s="25"/>
      <c r="R235" s="5"/>
    </row>
    <row r="236" spans="1:18" ht="15.6" x14ac:dyDescent="0.3">
      <c r="A236" s="24"/>
      <c r="B236" s="54" t="s">
        <v>100</v>
      </c>
      <c r="C236" s="93"/>
      <c r="D236" s="25"/>
      <c r="E236" s="94"/>
      <c r="F236" s="93"/>
      <c r="G236" s="93"/>
      <c r="H236" s="93"/>
      <c r="I236" s="93"/>
      <c r="J236" s="93"/>
      <c r="K236" s="93"/>
      <c r="L236" s="54">
        <v>0</v>
      </c>
      <c r="M236" s="94">
        <f t="shared" si="5"/>
        <v>0</v>
      </c>
      <c r="N236" s="53">
        <v>0</v>
      </c>
      <c r="O236" s="136">
        <f t="shared" si="6"/>
        <v>0</v>
      </c>
      <c r="P236" s="25"/>
      <c r="Q236" s="25"/>
      <c r="R236" s="5"/>
    </row>
    <row r="237" spans="1:18" ht="15.6" x14ac:dyDescent="0.3">
      <c r="A237" s="24"/>
      <c r="B237" s="54" t="s">
        <v>227</v>
      </c>
      <c r="C237" s="93"/>
      <c r="D237" s="25"/>
      <c r="E237" s="94"/>
      <c r="F237" s="93"/>
      <c r="G237" s="93"/>
      <c r="H237" s="93"/>
      <c r="I237" s="93"/>
      <c r="J237" s="93"/>
      <c r="K237" s="93"/>
      <c r="L237" s="54">
        <v>0</v>
      </c>
      <c r="M237" s="94">
        <f t="shared" si="5"/>
        <v>0</v>
      </c>
      <c r="N237" s="53">
        <v>0</v>
      </c>
      <c r="O237" s="136">
        <f t="shared" si="6"/>
        <v>0</v>
      </c>
      <c r="P237" s="25"/>
      <c r="Q237" s="25"/>
      <c r="R237" s="5"/>
    </row>
    <row r="238" spans="1:18" ht="15.6" x14ac:dyDescent="0.3">
      <c r="A238" s="24"/>
      <c r="B238" s="54" t="s">
        <v>228</v>
      </c>
      <c r="C238" s="93"/>
      <c r="D238" s="25"/>
      <c r="E238" s="94"/>
      <c r="F238" s="93"/>
      <c r="G238" s="93"/>
      <c r="H238" s="93"/>
      <c r="I238" s="93"/>
      <c r="J238" s="93"/>
      <c r="K238" s="93"/>
      <c r="L238" s="54">
        <v>0</v>
      </c>
      <c r="M238" s="94">
        <f t="shared" si="5"/>
        <v>0</v>
      </c>
      <c r="N238" s="53">
        <v>0</v>
      </c>
      <c r="O238" s="136">
        <f t="shared" si="6"/>
        <v>0</v>
      </c>
      <c r="P238" s="25"/>
      <c r="Q238" s="25"/>
      <c r="R238" s="5"/>
    </row>
    <row r="239" spans="1:18" ht="15.6" x14ac:dyDescent="0.3">
      <c r="A239" s="24"/>
      <c r="B239" s="54" t="s">
        <v>229</v>
      </c>
      <c r="C239" s="93"/>
      <c r="D239" s="25"/>
      <c r="E239" s="94"/>
      <c r="F239" s="93"/>
      <c r="G239" s="93"/>
      <c r="H239" s="93"/>
      <c r="I239" s="93"/>
      <c r="J239" s="93"/>
      <c r="K239" s="93"/>
      <c r="L239" s="54">
        <v>0</v>
      </c>
      <c r="M239" s="94">
        <f t="shared" si="5"/>
        <v>0</v>
      </c>
      <c r="N239" s="53">
        <v>0</v>
      </c>
      <c r="O239" s="136">
        <f t="shared" si="6"/>
        <v>0</v>
      </c>
      <c r="P239" s="25"/>
      <c r="Q239" s="25"/>
      <c r="R239" s="5"/>
    </row>
    <row r="240" spans="1:18" ht="15.6" x14ac:dyDescent="0.3">
      <c r="A240" s="24"/>
      <c r="B240" s="54" t="s">
        <v>230</v>
      </c>
      <c r="C240" s="93"/>
      <c r="D240" s="25"/>
      <c r="E240" s="94"/>
      <c r="F240" s="93"/>
      <c r="G240" s="93"/>
      <c r="H240" s="93"/>
      <c r="I240" s="93"/>
      <c r="J240" s="93"/>
      <c r="K240" s="93"/>
      <c r="L240" s="54">
        <v>1</v>
      </c>
      <c r="M240" s="94">
        <f t="shared" si="5"/>
        <v>1</v>
      </c>
      <c r="N240" s="53">
        <v>39</v>
      </c>
      <c r="O240" s="136">
        <f t="shared" si="6"/>
        <v>1</v>
      </c>
      <c r="P240" s="25"/>
      <c r="Q240" s="25"/>
      <c r="R240" s="5"/>
    </row>
    <row r="241" spans="1:18" ht="15.6" x14ac:dyDescent="0.3">
      <c r="A241" s="24"/>
      <c r="B241" s="54" t="s">
        <v>231</v>
      </c>
      <c r="C241" s="93"/>
      <c r="D241" s="25"/>
      <c r="E241" s="94"/>
      <c r="F241" s="93"/>
      <c r="G241" s="93"/>
      <c r="H241" s="93"/>
      <c r="I241" s="93"/>
      <c r="J241" s="93"/>
      <c r="K241" s="93"/>
      <c r="L241" s="54">
        <v>0</v>
      </c>
      <c r="M241" s="94">
        <f t="shared" si="5"/>
        <v>0</v>
      </c>
      <c r="N241" s="53">
        <v>0</v>
      </c>
      <c r="O241" s="136">
        <f t="shared" si="6"/>
        <v>0</v>
      </c>
      <c r="P241" s="25"/>
      <c r="Q241" s="25"/>
      <c r="R241" s="5"/>
    </row>
    <row r="242" spans="1:18" ht="15.6" x14ac:dyDescent="0.3">
      <c r="A242" s="24"/>
      <c r="B242" s="25" t="s">
        <v>129</v>
      </c>
      <c r="C242" s="25"/>
      <c r="D242" s="25"/>
      <c r="E242" s="25"/>
      <c r="F242" s="95"/>
      <c r="G242" s="95"/>
      <c r="H242" s="95"/>
      <c r="I242" s="95"/>
      <c r="J242" s="95"/>
      <c r="K242" s="95"/>
      <c r="L242" s="34">
        <f>SUM(L234:L241)</f>
        <v>1</v>
      </c>
      <c r="M242" s="136">
        <f>SUM(M234:M241)</f>
        <v>1</v>
      </c>
      <c r="N242" s="53">
        <f>SUM(N234:N241)</f>
        <v>39</v>
      </c>
      <c r="O242" s="136">
        <f>SUM(O234:O241)</f>
        <v>1</v>
      </c>
      <c r="P242" s="25"/>
      <c r="Q242" s="25"/>
      <c r="R242" s="5"/>
    </row>
    <row r="243" spans="1:18" ht="15.6" x14ac:dyDescent="0.3">
      <c r="A243" s="24"/>
      <c r="B243" s="25"/>
      <c r="C243" s="25"/>
      <c r="D243" s="25"/>
      <c r="E243" s="25"/>
      <c r="F243" s="95"/>
      <c r="G243" s="95"/>
      <c r="H243" s="95"/>
      <c r="I243" s="95"/>
      <c r="J243" s="95"/>
      <c r="K243" s="95"/>
      <c r="L243" s="34"/>
      <c r="M243" s="136"/>
      <c r="N243" s="53"/>
      <c r="O243" s="136"/>
      <c r="P243" s="25"/>
      <c r="Q243" s="25"/>
      <c r="R243" s="5"/>
    </row>
    <row r="244" spans="1:18" ht="15.6" x14ac:dyDescent="0.3">
      <c r="A244" s="24"/>
      <c r="B244" s="152" t="s">
        <v>240</v>
      </c>
      <c r="C244" s="25"/>
      <c r="D244" s="25"/>
      <c r="E244" s="25"/>
      <c r="F244" s="95"/>
      <c r="G244" s="95"/>
      <c r="H244" s="95"/>
      <c r="I244" s="95"/>
      <c r="J244" s="95"/>
      <c r="K244" s="95"/>
      <c r="L244" s="173">
        <f>+N220+N2331+N242</f>
        <v>815913</v>
      </c>
      <c r="M244" s="136"/>
      <c r="N244" s="153">
        <f>+N242+N231+N220</f>
        <v>819694</v>
      </c>
      <c r="O244" s="136"/>
      <c r="P244" s="25"/>
      <c r="Q244" s="25"/>
      <c r="R244" s="5"/>
    </row>
    <row r="245" spans="1:18" ht="15.6" x14ac:dyDescent="0.3">
      <c r="A245" s="24"/>
      <c r="B245" s="25"/>
      <c r="C245" s="25"/>
      <c r="D245" s="25"/>
      <c r="E245" s="25"/>
      <c r="F245" s="95"/>
      <c r="G245" s="95"/>
      <c r="H245" s="95"/>
      <c r="I245" s="95"/>
      <c r="J245" s="95"/>
      <c r="K245" s="95"/>
      <c r="L245" s="95"/>
      <c r="M245" s="95"/>
      <c r="N245" s="53"/>
      <c r="O245" s="95"/>
      <c r="P245" s="25"/>
      <c r="Q245" s="25"/>
      <c r="R245" s="5"/>
    </row>
    <row r="246" spans="1:18" ht="15.6" x14ac:dyDescent="0.3">
      <c r="A246" s="6"/>
      <c r="B246" s="8"/>
      <c r="C246" s="8"/>
      <c r="D246" s="8"/>
      <c r="E246" s="8"/>
      <c r="F246" s="96"/>
      <c r="G246" s="96"/>
      <c r="H246" s="96"/>
      <c r="I246" s="96"/>
      <c r="J246" s="96"/>
      <c r="K246" s="96"/>
      <c r="L246" s="96"/>
      <c r="M246" s="96"/>
      <c r="N246" s="97"/>
      <c r="O246" s="96"/>
      <c r="P246" s="8"/>
      <c r="Q246" s="8"/>
      <c r="R246" s="5"/>
    </row>
    <row r="247" spans="1:18" ht="15.6" x14ac:dyDescent="0.3">
      <c r="A247" s="145"/>
      <c r="B247" s="14" t="s">
        <v>234</v>
      </c>
      <c r="C247" s="15"/>
      <c r="D247" s="17"/>
      <c r="E247" s="15"/>
      <c r="F247" s="14"/>
      <c r="G247" s="140"/>
      <c r="H247" s="140"/>
      <c r="I247" s="140"/>
      <c r="J247" s="140"/>
      <c r="K247" s="140"/>
      <c r="L247" s="140"/>
      <c r="M247" s="140"/>
      <c r="N247" s="140"/>
      <c r="O247" s="140"/>
      <c r="P247" s="140"/>
      <c r="Q247" s="140"/>
      <c r="R247" s="5"/>
    </row>
    <row r="248" spans="1:18" ht="15.6" x14ac:dyDescent="0.3">
      <c r="A248" s="145"/>
      <c r="B248" s="140"/>
      <c r="C248" s="8"/>
      <c r="D248" s="8"/>
      <c r="E248" s="8"/>
      <c r="F248" s="8"/>
      <c r="G248" s="140"/>
      <c r="H248" s="140"/>
      <c r="I248" s="140"/>
      <c r="J248" s="140"/>
      <c r="K248" s="140"/>
      <c r="L248" s="140"/>
      <c r="M248" s="140"/>
      <c r="N248" s="140"/>
      <c r="O248" s="140"/>
      <c r="P248" s="140"/>
      <c r="Q248" s="140"/>
      <c r="R248" s="5"/>
    </row>
    <row r="249" spans="1:18" ht="15.6" x14ac:dyDescent="0.3">
      <c r="A249" s="145"/>
      <c r="B249" s="13" t="s">
        <v>232</v>
      </c>
      <c r="C249" s="13"/>
      <c r="D249" s="134"/>
      <c r="E249" s="13"/>
      <c r="F249" s="13"/>
      <c r="G249" s="140"/>
      <c r="H249" s="140"/>
      <c r="I249" s="140"/>
      <c r="J249" s="140"/>
      <c r="K249" s="140"/>
      <c r="L249" s="140"/>
      <c r="M249" s="140"/>
      <c r="N249" s="140"/>
      <c r="O249" s="140"/>
      <c r="P249" s="140"/>
      <c r="Q249" s="140"/>
      <c r="R249" s="5"/>
    </row>
    <row r="250" spans="1:18" ht="15.6" x14ac:dyDescent="0.3">
      <c r="A250" s="145"/>
      <c r="B250" s="13" t="s">
        <v>233</v>
      </c>
      <c r="C250" s="13"/>
      <c r="D250" s="134"/>
      <c r="E250" s="13"/>
      <c r="F250" s="13"/>
      <c r="G250" s="140"/>
      <c r="H250" s="140"/>
      <c r="I250" s="140"/>
      <c r="J250" s="140"/>
      <c r="K250" s="140"/>
      <c r="L250" s="140"/>
      <c r="M250" s="140"/>
      <c r="N250" s="140"/>
      <c r="O250" s="140"/>
      <c r="P250" s="140"/>
      <c r="Q250" s="140"/>
      <c r="R250" s="5"/>
    </row>
    <row r="251" spans="1:18" ht="15.6" x14ac:dyDescent="0.3">
      <c r="A251" s="145"/>
      <c r="B251" s="13"/>
      <c r="C251" s="13"/>
      <c r="D251" s="13"/>
      <c r="E251" s="99"/>
      <c r="F251" s="140"/>
      <c r="G251" s="140"/>
      <c r="H251" s="140"/>
      <c r="I251" s="140"/>
      <c r="J251" s="140"/>
      <c r="K251" s="140"/>
      <c r="L251" s="140"/>
      <c r="M251" s="140"/>
      <c r="N251" s="140"/>
      <c r="O251" s="140"/>
      <c r="P251" s="140"/>
      <c r="Q251" s="140"/>
      <c r="R251" s="5"/>
    </row>
    <row r="252" spans="1:18" ht="15.6" x14ac:dyDescent="0.3">
      <c r="A252" s="145"/>
      <c r="B252" s="13"/>
      <c r="C252" s="13"/>
      <c r="D252" s="13"/>
      <c r="E252" s="99"/>
      <c r="F252" s="140"/>
      <c r="G252" s="140"/>
      <c r="H252" s="140"/>
      <c r="I252" s="140"/>
      <c r="J252" s="140"/>
      <c r="K252" s="140"/>
      <c r="L252" s="140"/>
      <c r="M252" s="140"/>
      <c r="N252" s="140"/>
      <c r="O252" s="140"/>
      <c r="P252" s="140"/>
      <c r="Q252" s="140"/>
      <c r="R252" s="5"/>
    </row>
    <row r="253" spans="1:18" ht="18" thickBot="1" x14ac:dyDescent="0.35">
      <c r="A253" s="145"/>
      <c r="B253" s="49" t="str">
        <f>B177</f>
        <v>PM7 INVESTOR REPORT QUARTER ENDING APRIL 2005</v>
      </c>
      <c r="C253" s="13"/>
      <c r="D253" s="13"/>
      <c r="E253" s="99"/>
      <c r="F253" s="140"/>
      <c r="G253" s="140"/>
      <c r="H253" s="140"/>
      <c r="I253" s="140"/>
      <c r="J253" s="140"/>
      <c r="K253" s="140"/>
      <c r="L253" s="140"/>
      <c r="M253" s="140"/>
      <c r="N253" s="140"/>
      <c r="O253" s="140"/>
      <c r="P253" s="140"/>
      <c r="Q253" s="140"/>
      <c r="R253" s="5"/>
    </row>
    <row r="254" spans="1:18" x14ac:dyDescent="0.25">
      <c r="A254" s="100"/>
      <c r="B254" s="100"/>
      <c r="C254" s="100"/>
      <c r="D254" s="100"/>
      <c r="E254" s="100"/>
      <c r="F254" s="100"/>
      <c r="G254" s="100"/>
      <c r="H254" s="100"/>
      <c r="I254" s="100"/>
      <c r="J254" s="100"/>
      <c r="K254" s="100"/>
      <c r="L254" s="100"/>
      <c r="M254" s="100"/>
      <c r="N254" s="100"/>
      <c r="O254" s="100"/>
      <c r="P254" s="100"/>
      <c r="Q254" s="100"/>
    </row>
  </sheetData>
  <phoneticPr fontId="0" type="noConversion"/>
  <printOptions horizontalCentered="1" verticalCentered="1"/>
  <pageMargins left="0.19685039370078741" right="0.19685039370078741" top="0.27559055118110237" bottom="0.27559055118110237" header="0" footer="0"/>
  <pageSetup scale="40" orientation="landscape" r:id="rId1"/>
  <headerFooter alignWithMargins="0"/>
  <rowBreaks count="3" manualBreakCount="3">
    <brk id="64" max="14" man="1"/>
    <brk id="127" max="14" man="1"/>
    <brk id="177" max="1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8E"/>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0.95809999999999995</v>
      </c>
      <c r="N17" s="246" t="s">
        <v>173</v>
      </c>
      <c r="O17" s="245">
        <v>4.19E-2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40955</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292</v>
      </c>
      <c r="E28" s="392"/>
      <c r="F28" s="392" t="s">
        <v>292</v>
      </c>
      <c r="G28" s="392"/>
      <c r="H28" s="392" t="s">
        <v>292</v>
      </c>
      <c r="I28" s="392"/>
      <c r="J28" s="392" t="s">
        <v>262</v>
      </c>
      <c r="K28" s="392"/>
      <c r="L28" s="392" t="s">
        <v>262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174633.79500000001</v>
      </c>
      <c r="E34" s="271"/>
      <c r="F34" s="272">
        <f>+F33*F40</f>
        <v>85351.728000000003</v>
      </c>
      <c r="G34" s="271"/>
      <c r="H34" s="273">
        <f>+H33*H40</f>
        <v>194049.9</v>
      </c>
      <c r="I34" s="271"/>
      <c r="J34" s="270">
        <f>J33*J40</f>
        <v>72053.354999999996</v>
      </c>
      <c r="K34" s="271"/>
      <c r="L34" s="273">
        <f>L33*L40</f>
        <v>56769.284</v>
      </c>
      <c r="M34" s="271"/>
      <c r="N34" s="271"/>
      <c r="O34" s="274"/>
      <c r="P34" s="271"/>
      <c r="Q34" s="275"/>
      <c r="R34" s="5"/>
    </row>
    <row r="35" spans="1:19" ht="15.6" x14ac:dyDescent="0.3">
      <c r="A35" s="265"/>
      <c r="B35" s="266" t="s">
        <v>158</v>
      </c>
      <c r="C35" s="276"/>
      <c r="D35" s="277">
        <f>+D33*D39</f>
        <v>173591.95499999999</v>
      </c>
      <c r="E35" s="278"/>
      <c r="F35" s="279">
        <f>+F33*F39</f>
        <v>84842.559999999998</v>
      </c>
      <c r="G35" s="278"/>
      <c r="H35" s="280">
        <f>+H33*H39</f>
        <v>192892.2</v>
      </c>
      <c r="I35" s="278"/>
      <c r="J35" s="277">
        <f>J33*J39</f>
        <v>71623.497000000003</v>
      </c>
      <c r="K35" s="278"/>
      <c r="L35" s="280">
        <f>L33*L39</f>
        <v>56430.601499999997</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98164.021922428336</v>
      </c>
      <c r="E37" s="271"/>
      <c r="F37" s="271">
        <f>+F34</f>
        <v>85351.728000000003</v>
      </c>
      <c r="G37" s="271"/>
      <c r="H37" s="271">
        <f>+H34/1.481481</f>
        <v>130983.72506971064</v>
      </c>
      <c r="I37" s="271"/>
      <c r="J37" s="271">
        <f>J36*J40</f>
        <v>40501.845875999999</v>
      </c>
      <c r="K37" s="271"/>
      <c r="L37" s="271">
        <f>L36*L40</f>
        <v>38319.2667</v>
      </c>
      <c r="M37" s="271"/>
      <c r="N37" s="271"/>
      <c r="O37" s="274"/>
      <c r="P37" s="271">
        <f>SUM(C37:L37)</f>
        <v>393320.58756813896</v>
      </c>
      <c r="Q37" s="275"/>
      <c r="R37" s="5"/>
      <c r="S37" s="154"/>
    </row>
    <row r="38" spans="1:19" ht="15.6" x14ac:dyDescent="0.3">
      <c r="A38" s="265"/>
      <c r="B38" s="266" t="s">
        <v>281</v>
      </c>
      <c r="C38" s="276"/>
      <c r="D38" s="278">
        <f>D35/1.779</f>
        <v>97578.38954468802</v>
      </c>
      <c r="E38" s="278"/>
      <c r="F38" s="278">
        <f>+F35</f>
        <v>84842.559999999998</v>
      </c>
      <c r="G38" s="278"/>
      <c r="H38" s="278">
        <f>H35/1.481481</f>
        <v>130202.27731574012</v>
      </c>
      <c r="I38" s="278"/>
      <c r="J38" s="278">
        <f>J36*J39</f>
        <v>40260.218786400001</v>
      </c>
      <c r="K38" s="278"/>
      <c r="L38" s="278">
        <f>L36*L39</f>
        <v>38090.656012499996</v>
      </c>
      <c r="M38" s="278"/>
      <c r="N38" s="278"/>
      <c r="O38" s="281"/>
      <c r="P38" s="278">
        <f>SUM(D38:L38)</f>
        <v>390974.10165932809</v>
      </c>
      <c r="Q38" s="275"/>
      <c r="R38" s="5"/>
      <c r="S38" s="176"/>
    </row>
    <row r="39" spans="1:19" ht="15.6" x14ac:dyDescent="0.3">
      <c r="A39" s="265"/>
      <c r="B39" s="282" t="s">
        <v>154</v>
      </c>
      <c r="C39" s="283"/>
      <c r="D39" s="284">
        <v>0.38575989999999999</v>
      </c>
      <c r="E39" s="284"/>
      <c r="F39" s="284">
        <v>0.38564799999999999</v>
      </c>
      <c r="G39" s="284"/>
      <c r="H39" s="284">
        <v>0.38578440000000003</v>
      </c>
      <c r="I39" s="284"/>
      <c r="J39" s="284">
        <v>0.86816360000000004</v>
      </c>
      <c r="K39" s="284"/>
      <c r="L39" s="284">
        <v>0.86816309999999997</v>
      </c>
      <c r="M39" s="285"/>
      <c r="N39" s="285"/>
      <c r="O39" s="286"/>
      <c r="P39" s="285"/>
      <c r="Q39" s="287"/>
      <c r="R39" s="5"/>
    </row>
    <row r="40" spans="1:19" ht="15.6" x14ac:dyDescent="0.3">
      <c r="A40" s="265"/>
      <c r="B40" s="282" t="s">
        <v>155</v>
      </c>
      <c r="C40" s="283"/>
      <c r="D40" s="284">
        <v>0.38807510000000001</v>
      </c>
      <c r="E40" s="284"/>
      <c r="F40" s="284">
        <v>0.38796239999999999</v>
      </c>
      <c r="G40" s="284"/>
      <c r="H40" s="284">
        <v>0.38809979999999999</v>
      </c>
      <c r="I40" s="284"/>
      <c r="J40" s="284">
        <v>0.87337399999999998</v>
      </c>
      <c r="K40" s="284"/>
      <c r="L40" s="284">
        <v>0.87337359999999997</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8.7722000000000008E-3</v>
      </c>
      <c r="E42" s="290"/>
      <c r="F42" s="289">
        <v>1.42763E-2</v>
      </c>
      <c r="G42" s="290"/>
      <c r="H42" s="289">
        <v>1.882E-2</v>
      </c>
      <c r="I42" s="290"/>
      <c r="J42" s="289">
        <v>1.9572200000000001E-2</v>
      </c>
      <c r="K42" s="290"/>
      <c r="L42" s="289">
        <v>2.962E-2</v>
      </c>
      <c r="M42" s="290"/>
      <c r="N42" s="289"/>
      <c r="O42" s="263"/>
      <c r="P42" s="290"/>
      <c r="Q42" s="264"/>
      <c r="R42" s="5"/>
    </row>
    <row r="43" spans="1:19" ht="15.6" x14ac:dyDescent="0.3">
      <c r="A43" s="260"/>
      <c r="B43" s="261" t="s">
        <v>14</v>
      </c>
      <c r="C43" s="261"/>
      <c r="D43" s="289">
        <v>7.0616999999999997E-3</v>
      </c>
      <c r="E43" s="290"/>
      <c r="F43" s="289">
        <v>1.27219E-2</v>
      </c>
      <c r="G43" s="290"/>
      <c r="H43" s="289">
        <v>1.9550000000000001E-2</v>
      </c>
      <c r="I43" s="290"/>
      <c r="J43" s="289">
        <v>1.7861700000000001E-2</v>
      </c>
      <c r="K43" s="290"/>
      <c r="L43" s="289">
        <v>3.0349999999999999E-2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1.6166300000000002E-2</v>
      </c>
      <c r="E45" s="290"/>
      <c r="F45" s="289">
        <f>+F42</f>
        <v>1.42763E-2</v>
      </c>
      <c r="G45" s="290"/>
      <c r="H45" s="289">
        <v>1.5926300000000001E-2</v>
      </c>
      <c r="I45" s="290"/>
      <c r="J45" s="289">
        <v>2.8426300000000002E-2</v>
      </c>
      <c r="K45" s="290"/>
      <c r="L45" s="289">
        <v>2.8426300000000002E-2</v>
      </c>
      <c r="M45" s="290"/>
      <c r="N45" s="289"/>
      <c r="O45" s="263"/>
      <c r="P45" s="290">
        <f>SUMPRODUCT(D45:L45,D37:L37)/P37</f>
        <v>1.813313317552253E-2</v>
      </c>
      <c r="Q45" s="264"/>
      <c r="R45" s="5"/>
    </row>
    <row r="46" spans="1:19" ht="15.6" x14ac:dyDescent="0.3">
      <c r="A46" s="260"/>
      <c r="B46" s="261" t="s">
        <v>283</v>
      </c>
      <c r="C46" s="261"/>
      <c r="D46" s="289">
        <v>1.4611900000000001E-2</v>
      </c>
      <c r="E46" s="290"/>
      <c r="F46" s="289">
        <f>+F43</f>
        <v>1.27219E-2</v>
      </c>
      <c r="G46" s="290"/>
      <c r="H46" s="289">
        <v>1.43719E-2</v>
      </c>
      <c r="I46" s="290"/>
      <c r="J46" s="289">
        <v>2.6871900000000001E-2</v>
      </c>
      <c r="K46" s="290"/>
      <c r="L46" s="289">
        <v>2.6871900000000001E-2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0.25062397181985474</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40954</v>
      </c>
      <c r="Q57" s="264"/>
      <c r="R57" s="5"/>
    </row>
    <row r="58" spans="1:18" ht="15.6" x14ac:dyDescent="0.3">
      <c r="A58" s="260"/>
      <c r="B58" s="261" t="s">
        <v>142</v>
      </c>
      <c r="C58" s="261"/>
      <c r="D58" s="261"/>
      <c r="E58" s="261"/>
      <c r="F58" s="297"/>
      <c r="G58" s="297"/>
      <c r="H58" s="297"/>
      <c r="I58" s="297"/>
      <c r="J58" s="297"/>
      <c r="K58" s="297"/>
      <c r="L58" s="261">
        <f>+P58-N58+1</f>
        <v>92</v>
      </c>
      <c r="M58" s="297"/>
      <c r="N58" s="298">
        <v>40770</v>
      </c>
      <c r="O58" s="299"/>
      <c r="P58" s="298">
        <v>40861</v>
      </c>
      <c r="Q58" s="264"/>
      <c r="R58" s="5"/>
    </row>
    <row r="59" spans="1:18" ht="15.6" x14ac:dyDescent="0.3">
      <c r="A59" s="260"/>
      <c r="B59" s="261" t="s">
        <v>143</v>
      </c>
      <c r="C59" s="261"/>
      <c r="D59" s="261"/>
      <c r="E59" s="261"/>
      <c r="F59" s="261"/>
      <c r="G59" s="261"/>
      <c r="H59" s="261"/>
      <c r="I59" s="261"/>
      <c r="J59" s="261"/>
      <c r="K59" s="261"/>
      <c r="L59" s="261">
        <f>+P59-N59+1</f>
        <v>92</v>
      </c>
      <c r="M59" s="261"/>
      <c r="N59" s="298">
        <v>40862</v>
      </c>
      <c r="O59" s="299"/>
      <c r="P59" s="298">
        <v>40953</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40940</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298</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393321</v>
      </c>
      <c r="I69" s="330"/>
      <c r="J69" s="330">
        <f>2347+132+12</f>
        <v>2491</v>
      </c>
      <c r="K69" s="330"/>
      <c r="L69" s="330">
        <f>132+12</f>
        <v>144</v>
      </c>
      <c r="M69" s="330"/>
      <c r="N69" s="330">
        <v>0</v>
      </c>
      <c r="O69" s="330"/>
      <c r="P69" s="331">
        <f>+H69-J69+L69-N69</f>
        <v>390974</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393321</v>
      </c>
      <c r="I72" s="330"/>
      <c r="J72" s="330">
        <f>SUM(J69:J71)</f>
        <v>2491</v>
      </c>
      <c r="K72" s="330"/>
      <c r="L72" s="330">
        <f>SUM(L69:L71)</f>
        <v>144</v>
      </c>
      <c r="M72" s="330"/>
      <c r="N72" s="330">
        <f>SUM(N69:N71)</f>
        <v>0</v>
      </c>
      <c r="O72" s="330"/>
      <c r="P72" s="330">
        <f>SUM(P69:P71)</f>
        <v>390974</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+N129</f>
        <v>0</v>
      </c>
      <c r="Q85" s="264"/>
      <c r="R85" s="5"/>
    </row>
    <row r="86" spans="1:18" ht="15.6" x14ac:dyDescent="0.3">
      <c r="A86" s="260"/>
      <c r="B86" s="261" t="s">
        <v>30</v>
      </c>
      <c r="C86" s="330"/>
      <c r="D86" s="330"/>
      <c r="E86" s="330"/>
      <c r="F86" s="330">
        <f>SUM(F72:F85)</f>
        <v>900700</v>
      </c>
      <c r="G86" s="330"/>
      <c r="H86" s="330">
        <f>SUM(H72:H85)</f>
        <v>393321</v>
      </c>
      <c r="I86" s="330"/>
      <c r="J86" s="330">
        <f>SUM(J72:J85)</f>
        <v>2491</v>
      </c>
      <c r="K86" s="330"/>
      <c r="L86" s="330">
        <f>SUM(L72:L85)</f>
        <v>144</v>
      </c>
      <c r="M86" s="330"/>
      <c r="N86" s="330"/>
      <c r="O86" s="330"/>
      <c r="P86" s="330">
        <f>SUM(P72:P85)</f>
        <v>390974</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40939</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2491-202</f>
        <v>2289</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3388+150-791-37</f>
        <v>2710</v>
      </c>
      <c r="Q92" s="264"/>
      <c r="R92" s="5"/>
    </row>
    <row r="93" spans="1:18" ht="15.6" x14ac:dyDescent="0.3">
      <c r="A93" s="260"/>
      <c r="B93" s="261" t="s">
        <v>249</v>
      </c>
      <c r="C93" s="261"/>
      <c r="D93" s="261"/>
      <c r="E93" s="261"/>
      <c r="F93" s="292"/>
      <c r="G93" s="332"/>
      <c r="H93" s="333"/>
      <c r="I93" s="261"/>
      <c r="J93" s="261"/>
      <c r="K93" s="261"/>
      <c r="L93" s="261"/>
      <c r="M93" s="261"/>
      <c r="N93" s="330"/>
      <c r="O93" s="261"/>
      <c r="P93" s="331">
        <v>46</v>
      </c>
      <c r="Q93" s="264"/>
      <c r="R93" s="5"/>
    </row>
    <row r="94" spans="1:18" ht="15.6" x14ac:dyDescent="0.3">
      <c r="A94" s="260"/>
      <c r="B94" s="261" t="s">
        <v>250</v>
      </c>
      <c r="C94" s="261"/>
      <c r="D94" s="261"/>
      <c r="E94" s="261"/>
      <c r="F94" s="292"/>
      <c r="G94" s="332"/>
      <c r="H94" s="333"/>
      <c r="I94" s="261"/>
      <c r="J94" s="261"/>
      <c r="K94" s="261"/>
      <c r="L94" s="261"/>
      <c r="M94" s="261"/>
      <c r="N94" s="330"/>
      <c r="O94" s="261"/>
      <c r="P94" s="331">
        <v>39</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279</v>
      </c>
      <c r="Q97" s="264"/>
      <c r="R97" s="5"/>
    </row>
    <row r="98" spans="1:19" ht="15.6" x14ac:dyDescent="0.3">
      <c r="A98" s="260"/>
      <c r="B98" s="261" t="s">
        <v>35</v>
      </c>
      <c r="C98" s="261"/>
      <c r="D98" s="261"/>
      <c r="E98" s="261"/>
      <c r="F98" s="261"/>
      <c r="G98" s="261"/>
      <c r="H98" s="261"/>
      <c r="I98" s="261"/>
      <c r="J98" s="261"/>
      <c r="K98" s="261"/>
      <c r="L98" s="261"/>
      <c r="M98" s="261"/>
      <c r="N98" s="330">
        <f>SUM(N90:N97)</f>
        <v>2289</v>
      </c>
      <c r="O98" s="261"/>
      <c r="P98" s="330">
        <f>SUM(P90:P97)</f>
        <v>3074</v>
      </c>
      <c r="Q98" s="264"/>
      <c r="R98" s="5"/>
    </row>
    <row r="99" spans="1:19" ht="15.6" x14ac:dyDescent="0.3">
      <c r="A99" s="260"/>
      <c r="B99" s="261" t="s">
        <v>237</v>
      </c>
      <c r="C99" s="261"/>
      <c r="D99" s="261"/>
      <c r="E99" s="261"/>
      <c r="F99" s="261"/>
      <c r="G99" s="261"/>
      <c r="H99" s="261"/>
      <c r="I99" s="261"/>
      <c r="J99" s="261"/>
      <c r="K99" s="261"/>
      <c r="L99" s="261"/>
      <c r="M99" s="261"/>
      <c r="N99" s="330">
        <v>-1</v>
      </c>
      <c r="O99" s="261"/>
      <c r="P99" s="330">
        <f>-N99</f>
        <v>1</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7</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2288</v>
      </c>
      <c r="O102" s="261"/>
      <c r="P102" s="330">
        <f>P98+P100+P99+P101</f>
        <v>3082</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40</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226</v>
      </c>
      <c r="C106" s="261"/>
      <c r="D106" s="261"/>
      <c r="E106" s="261"/>
      <c r="F106" s="261"/>
      <c r="G106" s="261"/>
      <c r="H106" s="261"/>
      <c r="I106" s="261"/>
      <c r="J106" s="261"/>
      <c r="K106" s="261"/>
      <c r="L106" s="261"/>
      <c r="M106" s="261"/>
      <c r="N106" s="261"/>
      <c r="O106" s="261"/>
      <c r="P106" s="331">
        <f>-99-106-5</f>
        <v>-210</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-44</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-399</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-306</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-525</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-289</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-274</v>
      </c>
      <c r="Q112" s="264"/>
      <c r="R112" s="5"/>
      <c r="S112" s="109"/>
    </row>
    <row r="113" spans="1:18" ht="15.6" x14ac:dyDescent="0.3">
      <c r="A113" s="339">
        <v>6</v>
      </c>
      <c r="B113" s="261" t="s">
        <v>41</v>
      </c>
      <c r="C113" s="261"/>
      <c r="D113" s="261"/>
      <c r="E113" s="261"/>
      <c r="F113" s="261"/>
      <c r="G113" s="261"/>
      <c r="H113" s="261"/>
      <c r="I113" s="261"/>
      <c r="J113" s="261"/>
      <c r="K113" s="261"/>
      <c r="L113" s="261"/>
      <c r="M113" s="261"/>
      <c r="N113" s="261"/>
      <c r="O113" s="261"/>
      <c r="P113" s="331">
        <v>-10</v>
      </c>
      <c r="Q113" s="264"/>
      <c r="R113" s="5"/>
    </row>
    <row r="114" spans="1:18" ht="15.6" x14ac:dyDescent="0.3">
      <c r="A114" s="339">
        <f t="shared" ref="A114:A119" si="0">+A113+1</f>
        <v>7</v>
      </c>
      <c r="B114" s="261" t="s">
        <v>53</v>
      </c>
      <c r="C114" s="261"/>
      <c r="D114" s="261"/>
      <c r="E114" s="261"/>
      <c r="F114" s="261"/>
      <c r="G114" s="261"/>
      <c r="H114" s="261"/>
      <c r="I114" s="261"/>
      <c r="J114" s="261"/>
      <c r="K114" s="261"/>
      <c r="L114" s="261"/>
      <c r="M114" s="261"/>
      <c r="N114" s="330">
        <f>-P114</f>
        <v>202</v>
      </c>
      <c r="O114" s="261"/>
      <c r="P114" s="331">
        <v>-202</v>
      </c>
      <c r="Q114" s="264"/>
      <c r="R114" s="5"/>
    </row>
    <row r="115" spans="1:18" ht="15.6" x14ac:dyDescent="0.3">
      <c r="A115" s="339">
        <f t="shared" si="0"/>
        <v>8</v>
      </c>
      <c r="B115" s="261" t="s">
        <v>149</v>
      </c>
      <c r="C115" s="261"/>
      <c r="D115" s="261"/>
      <c r="E115" s="261"/>
      <c r="F115" s="261"/>
      <c r="G115" s="261"/>
      <c r="H115" s="261"/>
      <c r="I115" s="261"/>
      <c r="J115" s="261"/>
      <c r="K115" s="261"/>
      <c r="L115" s="261"/>
      <c r="M115" s="261"/>
      <c r="N115" s="261"/>
      <c r="O115" s="261"/>
      <c r="P115" s="331">
        <v>0</v>
      </c>
      <c r="Q115" s="264"/>
      <c r="R115" s="5"/>
    </row>
    <row r="116" spans="1:18" ht="15.6" x14ac:dyDescent="0.3">
      <c r="A116" s="339">
        <f t="shared" si="0"/>
        <v>9</v>
      </c>
      <c r="B116" s="261" t="s">
        <v>42</v>
      </c>
      <c r="C116" s="261"/>
      <c r="D116" s="261"/>
      <c r="E116" s="261"/>
      <c r="F116" s="261"/>
      <c r="G116" s="261"/>
      <c r="H116" s="261"/>
      <c r="I116" s="261"/>
      <c r="J116" s="261"/>
      <c r="K116" s="261"/>
      <c r="L116" s="261"/>
      <c r="M116" s="261"/>
      <c r="N116" s="261"/>
      <c r="O116" s="261"/>
      <c r="P116" s="331">
        <v>0</v>
      </c>
      <c r="Q116" s="264"/>
      <c r="R116" s="5"/>
    </row>
    <row r="117" spans="1:18" ht="15.6" x14ac:dyDescent="0.3">
      <c r="A117" s="339">
        <f t="shared" si="0"/>
        <v>10</v>
      </c>
      <c r="B117" s="261" t="s">
        <v>43</v>
      </c>
      <c r="C117" s="261"/>
      <c r="D117" s="261"/>
      <c r="E117" s="261"/>
      <c r="F117" s="261"/>
      <c r="G117" s="261"/>
      <c r="H117" s="261"/>
      <c r="I117" s="261"/>
      <c r="J117" s="261"/>
      <c r="K117" s="261"/>
      <c r="L117" s="261"/>
      <c r="M117" s="261"/>
      <c r="N117" s="261"/>
      <c r="O117" s="261"/>
      <c r="P117" s="331">
        <v>0</v>
      </c>
      <c r="Q117" s="264"/>
      <c r="R117" s="5"/>
    </row>
    <row r="118" spans="1:18" ht="15.6" x14ac:dyDescent="0.3">
      <c r="A118" s="339">
        <f t="shared" si="0"/>
        <v>11</v>
      </c>
      <c r="B118" s="261" t="s">
        <v>215</v>
      </c>
      <c r="C118" s="261"/>
      <c r="D118" s="261"/>
      <c r="E118" s="261"/>
      <c r="F118" s="261"/>
      <c r="G118" s="261"/>
      <c r="H118" s="261"/>
      <c r="I118" s="261"/>
      <c r="J118" s="261"/>
      <c r="K118" s="261"/>
      <c r="L118" s="261"/>
      <c r="M118" s="261"/>
      <c r="N118" s="261"/>
      <c r="O118" s="261"/>
      <c r="P118" s="331">
        <v>-202</v>
      </c>
      <c r="Q118" s="264"/>
      <c r="R118" s="5"/>
    </row>
    <row r="119" spans="1:18" ht="15.6" x14ac:dyDescent="0.3">
      <c r="A119" s="339">
        <f t="shared" si="0"/>
        <v>12</v>
      </c>
      <c r="B119" s="261" t="s">
        <v>150</v>
      </c>
      <c r="C119" s="261"/>
      <c r="D119" s="261"/>
      <c r="E119" s="261"/>
      <c r="F119" s="261"/>
      <c r="G119" s="261"/>
      <c r="H119" s="261"/>
      <c r="I119" s="261"/>
      <c r="J119" s="261"/>
      <c r="K119" s="261"/>
      <c r="L119" s="261"/>
      <c r="M119" s="261"/>
      <c r="N119" s="261"/>
      <c r="O119" s="261"/>
      <c r="P119" s="331">
        <f>-P102-SUM(P104:P118)</f>
        <v>-619</v>
      </c>
      <c r="Q119" s="264"/>
      <c r="R119" s="5"/>
    </row>
    <row r="120" spans="1:18" ht="15.6" x14ac:dyDescent="0.3">
      <c r="A120" s="260"/>
      <c r="B120" s="334" t="s">
        <v>44</v>
      </c>
      <c r="C120" s="335"/>
      <c r="D120" s="335"/>
      <c r="E120" s="335"/>
      <c r="F120" s="335"/>
      <c r="G120" s="335"/>
      <c r="H120" s="335"/>
      <c r="I120" s="335"/>
      <c r="J120" s="335"/>
      <c r="K120" s="335"/>
      <c r="L120" s="335"/>
      <c r="M120" s="335"/>
      <c r="N120" s="335"/>
      <c r="O120" s="335"/>
      <c r="P120" s="340"/>
      <c r="Q120" s="338"/>
      <c r="R120" s="5"/>
    </row>
    <row r="121" spans="1:18" ht="15.6" x14ac:dyDescent="0.3">
      <c r="A121" s="339"/>
      <c r="B121" s="261" t="s">
        <v>45</v>
      </c>
      <c r="C121" s="261"/>
      <c r="D121" s="261"/>
      <c r="E121" s="261"/>
      <c r="F121" s="261"/>
      <c r="G121" s="261"/>
      <c r="H121" s="261"/>
      <c r="I121" s="261"/>
      <c r="J121" s="261"/>
      <c r="K121" s="261"/>
      <c r="L121" s="261"/>
      <c r="M121" s="261"/>
      <c r="N121" s="330">
        <v>0</v>
      </c>
      <c r="O121" s="330"/>
      <c r="P121" s="331"/>
      <c r="Q121" s="264"/>
      <c r="R121" s="5"/>
    </row>
    <row r="122" spans="1:18" ht="15.6" x14ac:dyDescent="0.3">
      <c r="A122" s="339"/>
      <c r="B122" s="261" t="s">
        <v>46</v>
      </c>
      <c r="C122" s="261"/>
      <c r="D122" s="261"/>
      <c r="E122" s="261"/>
      <c r="F122" s="261"/>
      <c r="G122" s="261"/>
      <c r="H122" s="261"/>
      <c r="I122" s="261"/>
      <c r="J122" s="261"/>
      <c r="K122" s="261"/>
      <c r="L122" s="261"/>
      <c r="M122" s="261"/>
      <c r="N122" s="330">
        <f>-M171</f>
        <v>-143</v>
      </c>
      <c r="O122" s="330"/>
      <c r="P122" s="331"/>
      <c r="Q122" s="264"/>
      <c r="R122" s="5"/>
    </row>
    <row r="123" spans="1:18" ht="15.6" x14ac:dyDescent="0.3">
      <c r="A123" s="339"/>
      <c r="B123" s="261" t="s">
        <v>199</v>
      </c>
      <c r="C123" s="261"/>
      <c r="D123" s="261"/>
      <c r="E123" s="261"/>
      <c r="F123" s="261"/>
      <c r="G123" s="261"/>
      <c r="H123" s="261"/>
      <c r="I123" s="261"/>
      <c r="J123" s="261"/>
      <c r="K123" s="261"/>
      <c r="L123" s="261"/>
      <c r="M123" s="261"/>
      <c r="N123" s="330">
        <v>-586</v>
      </c>
      <c r="O123" s="330"/>
      <c r="P123" s="331"/>
      <c r="Q123" s="264"/>
      <c r="R123" s="5"/>
    </row>
    <row r="124" spans="1:18" ht="15.6" x14ac:dyDescent="0.3">
      <c r="A124" s="339"/>
      <c r="B124" s="261" t="s">
        <v>200</v>
      </c>
      <c r="C124" s="261"/>
      <c r="D124" s="261"/>
      <c r="E124" s="261"/>
      <c r="F124" s="261"/>
      <c r="G124" s="261"/>
      <c r="H124" s="261"/>
      <c r="I124" s="261"/>
      <c r="J124" s="261"/>
      <c r="K124" s="261"/>
      <c r="L124" s="261"/>
      <c r="M124" s="261"/>
      <c r="N124" s="330">
        <v>-509</v>
      </c>
      <c r="O124" s="330"/>
      <c r="P124" s="331"/>
      <c r="Q124" s="264"/>
      <c r="R124" s="5"/>
    </row>
    <row r="125" spans="1:18" ht="15.6" x14ac:dyDescent="0.3">
      <c r="A125" s="339"/>
      <c r="B125" s="261" t="s">
        <v>201</v>
      </c>
      <c r="C125" s="261"/>
      <c r="D125" s="261"/>
      <c r="E125" s="261"/>
      <c r="F125" s="261"/>
      <c r="G125" s="261"/>
      <c r="H125" s="261"/>
      <c r="I125" s="261"/>
      <c r="J125" s="261"/>
      <c r="K125" s="261"/>
      <c r="L125" s="261"/>
      <c r="M125" s="261"/>
      <c r="N125" s="330">
        <v>-781</v>
      </c>
      <c r="O125" s="330"/>
      <c r="P125" s="331"/>
      <c r="Q125" s="264"/>
      <c r="R125" s="5"/>
    </row>
    <row r="126" spans="1:18" ht="15.6" x14ac:dyDescent="0.3">
      <c r="A126" s="339"/>
      <c r="B126" s="261" t="s">
        <v>159</v>
      </c>
      <c r="C126" s="261"/>
      <c r="D126" s="261"/>
      <c r="E126" s="261"/>
      <c r="F126" s="261"/>
      <c r="G126" s="261"/>
      <c r="H126" s="261"/>
      <c r="I126" s="261"/>
      <c r="J126" s="261"/>
      <c r="K126" s="261"/>
      <c r="L126" s="261"/>
      <c r="M126" s="261"/>
      <c r="N126" s="330">
        <v>-242</v>
      </c>
      <c r="O126" s="330"/>
      <c r="P126" s="331"/>
      <c r="Q126" s="264"/>
      <c r="R126" s="5"/>
    </row>
    <row r="127" spans="1:18" ht="15.6" x14ac:dyDescent="0.3">
      <c r="A127" s="339"/>
      <c r="B127" s="261" t="s">
        <v>214</v>
      </c>
      <c r="C127" s="261"/>
      <c r="D127" s="261"/>
      <c r="E127" s="261"/>
      <c r="F127" s="261"/>
      <c r="G127" s="261"/>
      <c r="H127" s="261"/>
      <c r="I127" s="261"/>
      <c r="J127" s="261"/>
      <c r="K127" s="261"/>
      <c r="L127" s="261"/>
      <c r="M127" s="261"/>
      <c r="N127" s="330">
        <v>-229</v>
      </c>
      <c r="O127" s="330"/>
      <c r="P127" s="331"/>
      <c r="Q127" s="264"/>
      <c r="R127" s="5"/>
    </row>
    <row r="128" spans="1:18" ht="15.6" x14ac:dyDescent="0.3">
      <c r="A128" s="339"/>
      <c r="B128" s="261" t="s">
        <v>47</v>
      </c>
      <c r="C128" s="261"/>
      <c r="D128" s="261"/>
      <c r="E128" s="261"/>
      <c r="F128" s="261"/>
      <c r="G128" s="261"/>
      <c r="H128" s="261"/>
      <c r="I128" s="261"/>
      <c r="J128" s="261"/>
      <c r="K128" s="261"/>
      <c r="L128" s="261"/>
      <c r="M128" s="261"/>
      <c r="N128" s="330">
        <f>SUM(N121:N127)</f>
        <v>-2490</v>
      </c>
      <c r="O128" s="330"/>
      <c r="P128" s="330">
        <f>SUM(P103:P127)</f>
        <v>-3082</v>
      </c>
      <c r="Q128" s="264"/>
      <c r="R128" s="5"/>
    </row>
    <row r="129" spans="1:19" ht="15.6" x14ac:dyDescent="0.3">
      <c r="A129" s="339"/>
      <c r="B129" s="261" t="s">
        <v>48</v>
      </c>
      <c r="C129" s="261"/>
      <c r="D129" s="261"/>
      <c r="E129" s="261"/>
      <c r="F129" s="261"/>
      <c r="G129" s="261"/>
      <c r="H129" s="261"/>
      <c r="I129" s="261"/>
      <c r="J129" s="261"/>
      <c r="K129" s="261"/>
      <c r="L129" s="261"/>
      <c r="M129" s="261"/>
      <c r="N129" s="330">
        <f>N102+N128+N114</f>
        <v>0</v>
      </c>
      <c r="O129" s="330"/>
      <c r="P129" s="330">
        <f>P102+P128</f>
        <v>0</v>
      </c>
      <c r="Q129" s="264"/>
      <c r="R129" s="5"/>
    </row>
    <row r="130" spans="1:19" ht="15.6" x14ac:dyDescent="0.3">
      <c r="A130" s="301"/>
      <c r="B130" s="257"/>
      <c r="C130" s="257"/>
      <c r="D130" s="257"/>
      <c r="E130" s="257"/>
      <c r="F130" s="257"/>
      <c r="G130" s="257"/>
      <c r="H130" s="257"/>
      <c r="I130" s="257"/>
      <c r="J130" s="257"/>
      <c r="K130" s="257"/>
      <c r="L130" s="257"/>
      <c r="M130" s="257"/>
      <c r="N130" s="302"/>
      <c r="O130" s="302"/>
      <c r="P130" s="302"/>
      <c r="Q130" s="257"/>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8" thickBot="1" x14ac:dyDescent="0.35">
      <c r="A132" s="303"/>
      <c r="B132" s="239" t="str">
        <f>B65</f>
        <v>PM7 INVESTOR REPORT QUARTER ENDING JANUARY 2012</v>
      </c>
      <c r="C132" s="240"/>
      <c r="D132" s="240"/>
      <c r="E132" s="240"/>
      <c r="F132" s="240"/>
      <c r="G132" s="240"/>
      <c r="H132" s="240"/>
      <c r="I132" s="240"/>
      <c r="J132" s="240"/>
      <c r="K132" s="240"/>
      <c r="L132" s="240"/>
      <c r="M132" s="240"/>
      <c r="N132" s="240"/>
      <c r="O132" s="240"/>
      <c r="P132" s="304"/>
      <c r="Q132" s="242"/>
      <c r="R132" s="5"/>
    </row>
    <row r="133" spans="1:19" ht="15.6" x14ac:dyDescent="0.3">
      <c r="A133" s="323"/>
      <c r="B133" s="397" t="s">
        <v>49</v>
      </c>
      <c r="C133" s="326"/>
      <c r="D133" s="326"/>
      <c r="E133" s="326"/>
      <c r="F133" s="326"/>
      <c r="G133" s="326"/>
      <c r="H133" s="326"/>
      <c r="I133" s="326"/>
      <c r="J133" s="326"/>
      <c r="K133" s="326"/>
      <c r="L133" s="326"/>
      <c r="M133" s="326"/>
      <c r="N133" s="326"/>
      <c r="O133" s="326"/>
      <c r="P133" s="328"/>
      <c r="Q133" s="326"/>
      <c r="R133" s="5"/>
    </row>
    <row r="134" spans="1:19" ht="15.6" x14ac:dyDescent="0.3">
      <c r="A134" s="183"/>
      <c r="B134" s="196"/>
      <c r="C134" s="185"/>
      <c r="D134" s="185"/>
      <c r="E134" s="185"/>
      <c r="F134" s="185"/>
      <c r="G134" s="185"/>
      <c r="H134" s="185"/>
      <c r="I134" s="185"/>
      <c r="J134" s="185"/>
      <c r="K134" s="185"/>
      <c r="L134" s="185"/>
      <c r="M134" s="185"/>
      <c r="N134" s="185"/>
      <c r="O134" s="185"/>
      <c r="P134" s="201"/>
      <c r="Q134" s="185"/>
      <c r="R134" s="5"/>
    </row>
    <row r="135" spans="1:19" ht="15.6" x14ac:dyDescent="0.3">
      <c r="A135" s="183"/>
      <c r="B135" s="209" t="s">
        <v>50</v>
      </c>
      <c r="C135" s="185"/>
      <c r="D135" s="185"/>
      <c r="E135" s="185"/>
      <c r="F135" s="185"/>
      <c r="G135" s="185"/>
      <c r="H135" s="185"/>
      <c r="I135" s="185"/>
      <c r="J135" s="185"/>
      <c r="K135" s="185"/>
      <c r="L135" s="185"/>
      <c r="M135" s="185"/>
      <c r="N135" s="185"/>
      <c r="O135" s="185"/>
      <c r="P135" s="201"/>
      <c r="Q135" s="185"/>
      <c r="R135" s="5"/>
    </row>
    <row r="136" spans="1:19" ht="15.6" x14ac:dyDescent="0.3">
      <c r="A136" s="260"/>
      <c r="B136" s="261" t="s">
        <v>51</v>
      </c>
      <c r="C136" s="261"/>
      <c r="D136" s="261"/>
      <c r="E136" s="261"/>
      <c r="F136" s="261"/>
      <c r="G136" s="261"/>
      <c r="H136" s="261"/>
      <c r="I136" s="261"/>
      <c r="J136" s="261"/>
      <c r="K136" s="261"/>
      <c r="L136" s="261"/>
      <c r="M136" s="261"/>
      <c r="N136" s="261"/>
      <c r="O136" s="261"/>
      <c r="P136" s="331">
        <f>+P36*0.022</f>
        <v>19815.399999999998</v>
      </c>
      <c r="Q136" s="264"/>
      <c r="R136" s="5"/>
    </row>
    <row r="137" spans="1:19" ht="15.6" x14ac:dyDescent="0.3">
      <c r="A137" s="260"/>
      <c r="B137" s="261" t="s">
        <v>52</v>
      </c>
      <c r="C137" s="261"/>
      <c r="D137" s="261"/>
      <c r="E137" s="261"/>
      <c r="F137" s="261"/>
      <c r="G137" s="261"/>
      <c r="H137" s="261"/>
      <c r="I137" s="261"/>
      <c r="J137" s="261"/>
      <c r="K137" s="261"/>
      <c r="L137" s="261"/>
      <c r="M137" s="261"/>
      <c r="N137" s="261"/>
      <c r="O137" s="261"/>
      <c r="P137" s="331">
        <v>19815</v>
      </c>
      <c r="Q137" s="264"/>
      <c r="R137" s="5"/>
    </row>
    <row r="138" spans="1:19" ht="15.6" x14ac:dyDescent="0.3">
      <c r="A138" s="260"/>
      <c r="B138" s="261" t="s">
        <v>161</v>
      </c>
      <c r="C138" s="261"/>
      <c r="D138" s="261"/>
      <c r="E138" s="261"/>
      <c r="F138" s="261"/>
      <c r="G138" s="261"/>
      <c r="H138" s="261"/>
      <c r="I138" s="261"/>
      <c r="J138" s="261"/>
      <c r="K138" s="261"/>
      <c r="L138" s="261"/>
      <c r="M138" s="261"/>
      <c r="N138" s="261"/>
      <c r="O138" s="261"/>
      <c r="P138" s="331">
        <v>0</v>
      </c>
      <c r="Q138" s="264"/>
      <c r="R138" s="5"/>
    </row>
    <row r="139" spans="1:19" ht="15.6" x14ac:dyDescent="0.3">
      <c r="A139" s="260"/>
      <c r="B139" s="261" t="s">
        <v>144</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145</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53</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153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202</v>
      </c>
      <c r="C143" s="261"/>
      <c r="D143" s="261"/>
      <c r="E143" s="261"/>
      <c r="F143" s="261"/>
      <c r="G143" s="261"/>
      <c r="H143" s="261"/>
      <c r="I143" s="261"/>
      <c r="J143" s="261"/>
      <c r="K143" s="261"/>
      <c r="L143" s="261"/>
      <c r="M143" s="261"/>
      <c r="N143" s="261"/>
      <c r="O143" s="261"/>
      <c r="P143" s="331">
        <v>0</v>
      </c>
      <c r="Q143" s="264"/>
      <c r="R143" s="5"/>
      <c r="S143" s="109"/>
    </row>
    <row r="144" spans="1:19" ht="15.6" x14ac:dyDescent="0.3">
      <c r="A144" s="260"/>
      <c r="B144" s="261" t="s">
        <v>54</v>
      </c>
      <c r="C144" s="261"/>
      <c r="D144" s="261"/>
      <c r="E144" s="261"/>
      <c r="F144" s="261"/>
      <c r="G144" s="261"/>
      <c r="H144" s="261"/>
      <c r="I144" s="261"/>
      <c r="J144" s="261"/>
      <c r="K144" s="261"/>
      <c r="L144" s="261"/>
      <c r="M144" s="261"/>
      <c r="N144" s="261"/>
      <c r="O144" s="261"/>
      <c r="P144" s="331">
        <f>SUM(P137:P143)</f>
        <v>19815</v>
      </c>
      <c r="Q144" s="264"/>
      <c r="R144" s="5"/>
    </row>
    <row r="145" spans="1:18" ht="15.6" x14ac:dyDescent="0.3">
      <c r="A145" s="183"/>
      <c r="B145" s="190"/>
      <c r="C145" s="190"/>
      <c r="D145" s="190"/>
      <c r="E145" s="190"/>
      <c r="F145" s="190"/>
      <c r="G145" s="190"/>
      <c r="H145" s="190"/>
      <c r="I145" s="190"/>
      <c r="J145" s="190"/>
      <c r="K145" s="190"/>
      <c r="L145" s="190"/>
      <c r="M145" s="190"/>
      <c r="N145" s="190"/>
      <c r="O145" s="190"/>
      <c r="P145" s="341"/>
      <c r="Q145" s="190"/>
      <c r="R145" s="5"/>
    </row>
    <row r="146" spans="1:18" ht="15.6" x14ac:dyDescent="0.3">
      <c r="A146" s="183"/>
      <c r="B146" s="209" t="s">
        <v>28</v>
      </c>
      <c r="C146" s="185"/>
      <c r="D146" s="185"/>
      <c r="E146" s="185"/>
      <c r="F146" s="185"/>
      <c r="G146" s="185"/>
      <c r="H146" s="185"/>
      <c r="I146" s="185"/>
      <c r="J146" s="185"/>
      <c r="K146" s="185"/>
      <c r="L146" s="185"/>
      <c r="M146" s="185"/>
      <c r="N146" s="185"/>
      <c r="O146" s="185"/>
      <c r="P146" s="201"/>
      <c r="Q146" s="185"/>
      <c r="R146" s="5"/>
    </row>
    <row r="147" spans="1:18" ht="15.6" x14ac:dyDescent="0.3">
      <c r="A147" s="260"/>
      <c r="B147" s="261" t="s">
        <v>55</v>
      </c>
      <c r="C147" s="261"/>
      <c r="D147" s="261"/>
      <c r="E147" s="261"/>
      <c r="F147" s="261"/>
      <c r="G147" s="261"/>
      <c r="H147" s="261"/>
      <c r="I147" s="261"/>
      <c r="J147" s="261"/>
      <c r="K147" s="261"/>
      <c r="L147" s="261"/>
      <c r="M147" s="261"/>
      <c r="N147" s="261"/>
      <c r="O147" s="261"/>
      <c r="P147" s="342" t="s">
        <v>137</v>
      </c>
      <c r="Q147" s="338"/>
      <c r="R147" s="5"/>
    </row>
    <row r="148" spans="1:18" ht="15.6" x14ac:dyDescent="0.3">
      <c r="A148" s="260"/>
      <c r="B148" s="261" t="s">
        <v>56</v>
      </c>
      <c r="C148" s="263"/>
      <c r="D148" s="263"/>
      <c r="E148" s="263"/>
      <c r="F148" s="263"/>
      <c r="G148" s="263"/>
      <c r="H148" s="263"/>
      <c r="I148" s="263"/>
      <c r="J148" s="263"/>
      <c r="K148" s="263"/>
      <c r="L148" s="263"/>
      <c r="M148" s="263"/>
      <c r="N148" s="263"/>
      <c r="O148" s="263"/>
      <c r="P148" s="342" t="s">
        <v>137</v>
      </c>
      <c r="Q148" s="338"/>
      <c r="R148" s="5"/>
    </row>
    <row r="149" spans="1:18" ht="15.6" x14ac:dyDescent="0.3">
      <c r="A149" s="260"/>
      <c r="B149" s="261" t="s">
        <v>57</v>
      </c>
      <c r="C149" s="261"/>
      <c r="D149" s="261"/>
      <c r="E149" s="261"/>
      <c r="F149" s="261"/>
      <c r="G149" s="261"/>
      <c r="H149" s="261"/>
      <c r="I149" s="261"/>
      <c r="J149" s="261"/>
      <c r="K149" s="261"/>
      <c r="L149" s="261"/>
      <c r="M149" s="261"/>
      <c r="N149" s="261"/>
      <c r="O149" s="261"/>
      <c r="P149" s="342" t="s">
        <v>137</v>
      </c>
      <c r="Q149" s="338"/>
      <c r="R149" s="5"/>
    </row>
    <row r="150" spans="1:18" ht="15.6" x14ac:dyDescent="0.3">
      <c r="A150" s="260"/>
      <c r="B150" s="261" t="s">
        <v>58</v>
      </c>
      <c r="C150" s="261"/>
      <c r="D150" s="261"/>
      <c r="E150" s="261"/>
      <c r="F150" s="261"/>
      <c r="G150" s="261"/>
      <c r="H150" s="261"/>
      <c r="I150" s="261"/>
      <c r="J150" s="261"/>
      <c r="K150" s="261"/>
      <c r="L150" s="261"/>
      <c r="M150" s="261"/>
      <c r="N150" s="261"/>
      <c r="O150" s="261"/>
      <c r="P150" s="342" t="s">
        <v>137</v>
      </c>
      <c r="Q150" s="338"/>
      <c r="R150" s="5"/>
    </row>
    <row r="151" spans="1:18" ht="15.6" x14ac:dyDescent="0.3">
      <c r="A151" s="183"/>
      <c r="B151" s="190"/>
      <c r="C151" s="190"/>
      <c r="D151" s="190"/>
      <c r="E151" s="190"/>
      <c r="F151" s="190"/>
      <c r="G151" s="190"/>
      <c r="H151" s="190"/>
      <c r="I151" s="190"/>
      <c r="J151" s="190"/>
      <c r="K151" s="190"/>
      <c r="L151" s="190"/>
      <c r="M151" s="190"/>
      <c r="N151" s="190"/>
      <c r="O151" s="190"/>
      <c r="P151" s="341"/>
      <c r="Q151" s="190"/>
      <c r="R151" s="5"/>
    </row>
    <row r="152" spans="1:18" ht="15.6" x14ac:dyDescent="0.3">
      <c r="A152" s="183"/>
      <c r="B152" s="209" t="s">
        <v>59</v>
      </c>
      <c r="C152" s="185"/>
      <c r="D152" s="185"/>
      <c r="E152" s="185"/>
      <c r="F152" s="185"/>
      <c r="G152" s="185"/>
      <c r="H152" s="185"/>
      <c r="I152" s="185"/>
      <c r="J152" s="185"/>
      <c r="K152" s="185"/>
      <c r="L152" s="185"/>
      <c r="M152" s="185"/>
      <c r="N152" s="185"/>
      <c r="O152" s="185"/>
      <c r="P152" s="210"/>
      <c r="Q152" s="185"/>
      <c r="R152" s="5"/>
    </row>
    <row r="153" spans="1:18" ht="15.6" x14ac:dyDescent="0.3">
      <c r="A153" s="260"/>
      <c r="B153" s="261" t="s">
        <v>60</v>
      </c>
      <c r="C153" s="261"/>
      <c r="D153" s="261"/>
      <c r="E153" s="261"/>
      <c r="F153" s="261"/>
      <c r="G153" s="261"/>
      <c r="H153" s="261"/>
      <c r="I153" s="261"/>
      <c r="J153" s="261"/>
      <c r="K153" s="261"/>
      <c r="L153" s="261"/>
      <c r="M153" s="261"/>
      <c r="N153" s="261"/>
      <c r="O153" s="261"/>
      <c r="P153" s="331">
        <v>0</v>
      </c>
      <c r="Q153" s="264"/>
      <c r="R153" s="5"/>
    </row>
    <row r="154" spans="1:18" ht="15.6" x14ac:dyDescent="0.3">
      <c r="A154" s="260"/>
      <c r="B154" s="261" t="s">
        <v>61</v>
      </c>
      <c r="C154" s="261"/>
      <c r="D154" s="261"/>
      <c r="E154" s="261"/>
      <c r="F154" s="261"/>
      <c r="G154" s="261"/>
      <c r="H154" s="261"/>
      <c r="I154" s="261"/>
      <c r="J154" s="261"/>
      <c r="K154" s="261"/>
      <c r="L154" s="261"/>
      <c r="M154" s="261"/>
      <c r="N154" s="261"/>
      <c r="O154" s="261"/>
      <c r="P154" s="331">
        <f>-P114</f>
        <v>202</v>
      </c>
      <c r="Q154" s="264"/>
      <c r="R154" s="5"/>
    </row>
    <row r="155" spans="1:18" ht="15.6" x14ac:dyDescent="0.3">
      <c r="A155" s="260"/>
      <c r="B155" s="261" t="s">
        <v>62</v>
      </c>
      <c r="C155" s="261"/>
      <c r="D155" s="261"/>
      <c r="E155" s="261"/>
      <c r="F155" s="261"/>
      <c r="G155" s="261"/>
      <c r="H155" s="261"/>
      <c r="I155" s="261"/>
      <c r="J155" s="261"/>
      <c r="K155" s="261"/>
      <c r="L155" s="261"/>
      <c r="M155" s="261"/>
      <c r="N155" s="261"/>
      <c r="O155" s="261"/>
      <c r="P155" s="331">
        <f>P154+P153</f>
        <v>202</v>
      </c>
      <c r="Q155" s="264"/>
      <c r="R155" s="5"/>
    </row>
    <row r="156" spans="1:18" ht="15.6" x14ac:dyDescent="0.3">
      <c r="A156" s="260"/>
      <c r="B156" s="402" t="s">
        <v>297</v>
      </c>
      <c r="C156" s="261"/>
      <c r="D156" s="261"/>
      <c r="E156" s="261"/>
      <c r="F156" s="261"/>
      <c r="G156" s="261"/>
      <c r="H156" s="261"/>
      <c r="I156" s="261"/>
      <c r="J156" s="261"/>
      <c r="K156" s="261"/>
      <c r="L156" s="261"/>
      <c r="M156" s="261"/>
      <c r="N156" s="261"/>
      <c r="O156" s="261"/>
      <c r="P156" s="331">
        <f>P114</f>
        <v>-202</v>
      </c>
      <c r="Q156" s="264"/>
      <c r="R156" s="5"/>
    </row>
    <row r="157" spans="1:18" ht="15.6" x14ac:dyDescent="0.3">
      <c r="A157" s="260"/>
      <c r="B157" s="261" t="s">
        <v>63</v>
      </c>
      <c r="C157" s="261"/>
      <c r="D157" s="261"/>
      <c r="E157" s="261"/>
      <c r="F157" s="261"/>
      <c r="G157" s="261"/>
      <c r="H157" s="261"/>
      <c r="I157" s="261"/>
      <c r="J157" s="261"/>
      <c r="K157" s="261"/>
      <c r="L157" s="261"/>
      <c r="M157" s="261"/>
      <c r="N157" s="261"/>
      <c r="O157" s="261"/>
      <c r="P157" s="331">
        <f>P155+P156</f>
        <v>0</v>
      </c>
      <c r="Q157" s="264"/>
      <c r="R157" s="5"/>
    </row>
    <row r="158" spans="1:18" ht="15.6" x14ac:dyDescent="0.3">
      <c r="A158" s="260"/>
      <c r="B158" s="261" t="s">
        <v>268</v>
      </c>
      <c r="C158" s="261"/>
      <c r="D158" s="261"/>
      <c r="E158" s="261"/>
      <c r="F158" s="261"/>
      <c r="G158" s="261"/>
      <c r="H158" s="261"/>
      <c r="I158" s="261"/>
      <c r="J158" s="261"/>
      <c r="K158" s="261"/>
      <c r="L158" s="261"/>
      <c r="M158" s="261"/>
      <c r="N158" s="261"/>
      <c r="O158" s="261"/>
      <c r="P158" s="331">
        <v>0</v>
      </c>
      <c r="Q158" s="264"/>
      <c r="R158" s="5"/>
    </row>
    <row r="159" spans="1:18" ht="16.2" thickBot="1" x14ac:dyDescent="0.35">
      <c r="A159" s="183"/>
      <c r="B159" s="190"/>
      <c r="C159" s="190"/>
      <c r="D159" s="190"/>
      <c r="E159" s="190"/>
      <c r="F159" s="190"/>
      <c r="G159" s="190"/>
      <c r="H159" s="190"/>
      <c r="I159" s="190"/>
      <c r="J159" s="190"/>
      <c r="K159" s="190"/>
      <c r="L159" s="190"/>
      <c r="M159" s="190"/>
      <c r="N159" s="190"/>
      <c r="O159" s="190"/>
      <c r="P159" s="341"/>
      <c r="Q159" s="190"/>
      <c r="R159" s="5"/>
    </row>
    <row r="160" spans="1:18" ht="15.6" x14ac:dyDescent="0.3">
      <c r="A160" s="180"/>
      <c r="B160" s="181"/>
      <c r="C160" s="181"/>
      <c r="D160" s="181"/>
      <c r="E160" s="181"/>
      <c r="F160" s="181"/>
      <c r="G160" s="181"/>
      <c r="H160" s="181"/>
      <c r="I160" s="181"/>
      <c r="J160" s="181"/>
      <c r="K160" s="181"/>
      <c r="L160" s="181"/>
      <c r="M160" s="181"/>
      <c r="N160" s="181"/>
      <c r="O160" s="181"/>
      <c r="P160" s="200"/>
      <c r="Q160" s="181"/>
      <c r="R160" s="5"/>
    </row>
    <row r="161" spans="1:19" ht="15.6" x14ac:dyDescent="0.3">
      <c r="A161" s="183"/>
      <c r="B161" s="209" t="s">
        <v>64</v>
      </c>
      <c r="C161" s="185"/>
      <c r="D161" s="185"/>
      <c r="E161" s="185"/>
      <c r="F161" s="185"/>
      <c r="G161" s="185"/>
      <c r="H161" s="185"/>
      <c r="I161" s="185"/>
      <c r="J161" s="185"/>
      <c r="K161" s="185"/>
      <c r="L161" s="185"/>
      <c r="M161" s="185"/>
      <c r="N161" s="185"/>
      <c r="O161" s="185"/>
      <c r="P161" s="201"/>
      <c r="Q161" s="185"/>
      <c r="R161" s="5"/>
    </row>
    <row r="162" spans="1:19" ht="15.6" x14ac:dyDescent="0.3">
      <c r="A162" s="183"/>
      <c r="B162" s="196"/>
      <c r="C162" s="185"/>
      <c r="D162" s="185"/>
      <c r="E162" s="185"/>
      <c r="F162" s="185"/>
      <c r="G162" s="185"/>
      <c r="H162" s="185"/>
      <c r="I162" s="185"/>
      <c r="J162" s="185"/>
      <c r="K162" s="185"/>
      <c r="L162" s="185"/>
      <c r="M162" s="185"/>
      <c r="N162" s="185"/>
      <c r="O162" s="185"/>
      <c r="P162" s="201"/>
      <c r="Q162" s="185"/>
      <c r="R162" s="5"/>
    </row>
    <row r="163" spans="1:19" ht="15.6" x14ac:dyDescent="0.3">
      <c r="A163" s="260"/>
      <c r="B163" s="261" t="s">
        <v>221</v>
      </c>
      <c r="C163" s="261"/>
      <c r="D163" s="261"/>
      <c r="E163" s="261"/>
      <c r="F163" s="261"/>
      <c r="G163" s="261"/>
      <c r="H163" s="261"/>
      <c r="I163" s="261"/>
      <c r="J163" s="261"/>
      <c r="K163" s="261"/>
      <c r="L163" s="261"/>
      <c r="M163" s="261"/>
      <c r="N163" s="261"/>
      <c r="O163" s="261"/>
      <c r="P163" s="331">
        <f>P72</f>
        <v>390974</v>
      </c>
      <c r="Q163" s="264"/>
      <c r="R163" s="5"/>
    </row>
    <row r="164" spans="1:19" ht="15.6" x14ac:dyDescent="0.3">
      <c r="A164" s="260"/>
      <c r="B164" s="261" t="s">
        <v>273</v>
      </c>
      <c r="C164" s="261"/>
      <c r="D164" s="261"/>
      <c r="E164" s="261"/>
      <c r="F164" s="261"/>
      <c r="G164" s="261"/>
      <c r="H164" s="261"/>
      <c r="I164" s="261"/>
      <c r="J164" s="261"/>
      <c r="K164" s="261"/>
      <c r="L164" s="261"/>
      <c r="M164" s="261"/>
      <c r="N164" s="261"/>
      <c r="O164" s="261"/>
      <c r="P164" s="331">
        <f>+P85</f>
        <v>0</v>
      </c>
      <c r="Q164" s="264"/>
      <c r="R164" s="5"/>
    </row>
    <row r="165" spans="1:19" ht="15.6" x14ac:dyDescent="0.3">
      <c r="A165" s="260"/>
      <c r="B165" s="261" t="s">
        <v>65</v>
      </c>
      <c r="C165" s="261"/>
      <c r="D165" s="261"/>
      <c r="E165" s="261"/>
      <c r="F165" s="261"/>
      <c r="G165" s="261"/>
      <c r="H165" s="261"/>
      <c r="I165" s="261"/>
      <c r="J165" s="261"/>
      <c r="K165" s="261"/>
      <c r="L165" s="261"/>
      <c r="M165" s="261"/>
      <c r="N165" s="261"/>
      <c r="O165" s="261"/>
      <c r="P165" s="331">
        <f>P38</f>
        <v>390974.10165932809</v>
      </c>
      <c r="Q165" s="264"/>
      <c r="R165" s="5"/>
      <c r="S165" s="109"/>
    </row>
    <row r="166" spans="1:19" ht="16.2" thickBot="1" x14ac:dyDescent="0.35">
      <c r="A166" s="183"/>
      <c r="B166" s="190"/>
      <c r="C166" s="190"/>
      <c r="D166" s="190"/>
      <c r="E166" s="190"/>
      <c r="F166" s="190"/>
      <c r="G166" s="190"/>
      <c r="H166" s="190"/>
      <c r="I166" s="190"/>
      <c r="J166" s="190"/>
      <c r="K166" s="190"/>
      <c r="L166" s="190"/>
      <c r="M166" s="190"/>
      <c r="N166" s="190"/>
      <c r="O166" s="190"/>
      <c r="P166" s="341"/>
      <c r="Q166" s="190"/>
      <c r="R166" s="5"/>
    </row>
    <row r="167" spans="1:19" ht="15.6" x14ac:dyDescent="0.3">
      <c r="A167" s="180"/>
      <c r="B167" s="181"/>
      <c r="C167" s="181"/>
      <c r="D167" s="181"/>
      <c r="E167" s="181"/>
      <c r="F167" s="181"/>
      <c r="G167" s="181"/>
      <c r="H167" s="181"/>
      <c r="I167" s="181"/>
      <c r="J167" s="181"/>
      <c r="K167" s="181"/>
      <c r="L167" s="181"/>
      <c r="M167" s="181"/>
      <c r="N167" s="181"/>
      <c r="O167" s="181"/>
      <c r="P167" s="200"/>
      <c r="Q167" s="181"/>
      <c r="R167" s="5"/>
    </row>
    <row r="168" spans="1:19" ht="15.6" x14ac:dyDescent="0.3">
      <c r="A168" s="183"/>
      <c r="B168" s="209" t="s">
        <v>66</v>
      </c>
      <c r="C168" s="205"/>
      <c r="D168" s="205"/>
      <c r="E168" s="205"/>
      <c r="F168" s="211"/>
      <c r="G168" s="211"/>
      <c r="H168" s="211"/>
      <c r="I168" s="211"/>
      <c r="J168" s="211"/>
      <c r="K168" s="211"/>
      <c r="L168" s="211"/>
      <c r="M168" s="211" t="s">
        <v>112</v>
      </c>
      <c r="N168" s="211" t="s">
        <v>120</v>
      </c>
      <c r="O168" s="187"/>
      <c r="P168" s="212" t="s">
        <v>129</v>
      </c>
      <c r="Q168" s="213"/>
      <c r="R168" s="5"/>
    </row>
    <row r="169" spans="1:19" ht="15.6" x14ac:dyDescent="0.3">
      <c r="A169" s="260"/>
      <c r="B169" s="261" t="s">
        <v>67</v>
      </c>
      <c r="C169" s="261"/>
      <c r="D169" s="261"/>
      <c r="E169" s="261"/>
      <c r="F169" s="261"/>
      <c r="G169" s="261"/>
      <c r="H169" s="261"/>
      <c r="I169" s="261"/>
      <c r="J169" s="261"/>
      <c r="K169" s="261"/>
      <c r="L169" s="261"/>
      <c r="M169" s="331">
        <v>144000</v>
      </c>
      <c r="N169" s="292">
        <v>0</v>
      </c>
      <c r="O169" s="261"/>
      <c r="P169" s="331"/>
      <c r="Q169" s="264"/>
      <c r="R169" s="5"/>
    </row>
    <row r="170" spans="1:19" ht="15.6" x14ac:dyDescent="0.3">
      <c r="A170" s="260"/>
      <c r="B170" s="261" t="s">
        <v>68</v>
      </c>
      <c r="C170" s="261"/>
      <c r="D170" s="261"/>
      <c r="E170" s="261"/>
      <c r="F170" s="261"/>
      <c r="G170" s="261"/>
      <c r="H170" s="261"/>
      <c r="I170" s="261"/>
      <c r="J170" s="261"/>
      <c r="K170" s="261"/>
      <c r="L170" s="261"/>
      <c r="M170" s="331">
        <f>+'Oct 11'!M172</f>
        <v>87630</v>
      </c>
      <c r="N170" s="331">
        <f>+'Oct 11'!N172</f>
        <v>10212</v>
      </c>
      <c r="O170" s="261"/>
      <c r="P170" s="331">
        <f>M170+N170</f>
        <v>97842</v>
      </c>
      <c r="Q170" s="264"/>
      <c r="R170" s="5"/>
    </row>
    <row r="171" spans="1:19" ht="15.6" x14ac:dyDescent="0.3">
      <c r="A171" s="260"/>
      <c r="B171" s="261" t="s">
        <v>69</v>
      </c>
      <c r="C171" s="261"/>
      <c r="D171" s="261"/>
      <c r="E171" s="261"/>
      <c r="F171" s="261"/>
      <c r="G171" s="261"/>
      <c r="H171" s="261"/>
      <c r="I171" s="261"/>
      <c r="J171" s="261"/>
      <c r="K171" s="261"/>
      <c r="L171" s="261"/>
      <c r="M171" s="330">
        <v>143</v>
      </c>
      <c r="N171" s="330">
        <f>-N99-N121</f>
        <v>1</v>
      </c>
      <c r="O171" s="261"/>
      <c r="P171" s="331">
        <f>M171+N171</f>
        <v>144</v>
      </c>
      <c r="Q171" s="264"/>
      <c r="R171" s="5"/>
    </row>
    <row r="172" spans="1:19" ht="15.6" x14ac:dyDescent="0.3">
      <c r="A172" s="260"/>
      <c r="B172" s="261" t="s">
        <v>70</v>
      </c>
      <c r="C172" s="261"/>
      <c r="D172" s="261"/>
      <c r="E172" s="261"/>
      <c r="F172" s="261"/>
      <c r="G172" s="261"/>
      <c r="H172" s="261"/>
      <c r="I172" s="261"/>
      <c r="J172" s="261"/>
      <c r="K172" s="261"/>
      <c r="L172" s="261"/>
      <c r="M172" s="331">
        <f>M170+M171</f>
        <v>87773</v>
      </c>
      <c r="N172" s="331">
        <f>N171+N170</f>
        <v>10213</v>
      </c>
      <c r="O172" s="261"/>
      <c r="P172" s="331">
        <f>M172+N172</f>
        <v>97986</v>
      </c>
      <c r="Q172" s="264"/>
      <c r="R172" s="5"/>
    </row>
    <row r="173" spans="1:19" ht="15.6" x14ac:dyDescent="0.3">
      <c r="A173" s="260"/>
      <c r="B173" s="261" t="s">
        <v>71</v>
      </c>
      <c r="C173" s="261"/>
      <c r="D173" s="261"/>
      <c r="E173" s="261"/>
      <c r="F173" s="261"/>
      <c r="G173" s="261"/>
      <c r="H173" s="261"/>
      <c r="I173" s="261"/>
      <c r="J173" s="261"/>
      <c r="K173" s="261"/>
      <c r="L173" s="261"/>
      <c r="M173" s="331">
        <f>M169-M172-N172</f>
        <v>46014</v>
      </c>
      <c r="N173" s="292"/>
      <c r="O173" s="261"/>
      <c r="P173" s="331"/>
      <c r="Q173" s="264"/>
      <c r="R173" s="5"/>
    </row>
    <row r="174" spans="1:19" ht="16.2" thickBot="1" x14ac:dyDescent="0.35">
      <c r="A174" s="183"/>
      <c r="B174" s="190"/>
      <c r="C174" s="190"/>
      <c r="D174" s="190"/>
      <c r="E174" s="190"/>
      <c r="F174" s="190"/>
      <c r="G174" s="190"/>
      <c r="H174" s="190"/>
      <c r="I174" s="190"/>
      <c r="J174" s="190"/>
      <c r="K174" s="190"/>
      <c r="L174" s="190"/>
      <c r="M174" s="190"/>
      <c r="N174" s="190"/>
      <c r="O174" s="190"/>
      <c r="P174" s="341"/>
      <c r="Q174" s="190"/>
      <c r="R174" s="5"/>
    </row>
    <row r="175" spans="1:19" ht="15.6" x14ac:dyDescent="0.3">
      <c r="A175" s="180"/>
      <c r="B175" s="181"/>
      <c r="C175" s="181"/>
      <c r="D175" s="181"/>
      <c r="E175" s="181"/>
      <c r="F175" s="181"/>
      <c r="G175" s="181"/>
      <c r="H175" s="181"/>
      <c r="I175" s="181"/>
      <c r="J175" s="181"/>
      <c r="K175" s="181"/>
      <c r="L175" s="181"/>
      <c r="M175" s="181"/>
      <c r="N175" s="181"/>
      <c r="O175" s="181"/>
      <c r="P175" s="200"/>
      <c r="Q175" s="181"/>
      <c r="R175" s="5"/>
    </row>
    <row r="176" spans="1:19" ht="15.6" x14ac:dyDescent="0.3">
      <c r="A176" s="183"/>
      <c r="B176" s="209" t="s">
        <v>72</v>
      </c>
      <c r="C176" s="185"/>
      <c r="D176" s="185"/>
      <c r="E176" s="185"/>
      <c r="F176" s="185"/>
      <c r="G176" s="185"/>
      <c r="H176" s="185"/>
      <c r="I176" s="185"/>
      <c r="J176" s="185"/>
      <c r="K176" s="185"/>
      <c r="L176" s="185"/>
      <c r="M176" s="185"/>
      <c r="N176" s="185"/>
      <c r="O176" s="185"/>
      <c r="P176" s="214"/>
      <c r="Q176" s="185"/>
      <c r="R176" s="5"/>
    </row>
    <row r="177" spans="1:18" ht="15.6" x14ac:dyDescent="0.3">
      <c r="A177" s="260"/>
      <c r="B177" s="261" t="s">
        <v>73</v>
      </c>
      <c r="C177" s="261"/>
      <c r="D177" s="261"/>
      <c r="E177" s="261"/>
      <c r="F177" s="261"/>
      <c r="G177" s="261"/>
      <c r="H177" s="261"/>
      <c r="I177" s="261"/>
      <c r="J177" s="261"/>
      <c r="K177" s="261"/>
      <c r="L177" s="261"/>
      <c r="M177" s="261"/>
      <c r="N177" s="261"/>
      <c r="O177" s="261"/>
      <c r="P177" s="343">
        <f>(P102+P104+P105+P106+P107)/-(P108+P109+P110)</f>
        <v>2.2975609756097559</v>
      </c>
      <c r="Q177" s="264" t="s">
        <v>130</v>
      </c>
      <c r="R177" s="5"/>
    </row>
    <row r="178" spans="1:18" ht="15.6" x14ac:dyDescent="0.3">
      <c r="A178" s="260"/>
      <c r="B178" s="261" t="s">
        <v>74</v>
      </c>
      <c r="C178" s="261"/>
      <c r="D178" s="261"/>
      <c r="E178" s="261"/>
      <c r="F178" s="261"/>
      <c r="G178" s="261"/>
      <c r="H178" s="261"/>
      <c r="I178" s="261"/>
      <c r="J178" s="261"/>
      <c r="K178" s="261"/>
      <c r="L178" s="261"/>
      <c r="M178" s="261"/>
      <c r="N178" s="261"/>
      <c r="O178" s="261"/>
      <c r="P178" s="343">
        <v>1.49</v>
      </c>
      <c r="Q178" s="264" t="s">
        <v>130</v>
      </c>
      <c r="R178" s="5"/>
    </row>
    <row r="179" spans="1:18" ht="15.6" x14ac:dyDescent="0.3">
      <c r="A179" s="260"/>
      <c r="B179" s="261" t="s">
        <v>75</v>
      </c>
      <c r="C179" s="261"/>
      <c r="D179" s="261"/>
      <c r="E179" s="261"/>
      <c r="F179" s="261"/>
      <c r="G179" s="261"/>
      <c r="H179" s="261"/>
      <c r="I179" s="261"/>
      <c r="J179" s="261"/>
      <c r="K179" s="261"/>
      <c r="L179" s="261"/>
      <c r="M179" s="261"/>
      <c r="N179" s="261"/>
      <c r="O179" s="261"/>
      <c r="P179" s="342">
        <f>(P102+P104+P105+P106+P107+P108+P109+P110)/-(P111+P112)</f>
        <v>2.8348134991119007</v>
      </c>
      <c r="Q179" s="264" t="s">
        <v>130</v>
      </c>
      <c r="R179" s="5"/>
    </row>
    <row r="180" spans="1:18" ht="15.6" x14ac:dyDescent="0.3">
      <c r="A180" s="260"/>
      <c r="B180" s="261" t="s">
        <v>76</v>
      </c>
      <c r="C180" s="261"/>
      <c r="D180" s="261"/>
      <c r="E180" s="261"/>
      <c r="F180" s="261"/>
      <c r="G180" s="261"/>
      <c r="H180" s="261"/>
      <c r="I180" s="261"/>
      <c r="J180" s="261"/>
      <c r="K180" s="261"/>
      <c r="L180" s="261"/>
      <c r="M180" s="261"/>
      <c r="N180" s="261"/>
      <c r="O180" s="261"/>
      <c r="P180" s="343">
        <v>2.4700000000000002</v>
      </c>
      <c r="Q180" s="264" t="s">
        <v>130</v>
      </c>
      <c r="R180" s="5"/>
    </row>
    <row r="181" spans="1:18" ht="15.6" x14ac:dyDescent="0.3">
      <c r="A181" s="260"/>
      <c r="B181" s="335"/>
      <c r="C181" s="335"/>
      <c r="D181" s="335"/>
      <c r="E181" s="335"/>
      <c r="F181" s="335"/>
      <c r="G181" s="335"/>
      <c r="H181" s="335"/>
      <c r="I181" s="335"/>
      <c r="J181" s="335"/>
      <c r="K181" s="335"/>
      <c r="L181" s="335"/>
      <c r="M181" s="335"/>
      <c r="N181" s="335"/>
      <c r="O181" s="335"/>
      <c r="P181" s="335"/>
      <c r="Q181" s="338"/>
      <c r="R181" s="5"/>
    </row>
    <row r="182" spans="1:18" ht="15.6" x14ac:dyDescent="0.3">
      <c r="A182" s="183"/>
      <c r="B182" s="190"/>
      <c r="C182" s="190"/>
      <c r="D182" s="190"/>
      <c r="E182" s="190"/>
      <c r="F182" s="190"/>
      <c r="G182" s="190"/>
      <c r="H182" s="190"/>
      <c r="I182" s="190"/>
      <c r="J182" s="190"/>
      <c r="K182" s="190"/>
      <c r="L182" s="190"/>
      <c r="M182" s="190"/>
      <c r="N182" s="190"/>
      <c r="O182" s="190"/>
      <c r="P182" s="190"/>
      <c r="Q182" s="190"/>
      <c r="R182" s="5"/>
    </row>
    <row r="183" spans="1:18" ht="15.6" x14ac:dyDescent="0.3">
      <c r="A183" s="183"/>
      <c r="B183" s="185"/>
      <c r="C183" s="185"/>
      <c r="D183" s="185"/>
      <c r="E183" s="185"/>
      <c r="F183" s="185"/>
      <c r="G183" s="185"/>
      <c r="H183" s="185"/>
      <c r="I183" s="185"/>
      <c r="J183" s="185"/>
      <c r="K183" s="185"/>
      <c r="L183" s="185"/>
      <c r="M183" s="185"/>
      <c r="N183" s="185"/>
      <c r="O183" s="185"/>
      <c r="P183" s="185"/>
      <c r="Q183" s="185"/>
      <c r="R183" s="5"/>
    </row>
    <row r="184" spans="1:18" ht="18" thickBot="1" x14ac:dyDescent="0.35">
      <c r="A184" s="199"/>
      <c r="B184" s="239" t="str">
        <f>B132</f>
        <v>PM7 INVESTOR REPORT QUARTER ENDING JANUARY 2012</v>
      </c>
      <c r="C184" s="215"/>
      <c r="D184" s="215"/>
      <c r="E184" s="215"/>
      <c r="F184" s="215"/>
      <c r="G184" s="215"/>
      <c r="H184" s="215"/>
      <c r="I184" s="215"/>
      <c r="J184" s="215"/>
      <c r="K184" s="215"/>
      <c r="L184" s="215"/>
      <c r="M184" s="215"/>
      <c r="N184" s="215"/>
      <c r="O184" s="215"/>
      <c r="P184" s="215"/>
      <c r="Q184" s="216"/>
      <c r="R184" s="5"/>
    </row>
    <row r="185" spans="1:18" ht="15.6" x14ac:dyDescent="0.3">
      <c r="A185" s="323"/>
      <c r="B185" s="397" t="s">
        <v>77</v>
      </c>
      <c r="C185" s="398"/>
      <c r="D185" s="398"/>
      <c r="E185" s="399"/>
      <c r="F185" s="399"/>
      <c r="G185" s="399"/>
      <c r="H185" s="399"/>
      <c r="I185" s="399"/>
      <c r="J185" s="399"/>
      <c r="K185" s="399"/>
      <c r="L185" s="399"/>
      <c r="M185" s="399"/>
      <c r="N185" s="399">
        <v>40939</v>
      </c>
      <c r="O185" s="326"/>
      <c r="P185" s="326"/>
      <c r="Q185" s="326"/>
      <c r="R185" s="5"/>
    </row>
    <row r="186" spans="1:18" ht="15.6" x14ac:dyDescent="0.3">
      <c r="A186" s="217"/>
      <c r="B186" s="218"/>
      <c r="C186" s="219"/>
      <c r="D186" s="219"/>
      <c r="E186" s="220"/>
      <c r="F186" s="220"/>
      <c r="G186" s="220"/>
      <c r="H186" s="220"/>
      <c r="I186" s="220"/>
      <c r="J186" s="220"/>
      <c r="K186" s="220"/>
      <c r="L186" s="220"/>
      <c r="M186" s="220"/>
      <c r="N186" s="220"/>
      <c r="O186" s="185"/>
      <c r="P186" s="185"/>
      <c r="Q186" s="185"/>
      <c r="R186" s="5"/>
    </row>
    <row r="187" spans="1:18" ht="15.6" x14ac:dyDescent="0.3">
      <c r="A187" s="345"/>
      <c r="B187" s="261" t="s">
        <v>78</v>
      </c>
      <c r="C187" s="346"/>
      <c r="D187" s="346"/>
      <c r="E187" s="295"/>
      <c r="F187" s="295"/>
      <c r="G187" s="295"/>
      <c r="H187" s="295"/>
      <c r="I187" s="295"/>
      <c r="J187" s="295"/>
      <c r="K187" s="295"/>
      <c r="L187" s="295"/>
      <c r="M187" s="295"/>
      <c r="N187" s="290">
        <v>5.8069999999999997E-2</v>
      </c>
      <c r="O187" s="261"/>
      <c r="P187" s="261"/>
      <c r="Q187" s="264"/>
      <c r="R187" s="5"/>
    </row>
    <row r="188" spans="1:18" ht="15.6" x14ac:dyDescent="0.3">
      <c r="A188" s="345"/>
      <c r="B188" s="261" t="s">
        <v>219</v>
      </c>
      <c r="C188" s="346"/>
      <c r="D188" s="346"/>
      <c r="E188" s="295"/>
      <c r="F188" s="295"/>
      <c r="G188" s="295"/>
      <c r="H188" s="295"/>
      <c r="I188" s="295"/>
      <c r="J188" s="295"/>
      <c r="K188" s="295"/>
      <c r="L188" s="295"/>
      <c r="M188" s="295"/>
      <c r="N188" s="290">
        <v>5.1499999999999997E-2</v>
      </c>
      <c r="O188" s="261"/>
      <c r="P188" s="261"/>
      <c r="Q188" s="264"/>
      <c r="R188" s="5"/>
    </row>
    <row r="189" spans="1:18" ht="15.6" x14ac:dyDescent="0.3">
      <c r="A189" s="345"/>
      <c r="B189" s="261" t="s">
        <v>79</v>
      </c>
      <c r="C189" s="346"/>
      <c r="D189" s="346"/>
      <c r="E189" s="295"/>
      <c r="F189" s="295"/>
      <c r="G189" s="295"/>
      <c r="H189" s="295"/>
      <c r="I189" s="295"/>
      <c r="J189" s="295"/>
      <c r="K189" s="295"/>
      <c r="L189" s="295"/>
      <c r="M189" s="295"/>
      <c r="N189" s="290">
        <f>N187-N188</f>
        <v>6.5699999999999995E-3</v>
      </c>
      <c r="O189" s="261"/>
      <c r="P189" s="261"/>
      <c r="Q189" s="264"/>
      <c r="R189" s="5"/>
    </row>
    <row r="190" spans="1:18" ht="15.6" x14ac:dyDescent="0.3">
      <c r="A190" s="345"/>
      <c r="B190" s="261" t="s">
        <v>80</v>
      </c>
      <c r="C190" s="346"/>
      <c r="D190" s="346"/>
      <c r="E190" s="295"/>
      <c r="F190" s="295"/>
      <c r="G190" s="295"/>
      <c r="H190" s="295"/>
      <c r="I190" s="295"/>
      <c r="J190" s="295"/>
      <c r="K190" s="295"/>
      <c r="L190" s="295"/>
      <c r="M190" s="295"/>
      <c r="N190" s="290">
        <v>2.7810000000000001E-2</v>
      </c>
      <c r="O190" s="261"/>
      <c r="P190" s="261"/>
      <c r="Q190" s="264"/>
      <c r="R190" s="5"/>
    </row>
    <row r="191" spans="1:18" ht="15.6" x14ac:dyDescent="0.3">
      <c r="A191" s="345"/>
      <c r="B191" s="261" t="s">
        <v>241</v>
      </c>
      <c r="C191" s="346"/>
      <c r="D191" s="346"/>
      <c r="E191" s="295"/>
      <c r="F191" s="295"/>
      <c r="G191" s="295"/>
      <c r="H191" s="295"/>
      <c r="I191" s="295"/>
      <c r="J191" s="295"/>
      <c r="K191" s="295"/>
      <c r="L191" s="295"/>
      <c r="M191" s="295"/>
      <c r="N191" s="290">
        <f>+P45</f>
        <v>1.813313317552253E-2</v>
      </c>
      <c r="O191" s="261"/>
      <c r="P191" s="261"/>
      <c r="Q191" s="264"/>
      <c r="R191" s="5"/>
    </row>
    <row r="192" spans="1:18" ht="15.6" x14ac:dyDescent="0.3">
      <c r="A192" s="345"/>
      <c r="B192" s="261" t="s">
        <v>81</v>
      </c>
      <c r="C192" s="346"/>
      <c r="D192" s="346"/>
      <c r="E192" s="295"/>
      <c r="F192" s="295"/>
      <c r="G192" s="295"/>
      <c r="H192" s="295"/>
      <c r="I192" s="295"/>
      <c r="J192" s="295"/>
      <c r="K192" s="295"/>
      <c r="L192" s="295"/>
      <c r="M192" s="295"/>
      <c r="N192" s="290">
        <f>N190-N191</f>
        <v>9.6768668244774717E-3</v>
      </c>
      <c r="O192" s="261"/>
      <c r="P192" s="261"/>
      <c r="Q192" s="264"/>
      <c r="R192" s="5"/>
    </row>
    <row r="193" spans="1:18" ht="15.6" x14ac:dyDescent="0.3">
      <c r="A193" s="345"/>
      <c r="B193" s="261" t="s">
        <v>257</v>
      </c>
      <c r="C193" s="346"/>
      <c r="D193" s="346"/>
      <c r="E193" s="295"/>
      <c r="F193" s="295"/>
      <c r="G193" s="295"/>
      <c r="H193" s="295"/>
      <c r="I193" s="295"/>
      <c r="J193" s="295"/>
      <c r="K193" s="295"/>
      <c r="L193" s="295"/>
      <c r="M193" s="295"/>
      <c r="N193" s="290">
        <f>+P102/H72</f>
        <v>7.8358389203729267E-3</v>
      </c>
      <c r="O193" s="261"/>
      <c r="P193" s="261"/>
      <c r="Q193" s="264"/>
      <c r="R193" s="5"/>
    </row>
    <row r="194" spans="1:18" ht="15.6" x14ac:dyDescent="0.3">
      <c r="A194" s="345"/>
      <c r="B194" s="261" t="s">
        <v>170</v>
      </c>
      <c r="C194" s="346"/>
      <c r="D194" s="346"/>
      <c r="E194" s="295"/>
      <c r="F194" s="295"/>
      <c r="G194" s="295"/>
      <c r="H194" s="295"/>
      <c r="I194" s="295"/>
      <c r="J194" s="295"/>
      <c r="K194" s="295"/>
      <c r="L194" s="295"/>
      <c r="M194" s="295"/>
      <c r="N194" s="347">
        <v>49065</v>
      </c>
      <c r="O194" s="261"/>
      <c r="P194" s="261"/>
      <c r="Q194" s="264"/>
      <c r="R194" s="5"/>
    </row>
    <row r="195" spans="1:18" ht="15.6" x14ac:dyDescent="0.3">
      <c r="A195" s="345"/>
      <c r="B195" s="261" t="s">
        <v>171</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172</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138</v>
      </c>
      <c r="C197" s="346"/>
      <c r="D197" s="346"/>
      <c r="E197" s="295"/>
      <c r="F197" s="295"/>
      <c r="G197" s="295"/>
      <c r="H197" s="295"/>
      <c r="I197" s="295"/>
      <c r="J197" s="295"/>
      <c r="K197" s="295"/>
      <c r="L197" s="295"/>
      <c r="M197" s="295"/>
      <c r="N197" s="347">
        <v>52352</v>
      </c>
      <c r="O197" s="261"/>
      <c r="P197" s="261"/>
      <c r="Q197" s="264"/>
      <c r="R197" s="5"/>
    </row>
    <row r="198" spans="1:18" ht="15.6" x14ac:dyDescent="0.3">
      <c r="A198" s="345"/>
      <c r="B198" s="261" t="s">
        <v>139</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82</v>
      </c>
      <c r="C199" s="346"/>
      <c r="D199" s="346"/>
      <c r="E199" s="295"/>
      <c r="F199" s="295"/>
      <c r="G199" s="295"/>
      <c r="H199" s="295"/>
      <c r="I199" s="295"/>
      <c r="J199" s="295"/>
      <c r="K199" s="295"/>
      <c r="L199" s="295"/>
      <c r="M199" s="295"/>
      <c r="N199" s="294">
        <v>20.45</v>
      </c>
      <c r="O199" s="261" t="s">
        <v>125</v>
      </c>
      <c r="P199" s="261"/>
      <c r="Q199" s="264"/>
      <c r="R199" s="5"/>
    </row>
    <row r="200" spans="1:18" ht="15.6" x14ac:dyDescent="0.3">
      <c r="A200" s="345"/>
      <c r="B200" s="261" t="s">
        <v>83</v>
      </c>
      <c r="C200" s="346"/>
      <c r="D200" s="346"/>
      <c r="E200" s="295"/>
      <c r="F200" s="295"/>
      <c r="G200" s="295"/>
      <c r="H200" s="295"/>
      <c r="I200" s="295"/>
      <c r="J200" s="295"/>
      <c r="K200" s="295"/>
      <c r="L200" s="295"/>
      <c r="M200" s="295"/>
      <c r="N200" s="294">
        <v>14.5</v>
      </c>
      <c r="O200" s="261" t="s">
        <v>125</v>
      </c>
      <c r="P200" s="261"/>
      <c r="Q200" s="264"/>
      <c r="R200" s="5"/>
    </row>
    <row r="201" spans="1:18" ht="15.6" x14ac:dyDescent="0.3">
      <c r="A201" s="345"/>
      <c r="B201" s="261" t="s">
        <v>84</v>
      </c>
      <c r="C201" s="346"/>
      <c r="D201" s="346"/>
      <c r="E201" s="295"/>
      <c r="F201" s="295"/>
      <c r="G201" s="295"/>
      <c r="H201" s="295"/>
      <c r="I201" s="295"/>
      <c r="J201" s="295"/>
      <c r="K201" s="295"/>
      <c r="L201" s="295"/>
      <c r="M201" s="295"/>
      <c r="N201" s="290">
        <f>J69/H69</f>
        <v>6.3332494323974564E-3</v>
      </c>
      <c r="O201" s="261"/>
      <c r="P201" s="261"/>
      <c r="Q201" s="264"/>
      <c r="R201" s="5"/>
    </row>
    <row r="202" spans="1:18" ht="15.6" x14ac:dyDescent="0.3">
      <c r="A202" s="345"/>
      <c r="B202" s="261" t="s">
        <v>85</v>
      </c>
      <c r="C202" s="346"/>
      <c r="D202" s="346"/>
      <c r="E202" s="295"/>
      <c r="F202" s="295"/>
      <c r="G202" s="295"/>
      <c r="H202" s="295"/>
      <c r="I202" s="295"/>
      <c r="J202" s="295"/>
      <c r="K202" s="295"/>
      <c r="L202" s="295"/>
      <c r="M202" s="295"/>
      <c r="N202" s="290">
        <v>0.1215</v>
      </c>
      <c r="O202" s="261"/>
      <c r="P202" s="261"/>
      <c r="Q202" s="264"/>
      <c r="R202" s="5"/>
    </row>
    <row r="203" spans="1:18" ht="15.6" x14ac:dyDescent="0.3">
      <c r="A203" s="217"/>
      <c r="B203" s="222"/>
      <c r="C203" s="222"/>
      <c r="D203" s="222"/>
      <c r="E203" s="190"/>
      <c r="F203" s="190"/>
      <c r="G203" s="190"/>
      <c r="H203" s="190"/>
      <c r="I203" s="190"/>
      <c r="J203" s="190"/>
      <c r="K203" s="190"/>
      <c r="L203" s="190"/>
      <c r="M203" s="190"/>
      <c r="N203" s="341"/>
      <c r="O203" s="190"/>
      <c r="P203" s="344"/>
      <c r="Q203" s="190"/>
      <c r="R203" s="5"/>
    </row>
    <row r="204" spans="1:18" ht="15.6" x14ac:dyDescent="0.3">
      <c r="A204" s="322"/>
      <c r="B204" s="393" t="s">
        <v>86</v>
      </c>
      <c r="C204" s="395"/>
      <c r="D204" s="400"/>
      <c r="E204" s="395"/>
      <c r="F204" s="395"/>
      <c r="G204" s="395"/>
      <c r="H204" s="395"/>
      <c r="I204" s="395"/>
      <c r="J204" s="395"/>
      <c r="K204" s="395"/>
      <c r="L204" s="395"/>
      <c r="M204" s="395" t="s">
        <v>113</v>
      </c>
      <c r="N204" s="400" t="s">
        <v>121</v>
      </c>
      <c r="O204" s="252"/>
      <c r="P204" s="252"/>
      <c r="Q204" s="252"/>
      <c r="R204" s="5"/>
    </row>
    <row r="205" spans="1:18" ht="15.6" x14ac:dyDescent="0.3">
      <c r="A205" s="221"/>
      <c r="B205" s="230" t="s">
        <v>87</v>
      </c>
      <c r="C205" s="235"/>
      <c r="D205" s="230"/>
      <c r="E205" s="230"/>
      <c r="F205" s="234"/>
      <c r="G205" s="234"/>
      <c r="H205" s="234"/>
      <c r="I205" s="234"/>
      <c r="J205" s="234"/>
      <c r="K205" s="234"/>
      <c r="L205" s="234"/>
      <c r="M205" s="234">
        <v>3</v>
      </c>
      <c r="N205" s="305">
        <v>262</v>
      </c>
      <c r="O205" s="230"/>
      <c r="P205" s="306"/>
      <c r="Q205" s="307"/>
      <c r="R205" s="5"/>
    </row>
    <row r="206" spans="1:18" ht="15.6" x14ac:dyDescent="0.3">
      <c r="A206" s="351"/>
      <c r="B206" s="261" t="s">
        <v>203</v>
      </c>
      <c r="C206" s="330"/>
      <c r="D206" s="261"/>
      <c r="E206" s="261"/>
      <c r="F206" s="268"/>
      <c r="G206" s="268"/>
      <c r="H206" s="268"/>
      <c r="I206" s="268"/>
      <c r="J206" s="268"/>
      <c r="K206" s="268"/>
      <c r="L206" s="268"/>
      <c r="M206" s="352">
        <f>+L254</f>
        <v>67</v>
      </c>
      <c r="N206" s="353">
        <f>+N254</f>
        <v>11440</v>
      </c>
      <c r="O206" s="261"/>
      <c r="P206" s="354"/>
      <c r="Q206" s="355"/>
      <c r="R206" s="5"/>
    </row>
    <row r="207" spans="1:18" ht="15.6" x14ac:dyDescent="0.3">
      <c r="A207" s="351"/>
      <c r="B207" s="261" t="s">
        <v>88</v>
      </c>
      <c r="C207" s="330"/>
      <c r="D207" s="261"/>
      <c r="E207" s="261"/>
      <c r="F207" s="268"/>
      <c r="G207" s="268"/>
      <c r="H207" s="268"/>
      <c r="I207" s="268"/>
      <c r="J207" s="268"/>
      <c r="K207" s="268"/>
      <c r="L207" s="268"/>
      <c r="M207" s="352">
        <f>+L265</f>
        <v>1</v>
      </c>
      <c r="N207" s="353">
        <f>+N265</f>
        <v>36</v>
      </c>
      <c r="O207" s="261"/>
      <c r="P207" s="354"/>
      <c r="Q207" s="355"/>
      <c r="R207" s="5"/>
    </row>
    <row r="208" spans="1:18" ht="15.6" x14ac:dyDescent="0.3">
      <c r="A208" s="351"/>
      <c r="B208" s="282" t="s">
        <v>89</v>
      </c>
      <c r="C208" s="356"/>
      <c r="D208" s="335"/>
      <c r="E208" s="335"/>
      <c r="F208" s="335"/>
      <c r="G208" s="335"/>
      <c r="H208" s="335"/>
      <c r="I208" s="335"/>
      <c r="J208" s="335"/>
      <c r="K208" s="335"/>
      <c r="L208" s="335"/>
      <c r="M208" s="335"/>
      <c r="N208" s="353">
        <v>0</v>
      </c>
      <c r="O208" s="335"/>
      <c r="P208" s="358"/>
      <c r="Q208" s="359"/>
      <c r="R208" s="5"/>
    </row>
    <row r="209" spans="1:18" ht="15.6" x14ac:dyDescent="0.3">
      <c r="A209" s="351"/>
      <c r="B209" s="282" t="s">
        <v>90</v>
      </c>
      <c r="C209" s="356"/>
      <c r="D209" s="335"/>
      <c r="E209" s="335"/>
      <c r="F209" s="335"/>
      <c r="G209" s="335"/>
      <c r="H209" s="335"/>
      <c r="I209" s="335"/>
      <c r="J209" s="335"/>
      <c r="K209" s="335"/>
      <c r="L209" s="335"/>
      <c r="M209" s="335"/>
      <c r="N209" s="369" t="s">
        <v>122</v>
      </c>
      <c r="O209" s="335"/>
      <c r="P209" s="358"/>
      <c r="Q209" s="359"/>
      <c r="R209" s="5"/>
    </row>
    <row r="210" spans="1:18" ht="15.6" x14ac:dyDescent="0.3">
      <c r="A210" s="360"/>
      <c r="B210" s="282" t="s">
        <v>91</v>
      </c>
      <c r="C210" s="361"/>
      <c r="D210" s="361"/>
      <c r="E210" s="335"/>
      <c r="F210" s="335"/>
      <c r="G210" s="335"/>
      <c r="H210" s="335"/>
      <c r="I210" s="335"/>
      <c r="J210" s="362"/>
      <c r="K210" s="335"/>
      <c r="L210" s="335"/>
      <c r="M210" s="335"/>
      <c r="N210" s="357"/>
      <c r="O210" s="335"/>
      <c r="P210" s="358"/>
      <c r="Q210" s="363"/>
      <c r="R210" s="5"/>
    </row>
    <row r="211" spans="1:18" ht="15.6" x14ac:dyDescent="0.3">
      <c r="A211" s="360"/>
      <c r="B211" s="261" t="s">
        <v>92</v>
      </c>
      <c r="C211" s="261"/>
      <c r="D211" s="261"/>
      <c r="E211" s="261"/>
      <c r="F211" s="261"/>
      <c r="G211" s="261"/>
      <c r="H211" s="261"/>
      <c r="I211" s="261"/>
      <c r="J211" s="261"/>
      <c r="K211" s="261"/>
      <c r="L211" s="261"/>
      <c r="M211" s="261"/>
      <c r="N211" s="353">
        <f>P154</f>
        <v>202</v>
      </c>
      <c r="O211" s="261"/>
      <c r="P211" s="354"/>
      <c r="Q211" s="363"/>
      <c r="R211" s="5"/>
    </row>
    <row r="212" spans="1:18" ht="15.6" x14ac:dyDescent="0.3">
      <c r="A212" s="351"/>
      <c r="B212" s="261" t="s">
        <v>93</v>
      </c>
      <c r="C212" s="330"/>
      <c r="D212" s="330"/>
      <c r="E212" s="261"/>
      <c r="F212" s="261"/>
      <c r="G212" s="261"/>
      <c r="H212" s="261"/>
      <c r="I212" s="261"/>
      <c r="J212" s="261"/>
      <c r="K212" s="261"/>
      <c r="L212" s="261"/>
      <c r="M212" s="261"/>
      <c r="N212" s="353">
        <f>'Oct 11'!N212+'Jan 12'!N211</f>
        <v>4506</v>
      </c>
      <c r="O212" s="261"/>
      <c r="P212" s="354"/>
      <c r="Q212" s="363"/>
      <c r="R212" s="5"/>
    </row>
    <row r="213" spans="1:18" ht="15.6" x14ac:dyDescent="0.3">
      <c r="A213" s="360"/>
      <c r="B213" s="282" t="s">
        <v>278</v>
      </c>
      <c r="C213" s="361"/>
      <c r="D213" s="361"/>
      <c r="E213" s="335"/>
      <c r="F213" s="335"/>
      <c r="G213" s="335"/>
      <c r="H213" s="335"/>
      <c r="I213" s="335"/>
      <c r="J213" s="335"/>
      <c r="K213" s="335"/>
      <c r="L213" s="335"/>
      <c r="M213" s="335"/>
      <c r="N213" s="357"/>
      <c r="O213" s="335"/>
      <c r="P213" s="358"/>
      <c r="Q213" s="363"/>
      <c r="R213" s="5"/>
    </row>
    <row r="214" spans="1:18" ht="15.6" x14ac:dyDescent="0.3">
      <c r="A214" s="360"/>
      <c r="B214" s="261" t="s">
        <v>276</v>
      </c>
      <c r="C214" s="261"/>
      <c r="D214" s="261"/>
      <c r="E214" s="261"/>
      <c r="F214" s="261"/>
      <c r="G214" s="261"/>
      <c r="H214" s="261"/>
      <c r="I214" s="261"/>
      <c r="J214" s="261"/>
      <c r="K214" s="261"/>
      <c r="L214" s="261"/>
      <c r="M214" s="268">
        <v>1</v>
      </c>
      <c r="N214" s="353">
        <v>21</v>
      </c>
      <c r="O214" s="261"/>
      <c r="P214" s="354"/>
      <c r="Q214" s="363"/>
      <c r="R214" s="5"/>
    </row>
    <row r="215" spans="1:18" ht="15.6" x14ac:dyDescent="0.3">
      <c r="A215" s="351"/>
      <c r="B215" s="261" t="s">
        <v>95</v>
      </c>
      <c r="C215" s="292"/>
      <c r="D215" s="368"/>
      <c r="E215" s="261"/>
      <c r="F215" s="261"/>
      <c r="G215" s="261"/>
      <c r="H215" s="261"/>
      <c r="I215" s="261"/>
      <c r="J215" s="261"/>
      <c r="K215" s="261"/>
      <c r="L215" s="261"/>
      <c r="M215" s="261"/>
      <c r="N215" s="369">
        <v>14.94</v>
      </c>
      <c r="O215" s="261"/>
      <c r="P215" s="354"/>
      <c r="Q215" s="363"/>
      <c r="R215" s="5"/>
    </row>
    <row r="216" spans="1:18" ht="15.6" x14ac:dyDescent="0.3">
      <c r="A216" s="351"/>
      <c r="B216" s="261" t="s">
        <v>96</v>
      </c>
      <c r="C216" s="292"/>
      <c r="D216" s="368"/>
      <c r="E216" s="261"/>
      <c r="F216" s="261"/>
      <c r="G216" s="261"/>
      <c r="H216" s="261"/>
      <c r="I216" s="261"/>
      <c r="J216" s="261"/>
      <c r="K216" s="261"/>
      <c r="L216" s="261"/>
      <c r="M216" s="261"/>
      <c r="N216" s="369">
        <v>3.94</v>
      </c>
      <c r="O216" s="261"/>
      <c r="P216" s="354"/>
      <c r="Q216" s="363"/>
      <c r="R216" s="5"/>
    </row>
    <row r="217" spans="1:18" ht="15.6" x14ac:dyDescent="0.3">
      <c r="A217" s="351"/>
      <c r="B217" s="282" t="s">
        <v>251</v>
      </c>
      <c r="C217" s="370"/>
      <c r="D217" s="371"/>
      <c r="E217" s="335"/>
      <c r="F217" s="335"/>
      <c r="G217" s="335"/>
      <c r="H217" s="335"/>
      <c r="I217" s="335"/>
      <c r="J217" s="335"/>
      <c r="K217" s="335"/>
      <c r="L217" s="335"/>
      <c r="M217" s="335"/>
      <c r="N217" s="372"/>
      <c r="O217" s="335"/>
      <c r="P217" s="358"/>
      <c r="Q217" s="363"/>
      <c r="R217" s="5"/>
    </row>
    <row r="218" spans="1:18" ht="15.6" x14ac:dyDescent="0.3">
      <c r="A218" s="351"/>
      <c r="B218" s="261" t="s">
        <v>276</v>
      </c>
      <c r="C218" s="292"/>
      <c r="D218" s="368"/>
      <c r="E218" s="261"/>
      <c r="F218" s="261"/>
      <c r="G218" s="261"/>
      <c r="H218" s="261"/>
      <c r="I218" s="261"/>
      <c r="J218" s="261"/>
      <c r="K218" s="261"/>
      <c r="L218" s="261"/>
      <c r="M218" s="268">
        <v>4</v>
      </c>
      <c r="N218" s="353">
        <v>396</v>
      </c>
      <c r="O218" s="261"/>
      <c r="P218" s="354"/>
      <c r="Q218" s="373"/>
      <c r="R218" s="308"/>
    </row>
    <row r="219" spans="1:18" ht="15.6" x14ac:dyDescent="0.3">
      <c r="A219" s="351"/>
      <c r="B219" s="261" t="s">
        <v>252</v>
      </c>
      <c r="C219" s="292"/>
      <c r="D219" s="368"/>
      <c r="E219" s="261"/>
      <c r="F219" s="261"/>
      <c r="G219" s="261"/>
      <c r="H219" s="261"/>
      <c r="I219" s="261"/>
      <c r="J219" s="261"/>
      <c r="K219" s="261"/>
      <c r="L219" s="261"/>
      <c r="M219" s="261"/>
      <c r="N219" s="369">
        <v>6.15</v>
      </c>
      <c r="O219" s="261"/>
      <c r="P219" s="354"/>
      <c r="Q219" s="373"/>
      <c r="R219" s="308"/>
    </row>
    <row r="220" spans="1:18" ht="15.6" x14ac:dyDescent="0.3">
      <c r="A220" s="351"/>
      <c r="B220" s="361"/>
      <c r="C220" s="370"/>
      <c r="D220" s="371"/>
      <c r="E220" s="335"/>
      <c r="F220" s="335"/>
      <c r="G220" s="335"/>
      <c r="H220" s="335"/>
      <c r="I220" s="335"/>
      <c r="J220" s="335"/>
      <c r="K220" s="335"/>
      <c r="L220" s="335"/>
      <c r="M220" s="335"/>
      <c r="N220" s="374"/>
      <c r="O220" s="335"/>
      <c r="P220" s="358"/>
      <c r="Q220" s="363"/>
      <c r="R220" s="5"/>
    </row>
    <row r="221" spans="1:18" ht="17.399999999999999" x14ac:dyDescent="0.3">
      <c r="A221" s="351"/>
      <c r="B221" s="375" t="s">
        <v>244</v>
      </c>
      <c r="C221" s="370"/>
      <c r="D221" s="371"/>
      <c r="E221" s="335"/>
      <c r="F221" s="335"/>
      <c r="G221" s="335"/>
      <c r="H221" s="335"/>
      <c r="I221" s="376"/>
      <c r="J221" s="377" t="s">
        <v>243</v>
      </c>
      <c r="K221" s="335"/>
      <c r="L221" s="335"/>
      <c r="M221" s="335"/>
      <c r="N221" s="374"/>
      <c r="O221" s="335"/>
      <c r="P221" s="358"/>
      <c r="Q221" s="363"/>
      <c r="R221" s="5"/>
    </row>
    <row r="222" spans="1:18" ht="15.6" x14ac:dyDescent="0.3">
      <c r="A222" s="348"/>
      <c r="B222" s="222"/>
      <c r="C222" s="223"/>
      <c r="D222" s="224"/>
      <c r="E222" s="190"/>
      <c r="F222" s="190"/>
      <c r="G222" s="190"/>
      <c r="H222" s="190"/>
      <c r="I222" s="190"/>
      <c r="J222" s="190"/>
      <c r="K222" s="190"/>
      <c r="L222" s="190"/>
      <c r="M222" s="190"/>
      <c r="N222" s="349"/>
      <c r="O222" s="190"/>
      <c r="P222" s="344"/>
      <c r="Q222" s="350"/>
      <c r="R222" s="5"/>
    </row>
    <row r="223" spans="1:18" ht="15.6" x14ac:dyDescent="0.3">
      <c r="A223" s="251"/>
      <c r="B223" s="393" t="s">
        <v>290</v>
      </c>
      <c r="C223" s="395"/>
      <c r="D223" s="400"/>
      <c r="E223" s="395"/>
      <c r="F223" s="395"/>
      <c r="G223" s="395"/>
      <c r="H223" s="395"/>
      <c r="I223" s="395"/>
      <c r="J223" s="395"/>
      <c r="K223" s="395"/>
      <c r="L223" s="400" t="s">
        <v>113</v>
      </c>
      <c r="M223" s="395" t="s">
        <v>114</v>
      </c>
      <c r="N223" s="400" t="s">
        <v>123</v>
      </c>
      <c r="O223" s="395" t="s">
        <v>114</v>
      </c>
      <c r="P223" s="252"/>
      <c r="Q223" s="393"/>
      <c r="R223" s="5"/>
    </row>
    <row r="224" spans="1:18" ht="15.6" x14ac:dyDescent="0.3">
      <c r="A224" s="198"/>
      <c r="B224" s="235" t="s">
        <v>98</v>
      </c>
      <c r="C224" s="309"/>
      <c r="D224" s="230"/>
      <c r="E224" s="309"/>
      <c r="F224" s="309"/>
      <c r="G224" s="309"/>
      <c r="H224" s="309"/>
      <c r="I224" s="309"/>
      <c r="J224" s="309"/>
      <c r="K224" s="309"/>
      <c r="L224" s="330">
        <f t="shared" ref="L224:L231" si="1">+L235+L246+L257</f>
        <v>3413</v>
      </c>
      <c r="M224" s="382">
        <f t="shared" ref="M224:M231" si="2">L224/$L$232</f>
        <v>0.9847085978072706</v>
      </c>
      <c r="N224" s="331">
        <f t="shared" ref="N224:N231" si="3">+N235+N246+N257</f>
        <v>384554</v>
      </c>
      <c r="O224" s="382">
        <f t="shared" ref="O224:O231" si="4">N224/$N$232</f>
        <v>0.98357947075764629</v>
      </c>
      <c r="P224" s="306"/>
      <c r="Q224" s="233"/>
      <c r="R224" s="5"/>
    </row>
    <row r="225" spans="1:18" ht="15.6" x14ac:dyDescent="0.3">
      <c r="A225" s="260"/>
      <c r="B225" s="330" t="s">
        <v>99</v>
      </c>
      <c r="C225" s="381"/>
      <c r="D225" s="261"/>
      <c r="E225" s="382"/>
      <c r="F225" s="381"/>
      <c r="G225" s="381"/>
      <c r="H225" s="381"/>
      <c r="I225" s="381"/>
      <c r="J225" s="381"/>
      <c r="K225" s="381"/>
      <c r="L225" s="330">
        <f t="shared" si="1"/>
        <v>23</v>
      </c>
      <c r="M225" s="382">
        <f t="shared" si="2"/>
        <v>6.6358915175995384E-3</v>
      </c>
      <c r="N225" s="331">
        <f t="shared" si="3"/>
        <v>3944</v>
      </c>
      <c r="O225" s="382">
        <f t="shared" si="4"/>
        <v>1.0087627310255925E-2</v>
      </c>
      <c r="P225" s="354"/>
      <c r="Q225" s="373"/>
      <c r="R225" s="5"/>
    </row>
    <row r="226" spans="1:18" ht="15.6" x14ac:dyDescent="0.3">
      <c r="A226" s="260"/>
      <c r="B226" s="330" t="s">
        <v>100</v>
      </c>
      <c r="C226" s="381"/>
      <c r="D226" s="261"/>
      <c r="E226" s="382"/>
      <c r="F226" s="381"/>
      <c r="G226" s="381"/>
      <c r="H226" s="381"/>
      <c r="I226" s="381"/>
      <c r="J226" s="381"/>
      <c r="K226" s="381"/>
      <c r="L226" s="330">
        <f t="shared" si="1"/>
        <v>8</v>
      </c>
      <c r="M226" s="382">
        <f t="shared" si="2"/>
        <v>2.3081361800346219E-3</v>
      </c>
      <c r="N226" s="331">
        <f t="shared" si="3"/>
        <v>594</v>
      </c>
      <c r="O226" s="382">
        <f t="shared" si="4"/>
        <v>1.5192826121430069E-3</v>
      </c>
      <c r="P226" s="354"/>
      <c r="Q226" s="373"/>
      <c r="R226" s="5"/>
    </row>
    <row r="227" spans="1:18" ht="15.6" x14ac:dyDescent="0.3">
      <c r="A227" s="260"/>
      <c r="B227" s="330" t="s">
        <v>227</v>
      </c>
      <c r="C227" s="381"/>
      <c r="D227" s="261"/>
      <c r="E227" s="382"/>
      <c r="F227" s="381"/>
      <c r="G227" s="381"/>
      <c r="H227" s="381"/>
      <c r="I227" s="381"/>
      <c r="J227" s="381"/>
      <c r="K227" s="381"/>
      <c r="L227" s="330">
        <f t="shared" si="1"/>
        <v>3</v>
      </c>
      <c r="M227" s="382">
        <f t="shared" si="2"/>
        <v>8.6555106751298326E-4</v>
      </c>
      <c r="N227" s="331">
        <f t="shared" si="3"/>
        <v>123</v>
      </c>
      <c r="O227" s="382">
        <f t="shared" si="4"/>
        <v>3.1459892473668325E-4</v>
      </c>
      <c r="P227" s="354"/>
      <c r="Q227" s="373"/>
      <c r="R227" s="5"/>
    </row>
    <row r="228" spans="1:18" ht="15.6" x14ac:dyDescent="0.3">
      <c r="A228" s="260"/>
      <c r="B228" s="330" t="s">
        <v>228</v>
      </c>
      <c r="C228" s="381"/>
      <c r="D228" s="261"/>
      <c r="E228" s="382"/>
      <c r="F228" s="381"/>
      <c r="G228" s="381"/>
      <c r="H228" s="381"/>
      <c r="I228" s="381"/>
      <c r="J228" s="381"/>
      <c r="K228" s="381"/>
      <c r="L228" s="330">
        <f t="shared" si="1"/>
        <v>7</v>
      </c>
      <c r="M228" s="382">
        <f t="shared" si="2"/>
        <v>2.0196191575302942E-3</v>
      </c>
      <c r="N228" s="331">
        <f t="shared" si="3"/>
        <v>290</v>
      </c>
      <c r="O228" s="382">
        <f t="shared" si="4"/>
        <v>7.4173730222470036E-4</v>
      </c>
      <c r="P228" s="354"/>
      <c r="Q228" s="373"/>
      <c r="R228" s="5"/>
    </row>
    <row r="229" spans="1:18" ht="15.6" x14ac:dyDescent="0.3">
      <c r="A229" s="260"/>
      <c r="B229" s="330" t="s">
        <v>229</v>
      </c>
      <c r="C229" s="381"/>
      <c r="D229" s="261"/>
      <c r="E229" s="382"/>
      <c r="F229" s="381"/>
      <c r="G229" s="381"/>
      <c r="H229" s="381"/>
      <c r="I229" s="381"/>
      <c r="J229" s="381"/>
      <c r="K229" s="381"/>
      <c r="L229" s="330">
        <f t="shared" si="1"/>
        <v>3</v>
      </c>
      <c r="M229" s="382">
        <f t="shared" si="2"/>
        <v>8.6555106751298326E-4</v>
      </c>
      <c r="N229" s="331">
        <f t="shared" si="3"/>
        <v>239</v>
      </c>
      <c r="O229" s="382">
        <f t="shared" si="4"/>
        <v>6.1129384562656341E-4</v>
      </c>
      <c r="P229" s="354"/>
      <c r="Q229" s="373"/>
      <c r="R229" s="5"/>
    </row>
    <row r="230" spans="1:18" ht="15.6" x14ac:dyDescent="0.3">
      <c r="A230" s="260"/>
      <c r="B230" s="330" t="s">
        <v>230</v>
      </c>
      <c r="C230" s="381"/>
      <c r="D230" s="261"/>
      <c r="E230" s="382"/>
      <c r="F230" s="381"/>
      <c r="G230" s="381"/>
      <c r="H230" s="381"/>
      <c r="I230" s="381"/>
      <c r="J230" s="381"/>
      <c r="K230" s="381"/>
      <c r="L230" s="330">
        <f t="shared" si="1"/>
        <v>3</v>
      </c>
      <c r="M230" s="382">
        <f t="shared" si="2"/>
        <v>8.6555106751298326E-4</v>
      </c>
      <c r="N230" s="331">
        <f t="shared" si="3"/>
        <v>269</v>
      </c>
      <c r="O230" s="382">
        <f t="shared" si="4"/>
        <v>6.8802529068429108E-4</v>
      </c>
      <c r="P230" s="354"/>
      <c r="Q230" s="373"/>
      <c r="R230" s="5"/>
    </row>
    <row r="231" spans="1:18" ht="15.6" x14ac:dyDescent="0.3">
      <c r="A231" s="260"/>
      <c r="B231" s="330" t="s">
        <v>231</v>
      </c>
      <c r="C231" s="381"/>
      <c r="D231" s="261"/>
      <c r="E231" s="382"/>
      <c r="F231" s="381"/>
      <c r="G231" s="381"/>
      <c r="H231" s="381"/>
      <c r="I231" s="381"/>
      <c r="J231" s="381"/>
      <c r="K231" s="381"/>
      <c r="L231" s="330">
        <f t="shared" si="1"/>
        <v>6</v>
      </c>
      <c r="M231" s="382">
        <f t="shared" si="2"/>
        <v>1.7311021350259665E-3</v>
      </c>
      <c r="N231" s="331">
        <f t="shared" si="3"/>
        <v>961</v>
      </c>
      <c r="O231" s="382">
        <f t="shared" si="4"/>
        <v>2.4579639566825414E-3</v>
      </c>
      <c r="P231" s="354"/>
      <c r="Q231" s="373"/>
      <c r="R231" s="5"/>
    </row>
    <row r="232" spans="1:18" ht="15.6" x14ac:dyDescent="0.3">
      <c r="A232" s="260"/>
      <c r="B232" s="261" t="s">
        <v>129</v>
      </c>
      <c r="C232" s="261"/>
      <c r="D232" s="261"/>
      <c r="E232" s="261"/>
      <c r="F232" s="383"/>
      <c r="G232" s="383"/>
      <c r="H232" s="383"/>
      <c r="I232" s="383"/>
      <c r="J232" s="383"/>
      <c r="K232" s="383"/>
      <c r="L232" s="330">
        <f>SUM(L224:L231)</f>
        <v>3466</v>
      </c>
      <c r="M232" s="382">
        <f>SUM(M224:M231)</f>
        <v>0.99999999999999989</v>
      </c>
      <c r="N232" s="330">
        <f>SUM(N224:N231)</f>
        <v>390974</v>
      </c>
      <c r="O232" s="382">
        <f>SUM(O224:O231)</f>
        <v>1</v>
      </c>
      <c r="P232" s="261"/>
      <c r="Q232" s="264"/>
      <c r="R232" s="5"/>
    </row>
    <row r="233" spans="1:18" ht="15.6" x14ac:dyDescent="0.3">
      <c r="A233" s="348"/>
      <c r="B233" s="222"/>
      <c r="C233" s="223"/>
      <c r="D233" s="224"/>
      <c r="E233" s="190"/>
      <c r="F233" s="190"/>
      <c r="G233" s="190"/>
      <c r="H233" s="190"/>
      <c r="I233" s="190"/>
      <c r="J233" s="190"/>
      <c r="K233" s="190"/>
      <c r="L233" s="190"/>
      <c r="M233" s="190"/>
      <c r="N233" s="349"/>
      <c r="O233" s="190"/>
      <c r="P233" s="344"/>
      <c r="Q233" s="350"/>
      <c r="R233" s="5"/>
    </row>
    <row r="234" spans="1:18" ht="15.6" x14ac:dyDescent="0.3">
      <c r="A234" s="251"/>
      <c r="B234" s="393" t="s">
        <v>236</v>
      </c>
      <c r="C234" s="395"/>
      <c r="D234" s="400"/>
      <c r="E234" s="395"/>
      <c r="F234" s="395"/>
      <c r="G234" s="395"/>
      <c r="H234" s="395"/>
      <c r="I234" s="395"/>
      <c r="J234" s="395"/>
      <c r="K234" s="395"/>
      <c r="L234" s="400" t="s">
        <v>113</v>
      </c>
      <c r="M234" s="395" t="s">
        <v>114</v>
      </c>
      <c r="N234" s="400" t="s">
        <v>123</v>
      </c>
      <c r="O234" s="395" t="s">
        <v>114</v>
      </c>
      <c r="P234" s="252"/>
      <c r="Q234" s="393"/>
      <c r="R234" s="5"/>
    </row>
    <row r="235" spans="1:18" ht="15.6" x14ac:dyDescent="0.3">
      <c r="A235" s="198"/>
      <c r="B235" s="235" t="s">
        <v>98</v>
      </c>
      <c r="C235" s="309"/>
      <c r="D235" s="230"/>
      <c r="E235" s="309"/>
      <c r="F235" s="309"/>
      <c r="G235" s="309"/>
      <c r="H235" s="309"/>
      <c r="I235" s="309"/>
      <c r="J235" s="309"/>
      <c r="K235" s="309"/>
      <c r="L235" s="235">
        <v>3359</v>
      </c>
      <c r="M235" s="310">
        <f t="shared" ref="M235:M242" si="5">L235/$L$243</f>
        <v>0.98852266038846381</v>
      </c>
      <c r="N235" s="300">
        <v>375269</v>
      </c>
      <c r="O235" s="310">
        <f t="shared" ref="O235:O242" si="6">N235/$N$243</f>
        <v>0.98885633125866279</v>
      </c>
      <c r="P235" s="306"/>
      <c r="Q235" s="233"/>
      <c r="R235" s="5"/>
    </row>
    <row r="236" spans="1:18" ht="15.6" x14ac:dyDescent="0.3">
      <c r="A236" s="260"/>
      <c r="B236" s="330" t="s">
        <v>99</v>
      </c>
      <c r="C236" s="381"/>
      <c r="D236" s="261"/>
      <c r="E236" s="382"/>
      <c r="F236" s="381"/>
      <c r="G236" s="381"/>
      <c r="H236" s="381"/>
      <c r="I236" s="381"/>
      <c r="J236" s="381"/>
      <c r="K236" s="381"/>
      <c r="L236" s="330">
        <v>21</v>
      </c>
      <c r="M236" s="382">
        <f t="shared" si="5"/>
        <v>6.1801059446733369E-3</v>
      </c>
      <c r="N236" s="331">
        <v>3687</v>
      </c>
      <c r="O236" s="382">
        <f t="shared" si="6"/>
        <v>9.7154662211658555E-3</v>
      </c>
      <c r="P236" s="354"/>
      <c r="Q236" s="373"/>
      <c r="R236" s="5"/>
    </row>
    <row r="237" spans="1:18" ht="15.6" x14ac:dyDescent="0.3">
      <c r="A237" s="260"/>
      <c r="B237" s="330" t="s">
        <v>100</v>
      </c>
      <c r="C237" s="381"/>
      <c r="D237" s="261"/>
      <c r="E237" s="382"/>
      <c r="F237" s="381"/>
      <c r="G237" s="381"/>
      <c r="H237" s="381"/>
      <c r="I237" s="381"/>
      <c r="J237" s="381"/>
      <c r="K237" s="381"/>
      <c r="L237" s="330">
        <v>6</v>
      </c>
      <c r="M237" s="382">
        <f t="shared" si="5"/>
        <v>1.7657445556209534E-3</v>
      </c>
      <c r="N237" s="331">
        <v>172</v>
      </c>
      <c r="O237" s="382">
        <f t="shared" si="6"/>
        <v>4.5323032005438766E-4</v>
      </c>
      <c r="P237" s="354"/>
      <c r="Q237" s="373"/>
      <c r="R237" s="5"/>
    </row>
    <row r="238" spans="1:18" ht="15.6" x14ac:dyDescent="0.3">
      <c r="A238" s="260"/>
      <c r="B238" s="330" t="s">
        <v>227</v>
      </c>
      <c r="C238" s="381"/>
      <c r="D238" s="261"/>
      <c r="E238" s="382"/>
      <c r="F238" s="381"/>
      <c r="G238" s="381"/>
      <c r="H238" s="381"/>
      <c r="I238" s="381"/>
      <c r="J238" s="381"/>
      <c r="K238" s="381"/>
      <c r="L238" s="330">
        <v>3</v>
      </c>
      <c r="M238" s="382">
        <f t="shared" si="5"/>
        <v>8.828722778104767E-4</v>
      </c>
      <c r="N238" s="331">
        <v>123</v>
      </c>
      <c r="O238" s="382">
        <f t="shared" si="6"/>
        <v>3.2411238003889347E-4</v>
      </c>
      <c r="P238" s="354"/>
      <c r="Q238" s="373"/>
      <c r="R238" s="5"/>
    </row>
    <row r="239" spans="1:18" ht="15.6" x14ac:dyDescent="0.3">
      <c r="A239" s="260"/>
      <c r="B239" s="330" t="s">
        <v>228</v>
      </c>
      <c r="C239" s="381"/>
      <c r="D239" s="261"/>
      <c r="E239" s="382"/>
      <c r="F239" s="381"/>
      <c r="G239" s="381"/>
      <c r="H239" s="381"/>
      <c r="I239" s="381"/>
      <c r="J239" s="381"/>
      <c r="K239" s="381"/>
      <c r="L239" s="330">
        <v>5</v>
      </c>
      <c r="M239" s="382">
        <f t="shared" si="5"/>
        <v>1.4714537963507945E-3</v>
      </c>
      <c r="N239" s="331">
        <v>155</v>
      </c>
      <c r="O239" s="382">
        <f t="shared" si="6"/>
        <v>4.0843430004901211E-4</v>
      </c>
      <c r="P239" s="354"/>
      <c r="Q239" s="373"/>
      <c r="R239" s="5"/>
    </row>
    <row r="240" spans="1:18" ht="15.6" x14ac:dyDescent="0.3">
      <c r="A240" s="260"/>
      <c r="B240" s="330" t="s">
        <v>229</v>
      </c>
      <c r="C240" s="381"/>
      <c r="D240" s="261"/>
      <c r="E240" s="382"/>
      <c r="F240" s="381"/>
      <c r="G240" s="381"/>
      <c r="H240" s="381"/>
      <c r="I240" s="381"/>
      <c r="J240" s="381"/>
      <c r="K240" s="381"/>
      <c r="L240" s="330">
        <v>2</v>
      </c>
      <c r="M240" s="382">
        <f t="shared" si="5"/>
        <v>5.885815185403178E-4</v>
      </c>
      <c r="N240" s="331">
        <v>34</v>
      </c>
      <c r="O240" s="382">
        <f t="shared" si="6"/>
        <v>8.9592040010751038E-5</v>
      </c>
      <c r="P240" s="354"/>
      <c r="Q240" s="373"/>
      <c r="R240" s="5"/>
    </row>
    <row r="241" spans="1:18" ht="15.6" x14ac:dyDescent="0.3">
      <c r="A241" s="260"/>
      <c r="B241" s="330" t="s">
        <v>230</v>
      </c>
      <c r="C241" s="381"/>
      <c r="D241" s="261"/>
      <c r="E241" s="382"/>
      <c r="F241" s="381"/>
      <c r="G241" s="381"/>
      <c r="H241" s="381"/>
      <c r="I241" s="381"/>
      <c r="J241" s="381"/>
      <c r="K241" s="381"/>
      <c r="L241" s="330">
        <v>1</v>
      </c>
      <c r="M241" s="382">
        <f t="shared" si="5"/>
        <v>2.942907592701589E-4</v>
      </c>
      <c r="N241" s="331">
        <v>17</v>
      </c>
      <c r="O241" s="382">
        <f t="shared" si="6"/>
        <v>4.4796020005375519E-5</v>
      </c>
      <c r="P241" s="354"/>
      <c r="Q241" s="373"/>
      <c r="R241" s="5"/>
    </row>
    <row r="242" spans="1:18" ht="15.6" x14ac:dyDescent="0.3">
      <c r="A242" s="260"/>
      <c r="B242" s="330" t="s">
        <v>231</v>
      </c>
      <c r="C242" s="381"/>
      <c r="D242" s="261"/>
      <c r="E242" s="382"/>
      <c r="F242" s="381"/>
      <c r="G242" s="381"/>
      <c r="H242" s="381"/>
      <c r="I242" s="381"/>
      <c r="J242" s="381"/>
      <c r="K242" s="381"/>
      <c r="L242" s="330">
        <v>1</v>
      </c>
      <c r="M242" s="382">
        <f t="shared" si="5"/>
        <v>2.942907592701589E-4</v>
      </c>
      <c r="N242" s="331">
        <v>41</v>
      </c>
      <c r="O242" s="382">
        <f t="shared" si="6"/>
        <v>1.080374600129645E-4</v>
      </c>
      <c r="P242" s="354"/>
      <c r="Q242" s="373"/>
      <c r="R242" s="5"/>
    </row>
    <row r="243" spans="1:18" ht="15.6" x14ac:dyDescent="0.3">
      <c r="A243" s="260"/>
      <c r="B243" s="261" t="s">
        <v>129</v>
      </c>
      <c r="C243" s="261"/>
      <c r="D243" s="261"/>
      <c r="E243" s="261"/>
      <c r="F243" s="383"/>
      <c r="G243" s="383"/>
      <c r="H243" s="383"/>
      <c r="I243" s="383"/>
      <c r="J243" s="383"/>
      <c r="K243" s="383"/>
      <c r="L243" s="330">
        <f>SUM(L235:L242)</f>
        <v>3398</v>
      </c>
      <c r="M243" s="382">
        <f>SUM(M235:M242)</f>
        <v>1</v>
      </c>
      <c r="N243" s="331">
        <f>SUM(N235:N242)</f>
        <v>379498</v>
      </c>
      <c r="O243" s="382">
        <f>SUM(O235:O242)</f>
        <v>1</v>
      </c>
      <c r="P243" s="261"/>
      <c r="Q243" s="264"/>
      <c r="R243" s="5"/>
    </row>
    <row r="244" spans="1:18" ht="15.6" x14ac:dyDescent="0.3">
      <c r="A244" s="183"/>
      <c r="B244" s="257"/>
      <c r="C244" s="257"/>
      <c r="D244" s="257"/>
      <c r="E244" s="257"/>
      <c r="F244" s="378"/>
      <c r="G244" s="378"/>
      <c r="H244" s="378"/>
      <c r="I244" s="378"/>
      <c r="J244" s="378"/>
      <c r="K244" s="378"/>
      <c r="L244" s="302"/>
      <c r="M244" s="379"/>
      <c r="N244" s="380"/>
      <c r="O244" s="379"/>
      <c r="P244" s="257"/>
      <c r="Q244" s="257"/>
      <c r="R244" s="5"/>
    </row>
    <row r="245" spans="1:18" ht="15.6" x14ac:dyDescent="0.3">
      <c r="A245" s="316"/>
      <c r="B245" s="393" t="s">
        <v>238</v>
      </c>
      <c r="C245" s="395"/>
      <c r="D245" s="400"/>
      <c r="E245" s="395"/>
      <c r="F245" s="395"/>
      <c r="G245" s="395"/>
      <c r="H245" s="395"/>
      <c r="I245" s="395"/>
      <c r="J245" s="395"/>
      <c r="K245" s="395"/>
      <c r="L245" s="400" t="s">
        <v>113</v>
      </c>
      <c r="M245" s="395" t="s">
        <v>114</v>
      </c>
      <c r="N245" s="400" t="s">
        <v>123</v>
      </c>
      <c r="O245" s="395" t="s">
        <v>114</v>
      </c>
      <c r="P245" s="252"/>
      <c r="Q245" s="321"/>
      <c r="R245" s="5"/>
    </row>
    <row r="246" spans="1:18" ht="15.6" x14ac:dyDescent="0.3">
      <c r="A246" s="198"/>
      <c r="B246" s="235" t="s">
        <v>98</v>
      </c>
      <c r="C246" s="309"/>
      <c r="D246" s="230"/>
      <c r="E246" s="309"/>
      <c r="F246" s="309"/>
      <c r="G246" s="309"/>
      <c r="H246" s="309"/>
      <c r="I246" s="309"/>
      <c r="J246" s="309"/>
      <c r="K246" s="309"/>
      <c r="L246" s="235">
        <v>54</v>
      </c>
      <c r="M246" s="310">
        <f t="shared" ref="M246:M253" si="7">L246/$L$254</f>
        <v>0.80597014925373134</v>
      </c>
      <c r="N246" s="300">
        <v>9285</v>
      </c>
      <c r="O246" s="310">
        <f t="shared" ref="O246:O253" si="8">N246/$N$254</f>
        <v>0.81162587412587417</v>
      </c>
      <c r="P246" s="306"/>
      <c r="Q246" s="230"/>
      <c r="R246" s="5"/>
    </row>
    <row r="247" spans="1:18" ht="15.6" x14ac:dyDescent="0.3">
      <c r="A247" s="260"/>
      <c r="B247" s="330" t="s">
        <v>99</v>
      </c>
      <c r="C247" s="381"/>
      <c r="D247" s="261"/>
      <c r="E247" s="382"/>
      <c r="F247" s="381"/>
      <c r="G247" s="381"/>
      <c r="H247" s="381"/>
      <c r="I247" s="381"/>
      <c r="J247" s="381"/>
      <c r="K247" s="381"/>
      <c r="L247" s="330">
        <v>2</v>
      </c>
      <c r="M247" s="382">
        <f t="shared" si="7"/>
        <v>2.9850746268656716E-2</v>
      </c>
      <c r="N247" s="331">
        <v>257</v>
      </c>
      <c r="O247" s="382">
        <f t="shared" si="8"/>
        <v>2.2465034965034963E-2</v>
      </c>
      <c r="P247" s="354"/>
      <c r="Q247" s="264"/>
      <c r="R247" s="5"/>
    </row>
    <row r="248" spans="1:18" ht="15.6" x14ac:dyDescent="0.3">
      <c r="A248" s="260"/>
      <c r="B248" s="330" t="s">
        <v>100</v>
      </c>
      <c r="C248" s="381"/>
      <c r="D248" s="261"/>
      <c r="E248" s="382"/>
      <c r="F248" s="381"/>
      <c r="G248" s="381"/>
      <c r="H248" s="381"/>
      <c r="I248" s="381"/>
      <c r="J248" s="381"/>
      <c r="K248" s="381"/>
      <c r="L248" s="330">
        <v>2</v>
      </c>
      <c r="M248" s="382">
        <f t="shared" si="7"/>
        <v>2.9850746268656716E-2</v>
      </c>
      <c r="N248" s="331">
        <v>422</v>
      </c>
      <c r="O248" s="382">
        <f t="shared" si="8"/>
        <v>3.6888111888111891E-2</v>
      </c>
      <c r="P248" s="354"/>
      <c r="Q248" s="264"/>
      <c r="R248" s="5"/>
    </row>
    <row r="249" spans="1:18" ht="15.6" x14ac:dyDescent="0.3">
      <c r="A249" s="260"/>
      <c r="B249" s="330" t="s">
        <v>227</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228</v>
      </c>
      <c r="C250" s="381"/>
      <c r="D250" s="261"/>
      <c r="E250" s="382"/>
      <c r="F250" s="381"/>
      <c r="G250" s="381"/>
      <c r="H250" s="381"/>
      <c r="I250" s="381"/>
      <c r="J250" s="381"/>
      <c r="K250" s="381"/>
      <c r="L250" s="330">
        <v>2</v>
      </c>
      <c r="M250" s="382">
        <f t="shared" si="7"/>
        <v>2.9850746268656716E-2</v>
      </c>
      <c r="N250" s="331">
        <v>135</v>
      </c>
      <c r="O250" s="382">
        <f t="shared" si="8"/>
        <v>1.18006993006993E-2</v>
      </c>
      <c r="P250" s="354"/>
      <c r="Q250" s="264"/>
      <c r="R250" s="5"/>
    </row>
    <row r="251" spans="1:18" ht="15.6" x14ac:dyDescent="0.3">
      <c r="A251" s="260"/>
      <c r="B251" s="330" t="s">
        <v>229</v>
      </c>
      <c r="C251" s="381"/>
      <c r="D251" s="261"/>
      <c r="E251" s="382"/>
      <c r="F251" s="381"/>
      <c r="G251" s="381"/>
      <c r="H251" s="381"/>
      <c r="I251" s="381"/>
      <c r="J251" s="381"/>
      <c r="K251" s="381"/>
      <c r="L251" s="330">
        <v>1</v>
      </c>
      <c r="M251" s="382">
        <f t="shared" si="7"/>
        <v>1.4925373134328358E-2</v>
      </c>
      <c r="N251" s="331">
        <v>205</v>
      </c>
      <c r="O251" s="382">
        <f t="shared" si="8"/>
        <v>1.791958041958042E-2</v>
      </c>
      <c r="P251" s="354"/>
      <c r="Q251" s="264"/>
      <c r="R251" s="5"/>
    </row>
    <row r="252" spans="1:18" ht="15.6" x14ac:dyDescent="0.3">
      <c r="A252" s="260"/>
      <c r="B252" s="330" t="s">
        <v>230</v>
      </c>
      <c r="C252" s="381"/>
      <c r="D252" s="261"/>
      <c r="E252" s="382"/>
      <c r="F252" s="381"/>
      <c r="G252" s="381"/>
      <c r="H252" s="381"/>
      <c r="I252" s="381"/>
      <c r="J252" s="381"/>
      <c r="K252" s="381"/>
      <c r="L252" s="330">
        <v>1</v>
      </c>
      <c r="M252" s="382">
        <f t="shared" si="7"/>
        <v>1.4925373134328358E-2</v>
      </c>
      <c r="N252" s="331">
        <v>216</v>
      </c>
      <c r="O252" s="382">
        <f t="shared" si="8"/>
        <v>1.8881118881118882E-2</v>
      </c>
      <c r="P252" s="354"/>
      <c r="Q252" s="264"/>
      <c r="R252" s="5"/>
    </row>
    <row r="253" spans="1:18" ht="15.6" x14ac:dyDescent="0.3">
      <c r="A253" s="260"/>
      <c r="B253" s="330" t="s">
        <v>231</v>
      </c>
      <c r="C253" s="381"/>
      <c r="D253" s="261"/>
      <c r="E253" s="382"/>
      <c r="F253" s="381"/>
      <c r="G253" s="381"/>
      <c r="H253" s="381"/>
      <c r="I253" s="381"/>
      <c r="J253" s="381"/>
      <c r="K253" s="381"/>
      <c r="L253" s="330">
        <v>5</v>
      </c>
      <c r="M253" s="382">
        <f t="shared" si="7"/>
        <v>7.4626865671641784E-2</v>
      </c>
      <c r="N253" s="331">
        <v>920</v>
      </c>
      <c r="O253" s="382">
        <f t="shared" si="8"/>
        <v>8.0419580419580416E-2</v>
      </c>
      <c r="P253" s="354"/>
      <c r="Q253" s="264"/>
      <c r="R253" s="5"/>
    </row>
    <row r="254" spans="1:18" ht="15.6" x14ac:dyDescent="0.3">
      <c r="A254" s="260"/>
      <c r="B254" s="261" t="s">
        <v>129</v>
      </c>
      <c r="C254" s="261"/>
      <c r="D254" s="261"/>
      <c r="E254" s="261"/>
      <c r="F254" s="383"/>
      <c r="G254" s="383"/>
      <c r="H254" s="383"/>
      <c r="I254" s="383"/>
      <c r="J254" s="383"/>
      <c r="K254" s="383"/>
      <c r="L254" s="330">
        <f>SUM(L246:L253)</f>
        <v>67</v>
      </c>
      <c r="M254" s="382">
        <f>SUM(M246:M253)</f>
        <v>1</v>
      </c>
      <c r="N254" s="331">
        <f>SUM(N246:N253)</f>
        <v>11440</v>
      </c>
      <c r="O254" s="382">
        <f>SUM(O246:O253)</f>
        <v>1</v>
      </c>
      <c r="P254" s="261"/>
      <c r="Q254" s="264"/>
      <c r="R254" s="5"/>
    </row>
    <row r="255" spans="1:18" ht="15.6" x14ac:dyDescent="0.3">
      <c r="A255" s="183"/>
      <c r="B255" s="257"/>
      <c r="C255" s="257"/>
      <c r="D255" s="257"/>
      <c r="E255" s="257"/>
      <c r="F255" s="378"/>
      <c r="G255" s="378"/>
      <c r="H255" s="378"/>
      <c r="I255" s="378"/>
      <c r="J255" s="378"/>
      <c r="K255" s="378"/>
      <c r="L255" s="302"/>
      <c r="M255" s="379"/>
      <c r="N255" s="380"/>
      <c r="O255" s="379"/>
      <c r="P255" s="257"/>
      <c r="Q255" s="257"/>
      <c r="R255" s="5"/>
    </row>
    <row r="256" spans="1:18" ht="15.6" x14ac:dyDescent="0.3">
      <c r="A256" s="316"/>
      <c r="B256" s="393" t="s">
        <v>239</v>
      </c>
      <c r="C256" s="395"/>
      <c r="D256" s="400"/>
      <c r="E256" s="395"/>
      <c r="F256" s="395"/>
      <c r="G256" s="395"/>
      <c r="H256" s="395"/>
      <c r="I256" s="395"/>
      <c r="J256" s="395"/>
      <c r="K256" s="395"/>
      <c r="L256" s="400" t="s">
        <v>113</v>
      </c>
      <c r="M256" s="395" t="s">
        <v>114</v>
      </c>
      <c r="N256" s="400" t="s">
        <v>123</v>
      </c>
      <c r="O256" s="395" t="s">
        <v>114</v>
      </c>
      <c r="P256" s="320"/>
      <c r="Q256" s="321"/>
      <c r="R256" s="5"/>
    </row>
    <row r="257" spans="1:18" ht="15.6" x14ac:dyDescent="0.3">
      <c r="A257" s="198"/>
      <c r="B257" s="235" t="s">
        <v>98</v>
      </c>
      <c r="C257" s="309"/>
      <c r="D257" s="230"/>
      <c r="E257" s="309"/>
      <c r="F257" s="309"/>
      <c r="G257" s="309"/>
      <c r="H257" s="309"/>
      <c r="I257" s="309"/>
      <c r="J257" s="309"/>
      <c r="K257" s="309"/>
      <c r="L257" s="235">
        <v>0</v>
      </c>
      <c r="M257" s="310">
        <v>0</v>
      </c>
      <c r="N257" s="300">
        <v>0</v>
      </c>
      <c r="O257" s="310">
        <v>0</v>
      </c>
      <c r="P257" s="230"/>
      <c r="Q257" s="230"/>
      <c r="R257" s="5"/>
    </row>
    <row r="258" spans="1:18" ht="15.6" x14ac:dyDescent="0.3">
      <c r="A258" s="260"/>
      <c r="B258" s="330" t="s">
        <v>99</v>
      </c>
      <c r="C258" s="381"/>
      <c r="D258" s="261"/>
      <c r="E258" s="382"/>
      <c r="F258" s="381"/>
      <c r="G258" s="381"/>
      <c r="H258" s="381"/>
      <c r="I258" s="381"/>
      <c r="J258" s="381"/>
      <c r="K258" s="381"/>
      <c r="L258" s="330">
        <v>0</v>
      </c>
      <c r="M258" s="382">
        <v>0</v>
      </c>
      <c r="N258" s="331">
        <v>0</v>
      </c>
      <c r="O258" s="382">
        <v>0</v>
      </c>
      <c r="P258" s="261"/>
      <c r="Q258" s="264"/>
      <c r="R258" s="5"/>
    </row>
    <row r="259" spans="1:18" ht="15.6" x14ac:dyDescent="0.3">
      <c r="A259" s="260"/>
      <c r="B259" s="330" t="s">
        <v>100</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227</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228</v>
      </c>
      <c r="C261" s="381"/>
      <c r="D261" s="261"/>
      <c r="E261" s="382"/>
      <c r="F261" s="381"/>
      <c r="G261" s="381"/>
      <c r="H261" s="381"/>
      <c r="I261" s="381"/>
      <c r="J261" s="381"/>
      <c r="K261" s="381"/>
      <c r="L261" s="330">
        <v>0</v>
      </c>
      <c r="M261" s="382">
        <f>L261/L265</f>
        <v>0</v>
      </c>
      <c r="N261" s="331">
        <v>0</v>
      </c>
      <c r="O261" s="382">
        <f>N261/N265</f>
        <v>0</v>
      </c>
      <c r="P261" s="261"/>
      <c r="Q261" s="264"/>
      <c r="R261" s="5"/>
    </row>
    <row r="262" spans="1:18" ht="15.6" x14ac:dyDescent="0.3">
      <c r="A262" s="260"/>
      <c r="B262" s="330" t="s">
        <v>229</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230</v>
      </c>
      <c r="C263" s="381"/>
      <c r="D263" s="261"/>
      <c r="E263" s="382"/>
      <c r="F263" s="381"/>
      <c r="G263" s="381"/>
      <c r="H263" s="381"/>
      <c r="I263" s="381"/>
      <c r="J263" s="381"/>
      <c r="K263" s="381"/>
      <c r="L263" s="330">
        <v>1</v>
      </c>
      <c r="M263" s="382">
        <f>L263/L265</f>
        <v>1</v>
      </c>
      <c r="N263" s="331">
        <v>36</v>
      </c>
      <c r="O263" s="382">
        <f>N263/N265</f>
        <v>1</v>
      </c>
      <c r="P263" s="261"/>
      <c r="Q263" s="264"/>
      <c r="R263" s="5"/>
    </row>
    <row r="264" spans="1:18" ht="15.6" x14ac:dyDescent="0.3">
      <c r="A264" s="260"/>
      <c r="B264" s="330" t="s">
        <v>231</v>
      </c>
      <c r="C264" s="381"/>
      <c r="D264" s="261"/>
      <c r="E264" s="382"/>
      <c r="F264" s="381"/>
      <c r="G264" s="381"/>
      <c r="H264" s="381"/>
      <c r="I264" s="381"/>
      <c r="J264" s="381"/>
      <c r="K264" s="381"/>
      <c r="L264" s="330">
        <v>0</v>
      </c>
      <c r="M264" s="382">
        <f>L264/L265</f>
        <v>0</v>
      </c>
      <c r="N264" s="331">
        <v>0</v>
      </c>
      <c r="O264" s="382">
        <f>N264/N265</f>
        <v>0</v>
      </c>
      <c r="P264" s="261"/>
      <c r="Q264" s="264"/>
      <c r="R264" s="5"/>
    </row>
    <row r="265" spans="1:18" ht="15.6" x14ac:dyDescent="0.3">
      <c r="A265" s="260"/>
      <c r="B265" s="261" t="s">
        <v>129</v>
      </c>
      <c r="C265" s="261"/>
      <c r="D265" s="261"/>
      <c r="E265" s="261"/>
      <c r="F265" s="383"/>
      <c r="G265" s="383"/>
      <c r="H265" s="383"/>
      <c r="I265" s="383"/>
      <c r="J265" s="383"/>
      <c r="K265" s="383"/>
      <c r="L265" s="330">
        <f>SUM(L257:L264)</f>
        <v>1</v>
      </c>
      <c r="M265" s="382">
        <f>SUM(M257:M264)</f>
        <v>1</v>
      </c>
      <c r="N265" s="331">
        <f>SUM(N257:N264)</f>
        <v>36</v>
      </c>
      <c r="O265" s="382">
        <f>SUM(O257:O264)</f>
        <v>1</v>
      </c>
      <c r="P265" s="261"/>
      <c r="Q265" s="264"/>
      <c r="R265" s="5"/>
    </row>
    <row r="266" spans="1:18" ht="15.6" x14ac:dyDescent="0.3">
      <c r="A266" s="260"/>
      <c r="B266" s="261"/>
      <c r="C266" s="261"/>
      <c r="D266" s="261"/>
      <c r="E266" s="261"/>
      <c r="F266" s="383"/>
      <c r="G266" s="383"/>
      <c r="H266" s="383"/>
      <c r="I266" s="383"/>
      <c r="J266" s="383"/>
      <c r="K266" s="383"/>
      <c r="L266" s="330"/>
      <c r="M266" s="382"/>
      <c r="N266" s="331"/>
      <c r="O266" s="382"/>
      <c r="P266" s="261"/>
      <c r="Q266" s="264"/>
      <c r="R266" s="5"/>
    </row>
    <row r="267" spans="1:18" ht="15.6" x14ac:dyDescent="0.3">
      <c r="A267" s="260"/>
      <c r="B267" s="266" t="s">
        <v>240</v>
      </c>
      <c r="C267" s="261"/>
      <c r="D267" s="261"/>
      <c r="E267" s="261"/>
      <c r="F267" s="383"/>
      <c r="G267" s="383"/>
      <c r="H267" s="383"/>
      <c r="I267" s="383"/>
      <c r="J267" s="383"/>
      <c r="K267" s="383"/>
      <c r="L267" s="401">
        <f>+L243+L254+L265</f>
        <v>3466</v>
      </c>
      <c r="M267" s="382"/>
      <c r="N267" s="386">
        <f>+N265+N254+N243</f>
        <v>390974</v>
      </c>
      <c r="O267" s="382"/>
      <c r="P267" s="261"/>
      <c r="Q267" s="264"/>
      <c r="R267" s="5"/>
    </row>
    <row r="268" spans="1:18" ht="15.6" x14ac:dyDescent="0.3">
      <c r="A268" s="183"/>
      <c r="B268" s="257"/>
      <c r="C268" s="257"/>
      <c r="D268" s="257"/>
      <c r="E268" s="257"/>
      <c r="F268" s="378"/>
      <c r="G268" s="378"/>
      <c r="H268" s="378"/>
      <c r="I268" s="378"/>
      <c r="J268" s="378"/>
      <c r="K268" s="378"/>
      <c r="L268" s="378"/>
      <c r="M268" s="378"/>
      <c r="N268" s="380"/>
      <c r="O268" s="378"/>
      <c r="P268" s="257"/>
      <c r="Q268" s="257"/>
      <c r="R268" s="5"/>
    </row>
    <row r="269" spans="1:18" ht="15.6" x14ac:dyDescent="0.3">
      <c r="A269" s="183"/>
      <c r="B269" s="236"/>
      <c r="C269" s="236"/>
      <c r="D269" s="236"/>
      <c r="E269" s="236"/>
      <c r="F269" s="311"/>
      <c r="G269" s="311"/>
      <c r="H269" s="311"/>
      <c r="I269" s="311"/>
      <c r="J269" s="311"/>
      <c r="K269" s="311"/>
      <c r="L269" s="311"/>
      <c r="M269" s="311"/>
      <c r="N269" s="312"/>
      <c r="O269" s="311"/>
      <c r="P269" s="236"/>
      <c r="Q269" s="236"/>
      <c r="R269" s="5"/>
    </row>
    <row r="270" spans="1:18" ht="15.6" x14ac:dyDescent="0.3">
      <c r="A270" s="225"/>
      <c r="B270" s="228" t="s">
        <v>102</v>
      </c>
      <c r="C270" s="236"/>
      <c r="D270" s="236"/>
      <c r="E270" s="236"/>
      <c r="F270" s="246" t="s">
        <v>108</v>
      </c>
      <c r="G270" s="236"/>
      <c r="H270" s="228" t="s">
        <v>110</v>
      </c>
      <c r="I270" s="249"/>
      <c r="J270" s="249"/>
      <c r="K270" s="249"/>
      <c r="L270" s="249"/>
      <c r="M270" s="249"/>
      <c r="N270" s="249"/>
      <c r="O270" s="249"/>
      <c r="P270" s="249"/>
      <c r="Q270" s="249"/>
      <c r="R270" s="5"/>
    </row>
    <row r="271" spans="1:18" ht="15.6" x14ac:dyDescent="0.3">
      <c r="A271" s="225"/>
      <c r="B271" s="249"/>
      <c r="C271" s="236"/>
      <c r="D271" s="236"/>
      <c r="E271" s="236"/>
      <c r="F271" s="236"/>
      <c r="G271" s="236"/>
      <c r="H271" s="236"/>
      <c r="I271" s="249"/>
      <c r="J271" s="249"/>
      <c r="K271" s="249"/>
      <c r="L271" s="249"/>
      <c r="M271" s="249"/>
      <c r="N271" s="249"/>
      <c r="O271" s="249"/>
      <c r="P271" s="249"/>
      <c r="Q271" s="249"/>
      <c r="R271" s="5"/>
    </row>
    <row r="272" spans="1:18" ht="15.6" x14ac:dyDescent="0.3">
      <c r="A272" s="225"/>
      <c r="B272" s="228" t="s">
        <v>103</v>
      </c>
      <c r="C272" s="228"/>
      <c r="D272" s="228"/>
      <c r="E272" s="228"/>
      <c r="F272" s="313" t="s">
        <v>212</v>
      </c>
      <c r="G272" s="228"/>
      <c r="H272" s="228" t="s">
        <v>222</v>
      </c>
      <c r="I272" s="249"/>
      <c r="J272" s="249"/>
      <c r="K272" s="249"/>
      <c r="L272" s="249"/>
      <c r="M272" s="249"/>
      <c r="N272" s="249"/>
      <c r="O272" s="249"/>
      <c r="P272" s="249"/>
      <c r="Q272" s="249"/>
      <c r="R272" s="5"/>
    </row>
    <row r="273" spans="1:18" ht="15.6" x14ac:dyDescent="0.3">
      <c r="A273" s="225"/>
      <c r="B273" s="228" t="s">
        <v>263</v>
      </c>
      <c r="C273" s="228"/>
      <c r="D273" s="228"/>
      <c r="E273" s="228"/>
      <c r="F273" s="313" t="s">
        <v>264</v>
      </c>
      <c r="G273" s="228"/>
      <c r="H273" s="228" t="s">
        <v>265</v>
      </c>
      <c r="I273" s="249"/>
      <c r="J273" s="249"/>
      <c r="K273" s="249"/>
      <c r="L273" s="249"/>
      <c r="M273" s="249"/>
      <c r="N273" s="249"/>
      <c r="O273" s="249"/>
      <c r="P273" s="249"/>
      <c r="Q273" s="249"/>
      <c r="R273" s="5"/>
    </row>
    <row r="274" spans="1:18" ht="15.6" x14ac:dyDescent="0.3">
      <c r="A274" s="225"/>
      <c r="B274" s="228" t="s">
        <v>104</v>
      </c>
      <c r="C274" s="228"/>
      <c r="D274" s="228"/>
      <c r="E274" s="228"/>
      <c r="F274" s="313" t="s">
        <v>211</v>
      </c>
      <c r="G274" s="228"/>
      <c r="H274" s="228" t="s">
        <v>223</v>
      </c>
      <c r="I274" s="249"/>
      <c r="J274" s="249"/>
      <c r="K274" s="249"/>
      <c r="L274" s="249"/>
      <c r="M274" s="249"/>
      <c r="N274" s="249"/>
      <c r="O274" s="249"/>
      <c r="P274" s="249"/>
      <c r="Q274" s="249"/>
      <c r="R274" s="5"/>
    </row>
    <row r="275" spans="1:18" ht="15.6" x14ac:dyDescent="0.3">
      <c r="A275" s="225"/>
      <c r="B275" s="228"/>
      <c r="C275" s="228"/>
      <c r="D275" s="228"/>
      <c r="E275" s="314"/>
      <c r="F275" s="249"/>
      <c r="G275" s="249"/>
      <c r="H275" s="249"/>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8" thickBot="1" x14ac:dyDescent="0.35">
      <c r="A277" s="225"/>
      <c r="B277" s="315" t="str">
        <f>B184</f>
        <v>PM7 INVESTOR REPORT QUARTER ENDING JANUARY 2012</v>
      </c>
      <c r="C277" s="228"/>
      <c r="D277" s="228"/>
      <c r="E277" s="314"/>
      <c r="F277" s="249"/>
      <c r="G277" s="249"/>
      <c r="H277" s="249"/>
      <c r="I277" s="249"/>
      <c r="J277" s="249"/>
      <c r="K277" s="249"/>
      <c r="L277" s="249"/>
      <c r="M277" s="249"/>
      <c r="N277" s="249"/>
      <c r="O277" s="249"/>
      <c r="P277" s="249"/>
      <c r="Q277" s="24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7" man="1"/>
    <brk id="132" max="14" man="1"/>
    <brk id="184" max="14"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0.9577</v>
      </c>
      <c r="N17" s="246" t="s">
        <v>173</v>
      </c>
      <c r="O17" s="245">
        <v>4.2299999999999997E-2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41050</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292</v>
      </c>
      <c r="E28" s="392"/>
      <c r="F28" s="392" t="s">
        <v>292</v>
      </c>
      <c r="G28" s="392"/>
      <c r="H28" s="392" t="s">
        <v>292</v>
      </c>
      <c r="I28" s="392"/>
      <c r="J28" s="392" t="s">
        <v>262</v>
      </c>
      <c r="K28" s="392"/>
      <c r="L28" s="392" t="s">
        <v>262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173591.95499999999</v>
      </c>
      <c r="E34" s="271"/>
      <c r="F34" s="272">
        <f>+F33*F40</f>
        <v>84842.559999999998</v>
      </c>
      <c r="G34" s="271"/>
      <c r="H34" s="273">
        <f>+H33*H40</f>
        <v>192892.2</v>
      </c>
      <c r="I34" s="271"/>
      <c r="J34" s="270">
        <f>J33*J40</f>
        <v>71623.497000000003</v>
      </c>
      <c r="K34" s="271"/>
      <c r="L34" s="273">
        <f>L33*L40</f>
        <v>56430.601499999997</v>
      </c>
      <c r="M34" s="271"/>
      <c r="N34" s="271"/>
      <c r="O34" s="274"/>
      <c r="P34" s="271"/>
      <c r="Q34" s="275"/>
      <c r="R34" s="5"/>
    </row>
    <row r="35" spans="1:19" ht="15.6" x14ac:dyDescent="0.3">
      <c r="A35" s="265"/>
      <c r="B35" s="266" t="s">
        <v>158</v>
      </c>
      <c r="C35" s="276"/>
      <c r="D35" s="277">
        <f>+D33*D39</f>
        <v>172248.12</v>
      </c>
      <c r="E35" s="278"/>
      <c r="F35" s="279">
        <f>+F33*F39</f>
        <v>84185.771999999997</v>
      </c>
      <c r="G35" s="278"/>
      <c r="H35" s="280">
        <f>+H33*H39</f>
        <v>191398.95</v>
      </c>
      <c r="I35" s="278"/>
      <c r="J35" s="277">
        <f>J33*J39</f>
        <v>71069.031000000003</v>
      </c>
      <c r="K35" s="278"/>
      <c r="L35" s="280">
        <f>L33*L39</f>
        <v>55993.749499999998</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97578.38954468802</v>
      </c>
      <c r="E37" s="271"/>
      <c r="F37" s="271">
        <f>+F34</f>
        <v>84842.559999999998</v>
      </c>
      <c r="G37" s="271"/>
      <c r="H37" s="271">
        <f>+H34/1.481481</f>
        <v>130202.27731574012</v>
      </c>
      <c r="I37" s="271"/>
      <c r="J37" s="271">
        <f>J36*J40</f>
        <v>40260.218786400001</v>
      </c>
      <c r="K37" s="271"/>
      <c r="L37" s="271">
        <f>L36*L40</f>
        <v>38090.656012499996</v>
      </c>
      <c r="M37" s="271"/>
      <c r="N37" s="271"/>
      <c r="O37" s="274"/>
      <c r="P37" s="271">
        <f>SUM(C37:L37)</f>
        <v>390974.10165932809</v>
      </c>
      <c r="Q37" s="275"/>
      <c r="R37" s="5"/>
      <c r="S37" s="154"/>
    </row>
    <row r="38" spans="1:19" ht="15.6" x14ac:dyDescent="0.3">
      <c r="A38" s="265"/>
      <c r="B38" s="266" t="s">
        <v>281</v>
      </c>
      <c r="C38" s="276"/>
      <c r="D38" s="278">
        <f>D35/1.779</f>
        <v>96823.001686340649</v>
      </c>
      <c r="E38" s="278"/>
      <c r="F38" s="278">
        <f>+F35</f>
        <v>84185.771999999997</v>
      </c>
      <c r="G38" s="278"/>
      <c r="H38" s="278">
        <f>H35/1.481481</f>
        <v>129194.3332381583</v>
      </c>
      <c r="I38" s="278"/>
      <c r="J38" s="278">
        <f>J36*J39</f>
        <v>39948.548407199996</v>
      </c>
      <c r="K38" s="278"/>
      <c r="L38" s="278">
        <f>L36*L39</f>
        <v>37795.780912499999</v>
      </c>
      <c r="M38" s="278"/>
      <c r="N38" s="278"/>
      <c r="O38" s="281"/>
      <c r="P38" s="278">
        <f>SUM(D38:L38)</f>
        <v>387947.43624419894</v>
      </c>
      <c r="Q38" s="275"/>
      <c r="R38" s="5"/>
      <c r="S38" s="176"/>
    </row>
    <row r="39" spans="1:19" ht="15.6" x14ac:dyDescent="0.3">
      <c r="A39" s="265"/>
      <c r="B39" s="282" t="s">
        <v>154</v>
      </c>
      <c r="C39" s="283"/>
      <c r="D39" s="284">
        <v>0.38277359999999999</v>
      </c>
      <c r="E39" s="284"/>
      <c r="F39" s="284">
        <v>0.38266260000000002</v>
      </c>
      <c r="G39" s="284"/>
      <c r="H39" s="284">
        <v>0.38279790000000002</v>
      </c>
      <c r="I39" s="284"/>
      <c r="J39" s="284">
        <v>0.86144279999999995</v>
      </c>
      <c r="K39" s="284"/>
      <c r="L39" s="284">
        <v>0.86144229999999999</v>
      </c>
      <c r="M39" s="285"/>
      <c r="N39" s="285"/>
      <c r="O39" s="286"/>
      <c r="P39" s="285"/>
      <c r="Q39" s="287"/>
      <c r="R39" s="5"/>
    </row>
    <row r="40" spans="1:19" ht="15.6" x14ac:dyDescent="0.3">
      <c r="A40" s="265"/>
      <c r="B40" s="282" t="s">
        <v>155</v>
      </c>
      <c r="C40" s="283"/>
      <c r="D40" s="284">
        <v>0.38575989999999999</v>
      </c>
      <c r="E40" s="284"/>
      <c r="F40" s="284">
        <v>0.38564799999999999</v>
      </c>
      <c r="G40" s="284"/>
      <c r="H40" s="284">
        <v>0.38578440000000003</v>
      </c>
      <c r="I40" s="284"/>
      <c r="J40" s="284">
        <v>0.86816360000000004</v>
      </c>
      <c r="K40" s="284"/>
      <c r="L40" s="284">
        <v>0.86816309999999997</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9.2259999999999998E-3</v>
      </c>
      <c r="E42" s="290"/>
      <c r="F42" s="289">
        <v>1.49581E-2</v>
      </c>
      <c r="G42" s="290"/>
      <c r="H42" s="289">
        <v>1.477E-2</v>
      </c>
      <c r="I42" s="290"/>
      <c r="J42" s="289">
        <v>2.0025999999999999E-2</v>
      </c>
      <c r="K42" s="290"/>
      <c r="L42" s="289">
        <v>2.5569999999999999E-2</v>
      </c>
      <c r="M42" s="290"/>
      <c r="N42" s="289"/>
      <c r="O42" s="263"/>
      <c r="P42" s="290"/>
      <c r="Q42" s="264"/>
      <c r="R42" s="5"/>
    </row>
    <row r="43" spans="1:19" ht="15.6" x14ac:dyDescent="0.3">
      <c r="A43" s="260"/>
      <c r="B43" s="261" t="s">
        <v>14</v>
      </c>
      <c r="C43" s="261"/>
      <c r="D43" s="289">
        <v>8.7722000000000008E-3</v>
      </c>
      <c r="E43" s="290"/>
      <c r="F43" s="289">
        <v>1.42763E-2</v>
      </c>
      <c r="G43" s="290"/>
      <c r="H43" s="289">
        <v>1.882E-2</v>
      </c>
      <c r="I43" s="290"/>
      <c r="J43" s="289">
        <v>1.9572200000000001E-2</v>
      </c>
      <c r="K43" s="290"/>
      <c r="L43" s="289">
        <v>2.962E-2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1.6848100000000001E-2</v>
      </c>
      <c r="E45" s="290"/>
      <c r="F45" s="289">
        <f>+F42</f>
        <v>1.49581E-2</v>
      </c>
      <c r="G45" s="290"/>
      <c r="H45" s="289">
        <v>1.6608100000000001E-2</v>
      </c>
      <c r="I45" s="290"/>
      <c r="J45" s="289">
        <v>2.9108100000000001E-2</v>
      </c>
      <c r="K45" s="290"/>
      <c r="L45" s="289">
        <v>2.9108100000000001E-2</v>
      </c>
      <c r="M45" s="290"/>
      <c r="N45" s="289"/>
      <c r="O45" s="263"/>
      <c r="P45" s="290">
        <f>SUMPRODUCT(D45:L45,D37:L37)/P37</f>
        <v>1.8814932935519557E-2</v>
      </c>
      <c r="Q45" s="264"/>
      <c r="R45" s="5"/>
    </row>
    <row r="46" spans="1:19" ht="15.6" x14ac:dyDescent="0.3">
      <c r="A46" s="260"/>
      <c r="B46" s="261" t="s">
        <v>283</v>
      </c>
      <c r="C46" s="261"/>
      <c r="D46" s="289">
        <v>1.6166300000000002E-2</v>
      </c>
      <c r="E46" s="290"/>
      <c r="F46" s="289">
        <f>+F43</f>
        <v>1.42763E-2</v>
      </c>
      <c r="G46" s="290"/>
      <c r="H46" s="289">
        <v>1.5926300000000001E-2</v>
      </c>
      <c r="I46" s="290"/>
      <c r="J46" s="289">
        <v>2.8426300000000002E-2</v>
      </c>
      <c r="K46" s="290"/>
      <c r="L46" s="289">
        <v>2.8426300000000002E-2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0.25062395438425555</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41044</v>
      </c>
      <c r="Q57" s="264"/>
      <c r="R57" s="5"/>
    </row>
    <row r="58" spans="1:18" ht="15.6" x14ac:dyDescent="0.3">
      <c r="A58" s="260"/>
      <c r="B58" s="261" t="s">
        <v>142</v>
      </c>
      <c r="C58" s="261"/>
      <c r="D58" s="261"/>
      <c r="E58" s="261"/>
      <c r="F58" s="297"/>
      <c r="G58" s="297"/>
      <c r="H58" s="297"/>
      <c r="I58" s="297"/>
      <c r="J58" s="297"/>
      <c r="K58" s="297"/>
      <c r="L58" s="261">
        <f>+P58-N58+1</f>
        <v>92</v>
      </c>
      <c r="M58" s="297"/>
      <c r="N58" s="298">
        <v>40862</v>
      </c>
      <c r="O58" s="299"/>
      <c r="P58" s="298">
        <v>40953</v>
      </c>
      <c r="Q58" s="264"/>
      <c r="R58" s="5"/>
    </row>
    <row r="59" spans="1:18" ht="15.6" x14ac:dyDescent="0.3">
      <c r="A59" s="260"/>
      <c r="B59" s="261" t="s">
        <v>143</v>
      </c>
      <c r="C59" s="261"/>
      <c r="D59" s="261"/>
      <c r="E59" s="261"/>
      <c r="F59" s="261"/>
      <c r="G59" s="261"/>
      <c r="H59" s="261"/>
      <c r="I59" s="261"/>
      <c r="J59" s="261"/>
      <c r="K59" s="261"/>
      <c r="L59" s="261">
        <f>+P59-N59+1</f>
        <v>90</v>
      </c>
      <c r="M59" s="261"/>
      <c r="N59" s="298">
        <v>40954</v>
      </c>
      <c r="O59" s="299"/>
      <c r="P59" s="298">
        <v>41043</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41030</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299</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390974</v>
      </c>
      <c r="I69" s="330"/>
      <c r="J69" s="330">
        <f>3027+163</f>
        <v>3190</v>
      </c>
      <c r="K69" s="330"/>
      <c r="L69" s="330">
        <v>163</v>
      </c>
      <c r="M69" s="330"/>
      <c r="N69" s="330">
        <v>0</v>
      </c>
      <c r="O69" s="330"/>
      <c r="P69" s="331">
        <f>+H69-J69+L69-N69</f>
        <v>387947</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390974</v>
      </c>
      <c r="I72" s="330"/>
      <c r="J72" s="330">
        <f>SUM(J69:J71)</f>
        <v>3190</v>
      </c>
      <c r="K72" s="330"/>
      <c r="L72" s="330">
        <f>SUM(L69:L71)</f>
        <v>163</v>
      </c>
      <c r="M72" s="330"/>
      <c r="N72" s="330">
        <f>SUM(N69:N71)</f>
        <v>0</v>
      </c>
      <c r="O72" s="330"/>
      <c r="P72" s="330">
        <f>SUM(P69:P71)</f>
        <v>387947</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+N129</f>
        <v>0</v>
      </c>
      <c r="Q85" s="264"/>
      <c r="R85" s="5"/>
    </row>
    <row r="86" spans="1:18" ht="15.6" x14ac:dyDescent="0.3">
      <c r="A86" s="260"/>
      <c r="B86" s="261" t="s">
        <v>30</v>
      </c>
      <c r="C86" s="330"/>
      <c r="D86" s="330"/>
      <c r="E86" s="330"/>
      <c r="F86" s="330">
        <f>SUM(F72:F85)</f>
        <v>900700</v>
      </c>
      <c r="G86" s="330"/>
      <c r="H86" s="330">
        <f>SUM(H72:H85)</f>
        <v>390974</v>
      </c>
      <c r="I86" s="330"/>
      <c r="J86" s="330">
        <f>SUM(J72:J85)</f>
        <v>3190</v>
      </c>
      <c r="K86" s="330"/>
      <c r="L86" s="330">
        <f>SUM(L72:L85)</f>
        <v>163</v>
      </c>
      <c r="M86" s="330"/>
      <c r="N86" s="330"/>
      <c r="O86" s="330"/>
      <c r="P86" s="330">
        <f>SUM(P72:P85)</f>
        <v>387947</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41029</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3190-241</f>
        <v>2949</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3327+157-799-41</f>
        <v>2644</v>
      </c>
      <c r="Q92" s="264"/>
      <c r="R92" s="5"/>
    </row>
    <row r="93" spans="1:18" ht="15.6" x14ac:dyDescent="0.3">
      <c r="A93" s="260"/>
      <c r="B93" s="261" t="s">
        <v>249</v>
      </c>
      <c r="C93" s="261"/>
      <c r="D93" s="261"/>
      <c r="E93" s="261"/>
      <c r="F93" s="292"/>
      <c r="G93" s="332"/>
      <c r="H93" s="333"/>
      <c r="I93" s="261"/>
      <c r="J93" s="261"/>
      <c r="K93" s="261"/>
      <c r="L93" s="261"/>
      <c r="M93" s="261"/>
      <c r="N93" s="330"/>
      <c r="O93" s="261"/>
      <c r="P93" s="331">
        <f>80+1</f>
        <v>81</v>
      </c>
      <c r="Q93" s="264"/>
      <c r="R93" s="5"/>
    </row>
    <row r="94" spans="1:18" ht="15.6" x14ac:dyDescent="0.3">
      <c r="A94" s="260"/>
      <c r="B94" s="261" t="s">
        <v>250</v>
      </c>
      <c r="C94" s="261"/>
      <c r="D94" s="261"/>
      <c r="E94" s="261"/>
      <c r="F94" s="292"/>
      <c r="G94" s="332"/>
      <c r="H94" s="333"/>
      <c r="I94" s="261"/>
      <c r="J94" s="261"/>
      <c r="K94" s="261"/>
      <c r="L94" s="261"/>
      <c r="M94" s="261"/>
      <c r="N94" s="330"/>
      <c r="O94" s="261"/>
      <c r="P94" s="331">
        <v>70</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260</v>
      </c>
      <c r="Q97" s="264"/>
      <c r="R97" s="5"/>
    </row>
    <row r="98" spans="1:19" ht="15.6" x14ac:dyDescent="0.3">
      <c r="A98" s="260"/>
      <c r="B98" s="261" t="s">
        <v>35</v>
      </c>
      <c r="C98" s="261"/>
      <c r="D98" s="261"/>
      <c r="E98" s="261"/>
      <c r="F98" s="261"/>
      <c r="G98" s="261"/>
      <c r="H98" s="261"/>
      <c r="I98" s="261"/>
      <c r="J98" s="261"/>
      <c r="K98" s="261"/>
      <c r="L98" s="261"/>
      <c r="M98" s="261"/>
      <c r="N98" s="330">
        <f>SUM(N90:N97)</f>
        <v>2949</v>
      </c>
      <c r="O98" s="261"/>
      <c r="P98" s="330">
        <f>SUM(P90:P97)</f>
        <v>3055</v>
      </c>
      <c r="Q98" s="264"/>
      <c r="R98" s="5"/>
    </row>
    <row r="99" spans="1:19" ht="15.6" x14ac:dyDescent="0.3">
      <c r="A99" s="260"/>
      <c r="B99" s="261" t="s">
        <v>237</v>
      </c>
      <c r="C99" s="261"/>
      <c r="D99" s="261"/>
      <c r="E99" s="261"/>
      <c r="F99" s="261"/>
      <c r="G99" s="261"/>
      <c r="H99" s="261"/>
      <c r="I99" s="261"/>
      <c r="J99" s="261"/>
      <c r="K99" s="261"/>
      <c r="L99" s="261"/>
      <c r="M99" s="261"/>
      <c r="N99" s="330">
        <v>-1</v>
      </c>
      <c r="O99" s="261"/>
      <c r="P99" s="330">
        <f>-N99</f>
        <v>1</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86</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2948</v>
      </c>
      <c r="O102" s="261"/>
      <c r="P102" s="330">
        <f>P98+P100+P99+P101</f>
        <v>3142</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40</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226</v>
      </c>
      <c r="C106" s="261"/>
      <c r="D106" s="261"/>
      <c r="E106" s="261"/>
      <c r="F106" s="261"/>
      <c r="G106" s="261"/>
      <c r="H106" s="261"/>
      <c r="I106" s="261"/>
      <c r="J106" s="261"/>
      <c r="K106" s="261"/>
      <c r="L106" s="261"/>
      <c r="M106" s="261"/>
      <c r="N106" s="261"/>
      <c r="O106" s="261"/>
      <c r="P106" s="331">
        <f>-97-107-5</f>
        <v>-209</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-42</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-404</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-312</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-532</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-288</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-273</v>
      </c>
      <c r="Q112" s="264"/>
      <c r="R112" s="5"/>
      <c r="S112" s="109"/>
    </row>
    <row r="113" spans="1:18" ht="15.6" x14ac:dyDescent="0.3">
      <c r="A113" s="339">
        <v>6</v>
      </c>
      <c r="B113" s="261" t="s">
        <v>41</v>
      </c>
      <c r="C113" s="261"/>
      <c r="D113" s="261"/>
      <c r="E113" s="261"/>
      <c r="F113" s="261"/>
      <c r="G113" s="261"/>
      <c r="H113" s="261"/>
      <c r="I113" s="261"/>
      <c r="J113" s="261"/>
      <c r="K113" s="261"/>
      <c r="L113" s="261"/>
      <c r="M113" s="261"/>
      <c r="N113" s="261"/>
      <c r="O113" s="261"/>
      <c r="P113" s="331">
        <v>-8</v>
      </c>
      <c r="Q113" s="264"/>
      <c r="R113" s="5"/>
    </row>
    <row r="114" spans="1:18" ht="15.6" x14ac:dyDescent="0.3">
      <c r="A114" s="339">
        <f t="shared" ref="A114:A119" si="0">+A113+1</f>
        <v>7</v>
      </c>
      <c r="B114" s="261" t="s">
        <v>53</v>
      </c>
      <c r="C114" s="261"/>
      <c r="D114" s="261"/>
      <c r="E114" s="261"/>
      <c r="F114" s="261"/>
      <c r="G114" s="261"/>
      <c r="H114" s="261"/>
      <c r="I114" s="261"/>
      <c r="J114" s="261"/>
      <c r="K114" s="261"/>
      <c r="L114" s="261"/>
      <c r="M114" s="261"/>
      <c r="N114" s="330">
        <f>-P114</f>
        <v>241</v>
      </c>
      <c r="O114" s="261"/>
      <c r="P114" s="331">
        <v>-241</v>
      </c>
      <c r="Q114" s="264"/>
      <c r="R114" s="5"/>
    </row>
    <row r="115" spans="1:18" ht="15.6" x14ac:dyDescent="0.3">
      <c r="A115" s="339">
        <f t="shared" si="0"/>
        <v>8</v>
      </c>
      <c r="B115" s="261" t="s">
        <v>149</v>
      </c>
      <c r="C115" s="261"/>
      <c r="D115" s="261"/>
      <c r="E115" s="261"/>
      <c r="F115" s="261"/>
      <c r="G115" s="261"/>
      <c r="H115" s="261"/>
      <c r="I115" s="261"/>
      <c r="J115" s="261"/>
      <c r="K115" s="261"/>
      <c r="L115" s="261"/>
      <c r="M115" s="261"/>
      <c r="N115" s="261"/>
      <c r="O115" s="261"/>
      <c r="P115" s="331">
        <v>0</v>
      </c>
      <c r="Q115" s="264"/>
      <c r="R115" s="5"/>
    </row>
    <row r="116" spans="1:18" ht="15.6" x14ac:dyDescent="0.3">
      <c r="A116" s="339">
        <f t="shared" si="0"/>
        <v>9</v>
      </c>
      <c r="B116" s="261" t="s">
        <v>42</v>
      </c>
      <c r="C116" s="261"/>
      <c r="D116" s="261"/>
      <c r="E116" s="261"/>
      <c r="F116" s="261"/>
      <c r="G116" s="261"/>
      <c r="H116" s="261"/>
      <c r="I116" s="261"/>
      <c r="J116" s="261"/>
      <c r="K116" s="261"/>
      <c r="L116" s="261"/>
      <c r="M116" s="261"/>
      <c r="N116" s="261"/>
      <c r="O116" s="261"/>
      <c r="P116" s="331">
        <v>0</v>
      </c>
      <c r="Q116" s="264"/>
      <c r="R116" s="5"/>
    </row>
    <row r="117" spans="1:18" ht="15.6" x14ac:dyDescent="0.3">
      <c r="A117" s="339">
        <f t="shared" si="0"/>
        <v>10</v>
      </c>
      <c r="B117" s="261" t="s">
        <v>43</v>
      </c>
      <c r="C117" s="261"/>
      <c r="D117" s="261"/>
      <c r="E117" s="261"/>
      <c r="F117" s="261"/>
      <c r="G117" s="261"/>
      <c r="H117" s="261"/>
      <c r="I117" s="261"/>
      <c r="J117" s="261"/>
      <c r="K117" s="261"/>
      <c r="L117" s="261"/>
      <c r="M117" s="261"/>
      <c r="N117" s="261"/>
      <c r="O117" s="261"/>
      <c r="P117" s="331">
        <v>0</v>
      </c>
      <c r="Q117" s="264"/>
      <c r="R117" s="5"/>
    </row>
    <row r="118" spans="1:18" ht="15.6" x14ac:dyDescent="0.3">
      <c r="A118" s="339">
        <f t="shared" si="0"/>
        <v>11</v>
      </c>
      <c r="B118" s="261" t="s">
        <v>215</v>
      </c>
      <c r="C118" s="261"/>
      <c r="D118" s="261"/>
      <c r="E118" s="261"/>
      <c r="F118" s="261"/>
      <c r="G118" s="261"/>
      <c r="H118" s="261"/>
      <c r="I118" s="261"/>
      <c r="J118" s="261"/>
      <c r="K118" s="261"/>
      <c r="L118" s="261"/>
      <c r="M118" s="261"/>
      <c r="N118" s="261"/>
      <c r="O118" s="261"/>
      <c r="P118" s="331">
        <v>-196</v>
      </c>
      <c r="Q118" s="264"/>
      <c r="R118" s="5"/>
    </row>
    <row r="119" spans="1:18" ht="15.6" x14ac:dyDescent="0.3">
      <c r="A119" s="339">
        <f t="shared" si="0"/>
        <v>12</v>
      </c>
      <c r="B119" s="261" t="s">
        <v>150</v>
      </c>
      <c r="C119" s="261"/>
      <c r="D119" s="261"/>
      <c r="E119" s="261"/>
      <c r="F119" s="261"/>
      <c r="G119" s="261"/>
      <c r="H119" s="261"/>
      <c r="I119" s="261"/>
      <c r="J119" s="261"/>
      <c r="K119" s="261"/>
      <c r="L119" s="261"/>
      <c r="M119" s="261"/>
      <c r="N119" s="261"/>
      <c r="O119" s="261"/>
      <c r="P119" s="331">
        <f>-P102-SUM(P104:P118)</f>
        <v>-635</v>
      </c>
      <c r="Q119" s="264"/>
      <c r="R119" s="5"/>
    </row>
    <row r="120" spans="1:18" ht="15.6" x14ac:dyDescent="0.3">
      <c r="A120" s="260"/>
      <c r="B120" s="334" t="s">
        <v>44</v>
      </c>
      <c r="C120" s="335"/>
      <c r="D120" s="335"/>
      <c r="E120" s="335"/>
      <c r="F120" s="335"/>
      <c r="G120" s="335"/>
      <c r="H120" s="335"/>
      <c r="I120" s="335"/>
      <c r="J120" s="335"/>
      <c r="K120" s="335"/>
      <c r="L120" s="335"/>
      <c r="M120" s="335"/>
      <c r="N120" s="335"/>
      <c r="O120" s="335"/>
      <c r="P120" s="340"/>
      <c r="Q120" s="338"/>
      <c r="R120" s="5"/>
    </row>
    <row r="121" spans="1:18" ht="15.6" x14ac:dyDescent="0.3">
      <c r="A121" s="339"/>
      <c r="B121" s="261" t="s">
        <v>45</v>
      </c>
      <c r="C121" s="261"/>
      <c r="D121" s="261"/>
      <c r="E121" s="261"/>
      <c r="F121" s="261"/>
      <c r="G121" s="261"/>
      <c r="H121" s="261"/>
      <c r="I121" s="261"/>
      <c r="J121" s="261"/>
      <c r="K121" s="261"/>
      <c r="L121" s="261"/>
      <c r="M121" s="261"/>
      <c r="N121" s="330">
        <v>0</v>
      </c>
      <c r="O121" s="330"/>
      <c r="P121" s="331"/>
      <c r="Q121" s="264"/>
      <c r="R121" s="5"/>
    </row>
    <row r="122" spans="1:18" ht="15.6" x14ac:dyDescent="0.3">
      <c r="A122" s="339"/>
      <c r="B122" s="261" t="s">
        <v>46</v>
      </c>
      <c r="C122" s="261"/>
      <c r="D122" s="261"/>
      <c r="E122" s="261"/>
      <c r="F122" s="261"/>
      <c r="G122" s="261"/>
      <c r="H122" s="261"/>
      <c r="I122" s="261"/>
      <c r="J122" s="261"/>
      <c r="K122" s="261"/>
      <c r="L122" s="261"/>
      <c r="M122" s="261"/>
      <c r="N122" s="330">
        <f>-M171</f>
        <v>-162</v>
      </c>
      <c r="O122" s="330"/>
      <c r="P122" s="331"/>
      <c r="Q122" s="264"/>
      <c r="R122" s="5"/>
    </row>
    <row r="123" spans="1:18" ht="15.6" x14ac:dyDescent="0.3">
      <c r="A123" s="339"/>
      <c r="B123" s="261" t="s">
        <v>199</v>
      </c>
      <c r="C123" s="261"/>
      <c r="D123" s="261"/>
      <c r="E123" s="261"/>
      <c r="F123" s="261"/>
      <c r="G123" s="261"/>
      <c r="H123" s="261"/>
      <c r="I123" s="261"/>
      <c r="J123" s="261"/>
      <c r="K123" s="261"/>
      <c r="L123" s="261"/>
      <c r="M123" s="261"/>
      <c r="N123" s="330">
        <v>-755</v>
      </c>
      <c r="O123" s="330"/>
      <c r="P123" s="331"/>
      <c r="Q123" s="264"/>
      <c r="R123" s="5"/>
    </row>
    <row r="124" spans="1:18" ht="15.6" x14ac:dyDescent="0.3">
      <c r="A124" s="339"/>
      <c r="B124" s="261" t="s">
        <v>200</v>
      </c>
      <c r="C124" s="261"/>
      <c r="D124" s="261"/>
      <c r="E124" s="261"/>
      <c r="F124" s="261"/>
      <c r="G124" s="261"/>
      <c r="H124" s="261"/>
      <c r="I124" s="261"/>
      <c r="J124" s="261"/>
      <c r="K124" s="261"/>
      <c r="L124" s="261"/>
      <c r="M124" s="261"/>
      <c r="N124" s="330">
        <v>-657</v>
      </c>
      <c r="O124" s="330"/>
      <c r="P124" s="331"/>
      <c r="Q124" s="264"/>
      <c r="R124" s="5"/>
    </row>
    <row r="125" spans="1:18" ht="15.6" x14ac:dyDescent="0.3">
      <c r="A125" s="339"/>
      <c r="B125" s="261" t="s">
        <v>201</v>
      </c>
      <c r="C125" s="261"/>
      <c r="D125" s="261"/>
      <c r="E125" s="261"/>
      <c r="F125" s="261"/>
      <c r="G125" s="261"/>
      <c r="H125" s="261"/>
      <c r="I125" s="261"/>
      <c r="J125" s="261"/>
      <c r="K125" s="261"/>
      <c r="L125" s="261"/>
      <c r="M125" s="261"/>
      <c r="N125" s="330">
        <v>-1008</v>
      </c>
      <c r="O125" s="330"/>
      <c r="P125" s="331"/>
      <c r="Q125" s="264"/>
      <c r="R125" s="5"/>
    </row>
    <row r="126" spans="1:18" ht="15.6" x14ac:dyDescent="0.3">
      <c r="A126" s="339"/>
      <c r="B126" s="261" t="s">
        <v>159</v>
      </c>
      <c r="C126" s="261"/>
      <c r="D126" s="261"/>
      <c r="E126" s="261"/>
      <c r="F126" s="261"/>
      <c r="G126" s="261"/>
      <c r="H126" s="261"/>
      <c r="I126" s="261"/>
      <c r="J126" s="261"/>
      <c r="K126" s="261"/>
      <c r="L126" s="261"/>
      <c r="M126" s="261"/>
      <c r="N126" s="330">
        <v>-312</v>
      </c>
      <c r="O126" s="330"/>
      <c r="P126" s="331"/>
      <c r="Q126" s="264"/>
      <c r="R126" s="5"/>
    </row>
    <row r="127" spans="1:18" ht="15.6" x14ac:dyDescent="0.3">
      <c r="A127" s="339"/>
      <c r="B127" s="261" t="s">
        <v>214</v>
      </c>
      <c r="C127" s="261"/>
      <c r="D127" s="261"/>
      <c r="E127" s="261"/>
      <c r="F127" s="261"/>
      <c r="G127" s="261"/>
      <c r="H127" s="261"/>
      <c r="I127" s="261"/>
      <c r="J127" s="261"/>
      <c r="K127" s="261"/>
      <c r="L127" s="261"/>
      <c r="M127" s="261"/>
      <c r="N127" s="330">
        <v>-295</v>
      </c>
      <c r="O127" s="330"/>
      <c r="P127" s="331"/>
      <c r="Q127" s="264"/>
      <c r="R127" s="5"/>
    </row>
    <row r="128" spans="1:18" ht="15.6" x14ac:dyDescent="0.3">
      <c r="A128" s="339"/>
      <c r="B128" s="261" t="s">
        <v>47</v>
      </c>
      <c r="C128" s="261"/>
      <c r="D128" s="261"/>
      <c r="E128" s="261"/>
      <c r="F128" s="261"/>
      <c r="G128" s="261"/>
      <c r="H128" s="261"/>
      <c r="I128" s="261"/>
      <c r="J128" s="261"/>
      <c r="K128" s="261"/>
      <c r="L128" s="261"/>
      <c r="M128" s="261"/>
      <c r="N128" s="330">
        <f>SUM(N121:N127)</f>
        <v>-3189</v>
      </c>
      <c r="O128" s="330"/>
      <c r="P128" s="330">
        <f>SUM(P103:P127)</f>
        <v>-3142</v>
      </c>
      <c r="Q128" s="264"/>
      <c r="R128" s="5"/>
    </row>
    <row r="129" spans="1:19" ht="15.6" x14ac:dyDescent="0.3">
      <c r="A129" s="339"/>
      <c r="B129" s="261" t="s">
        <v>48</v>
      </c>
      <c r="C129" s="261"/>
      <c r="D129" s="261"/>
      <c r="E129" s="261"/>
      <c r="F129" s="261"/>
      <c r="G129" s="261"/>
      <c r="H129" s="261"/>
      <c r="I129" s="261"/>
      <c r="J129" s="261"/>
      <c r="K129" s="261"/>
      <c r="L129" s="261"/>
      <c r="M129" s="261"/>
      <c r="N129" s="330">
        <f>N102+N128+N114</f>
        <v>0</v>
      </c>
      <c r="O129" s="330"/>
      <c r="P129" s="330">
        <f>P102+P128</f>
        <v>0</v>
      </c>
      <c r="Q129" s="264"/>
      <c r="R129" s="5"/>
    </row>
    <row r="130" spans="1:19" ht="15.6" x14ac:dyDescent="0.3">
      <c r="A130" s="301"/>
      <c r="B130" s="257"/>
      <c r="C130" s="257"/>
      <c r="D130" s="257"/>
      <c r="E130" s="257"/>
      <c r="F130" s="257"/>
      <c r="G130" s="257"/>
      <c r="H130" s="257"/>
      <c r="I130" s="257"/>
      <c r="J130" s="257"/>
      <c r="K130" s="257"/>
      <c r="L130" s="257"/>
      <c r="M130" s="257"/>
      <c r="N130" s="302"/>
      <c r="O130" s="302"/>
      <c r="P130" s="302"/>
      <c r="Q130" s="257"/>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8" thickBot="1" x14ac:dyDescent="0.35">
      <c r="A132" s="303"/>
      <c r="B132" s="239" t="str">
        <f>B65</f>
        <v>PM7 INVESTOR REPORT QUARTER ENDING APRIL 2012</v>
      </c>
      <c r="C132" s="240"/>
      <c r="D132" s="240"/>
      <c r="E132" s="240"/>
      <c r="F132" s="240"/>
      <c r="G132" s="240"/>
      <c r="H132" s="240"/>
      <c r="I132" s="240"/>
      <c r="J132" s="240"/>
      <c r="K132" s="240"/>
      <c r="L132" s="240"/>
      <c r="M132" s="240"/>
      <c r="N132" s="240"/>
      <c r="O132" s="240"/>
      <c r="P132" s="304"/>
      <c r="Q132" s="242"/>
      <c r="R132" s="5"/>
    </row>
    <row r="133" spans="1:19" ht="15.6" x14ac:dyDescent="0.3">
      <c r="A133" s="323"/>
      <c r="B133" s="397" t="s">
        <v>49</v>
      </c>
      <c r="C133" s="326"/>
      <c r="D133" s="326"/>
      <c r="E133" s="326"/>
      <c r="F133" s="326"/>
      <c r="G133" s="326"/>
      <c r="H133" s="326"/>
      <c r="I133" s="326"/>
      <c r="J133" s="326"/>
      <c r="K133" s="326"/>
      <c r="L133" s="326"/>
      <c r="M133" s="326"/>
      <c r="N133" s="326"/>
      <c r="O133" s="326"/>
      <c r="P133" s="328"/>
      <c r="Q133" s="326"/>
      <c r="R133" s="5"/>
    </row>
    <row r="134" spans="1:19" ht="15.6" x14ac:dyDescent="0.3">
      <c r="A134" s="183"/>
      <c r="B134" s="196"/>
      <c r="C134" s="185"/>
      <c r="D134" s="185"/>
      <c r="E134" s="185"/>
      <c r="F134" s="185"/>
      <c r="G134" s="185"/>
      <c r="H134" s="185"/>
      <c r="I134" s="185"/>
      <c r="J134" s="185"/>
      <c r="K134" s="185"/>
      <c r="L134" s="185"/>
      <c r="M134" s="185"/>
      <c r="N134" s="185"/>
      <c r="O134" s="185"/>
      <c r="P134" s="201"/>
      <c r="Q134" s="185"/>
      <c r="R134" s="5"/>
    </row>
    <row r="135" spans="1:19" ht="15.6" x14ac:dyDescent="0.3">
      <c r="A135" s="183"/>
      <c r="B135" s="209" t="s">
        <v>50</v>
      </c>
      <c r="C135" s="185"/>
      <c r="D135" s="185"/>
      <c r="E135" s="185"/>
      <c r="F135" s="185"/>
      <c r="G135" s="185"/>
      <c r="H135" s="185"/>
      <c r="I135" s="185"/>
      <c r="J135" s="185"/>
      <c r="K135" s="185"/>
      <c r="L135" s="185"/>
      <c r="M135" s="185"/>
      <c r="N135" s="185"/>
      <c r="O135" s="185"/>
      <c r="P135" s="201"/>
      <c r="Q135" s="185"/>
      <c r="R135" s="5"/>
    </row>
    <row r="136" spans="1:19" ht="15.6" x14ac:dyDescent="0.3">
      <c r="A136" s="260"/>
      <c r="B136" s="261" t="s">
        <v>51</v>
      </c>
      <c r="C136" s="261"/>
      <c r="D136" s="261"/>
      <c r="E136" s="261"/>
      <c r="F136" s="261"/>
      <c r="G136" s="261"/>
      <c r="H136" s="261"/>
      <c r="I136" s="261"/>
      <c r="J136" s="261"/>
      <c r="K136" s="261"/>
      <c r="L136" s="261"/>
      <c r="M136" s="261"/>
      <c r="N136" s="261"/>
      <c r="O136" s="261"/>
      <c r="P136" s="331">
        <f>+P36*0.022</f>
        <v>19815.399999999998</v>
      </c>
      <c r="Q136" s="264"/>
      <c r="R136" s="5"/>
    </row>
    <row r="137" spans="1:19" ht="15.6" x14ac:dyDescent="0.3">
      <c r="A137" s="260"/>
      <c r="B137" s="261" t="s">
        <v>52</v>
      </c>
      <c r="C137" s="261"/>
      <c r="D137" s="261"/>
      <c r="E137" s="261"/>
      <c r="F137" s="261"/>
      <c r="G137" s="261"/>
      <c r="H137" s="261"/>
      <c r="I137" s="261"/>
      <c r="J137" s="261"/>
      <c r="K137" s="261"/>
      <c r="L137" s="261"/>
      <c r="M137" s="261"/>
      <c r="N137" s="261"/>
      <c r="O137" s="261"/>
      <c r="P137" s="331">
        <v>19815</v>
      </c>
      <c r="Q137" s="264"/>
      <c r="R137" s="5"/>
    </row>
    <row r="138" spans="1:19" ht="15.6" x14ac:dyDescent="0.3">
      <c r="A138" s="260"/>
      <c r="B138" s="261" t="s">
        <v>161</v>
      </c>
      <c r="C138" s="261"/>
      <c r="D138" s="261"/>
      <c r="E138" s="261"/>
      <c r="F138" s="261"/>
      <c r="G138" s="261"/>
      <c r="H138" s="261"/>
      <c r="I138" s="261"/>
      <c r="J138" s="261"/>
      <c r="K138" s="261"/>
      <c r="L138" s="261"/>
      <c r="M138" s="261"/>
      <c r="N138" s="261"/>
      <c r="O138" s="261"/>
      <c r="P138" s="331">
        <v>0</v>
      </c>
      <c r="Q138" s="264"/>
      <c r="R138" s="5"/>
    </row>
    <row r="139" spans="1:19" ht="15.6" x14ac:dyDescent="0.3">
      <c r="A139" s="260"/>
      <c r="B139" s="261" t="s">
        <v>144</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145</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53</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153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202</v>
      </c>
      <c r="C143" s="261"/>
      <c r="D143" s="261"/>
      <c r="E143" s="261"/>
      <c r="F143" s="261"/>
      <c r="G143" s="261"/>
      <c r="H143" s="261"/>
      <c r="I143" s="261"/>
      <c r="J143" s="261"/>
      <c r="K143" s="261"/>
      <c r="L143" s="261"/>
      <c r="M143" s="261"/>
      <c r="N143" s="261"/>
      <c r="O143" s="261"/>
      <c r="P143" s="331">
        <v>0</v>
      </c>
      <c r="Q143" s="264"/>
      <c r="R143" s="5"/>
      <c r="S143" s="109"/>
    </row>
    <row r="144" spans="1:19" ht="15.6" x14ac:dyDescent="0.3">
      <c r="A144" s="260"/>
      <c r="B144" s="261" t="s">
        <v>54</v>
      </c>
      <c r="C144" s="261"/>
      <c r="D144" s="261"/>
      <c r="E144" s="261"/>
      <c r="F144" s="261"/>
      <c r="G144" s="261"/>
      <c r="H144" s="261"/>
      <c r="I144" s="261"/>
      <c r="J144" s="261"/>
      <c r="K144" s="261"/>
      <c r="L144" s="261"/>
      <c r="M144" s="261"/>
      <c r="N144" s="261"/>
      <c r="O144" s="261"/>
      <c r="P144" s="331">
        <f>SUM(P137:P143)</f>
        <v>19815</v>
      </c>
      <c r="Q144" s="264"/>
      <c r="R144" s="5"/>
    </row>
    <row r="145" spans="1:18" ht="15.6" x14ac:dyDescent="0.3">
      <c r="A145" s="183"/>
      <c r="B145" s="190"/>
      <c r="C145" s="190"/>
      <c r="D145" s="190"/>
      <c r="E145" s="190"/>
      <c r="F145" s="190"/>
      <c r="G145" s="190"/>
      <c r="H145" s="190"/>
      <c r="I145" s="190"/>
      <c r="J145" s="190"/>
      <c r="K145" s="190"/>
      <c r="L145" s="190"/>
      <c r="M145" s="190"/>
      <c r="N145" s="190"/>
      <c r="O145" s="190"/>
      <c r="P145" s="341"/>
      <c r="Q145" s="190"/>
      <c r="R145" s="5"/>
    </row>
    <row r="146" spans="1:18" ht="15.6" x14ac:dyDescent="0.3">
      <c r="A146" s="183"/>
      <c r="B146" s="209" t="s">
        <v>28</v>
      </c>
      <c r="C146" s="185"/>
      <c r="D146" s="185"/>
      <c r="E146" s="185"/>
      <c r="F146" s="185"/>
      <c r="G146" s="185"/>
      <c r="H146" s="185"/>
      <c r="I146" s="185"/>
      <c r="J146" s="185"/>
      <c r="K146" s="185"/>
      <c r="L146" s="185"/>
      <c r="M146" s="185"/>
      <c r="N146" s="185"/>
      <c r="O146" s="185"/>
      <c r="P146" s="201"/>
      <c r="Q146" s="185"/>
      <c r="R146" s="5"/>
    </row>
    <row r="147" spans="1:18" ht="15.6" x14ac:dyDescent="0.3">
      <c r="A147" s="260"/>
      <c r="B147" s="261" t="s">
        <v>55</v>
      </c>
      <c r="C147" s="261"/>
      <c r="D147" s="261"/>
      <c r="E147" s="261"/>
      <c r="F147" s="261"/>
      <c r="G147" s="261"/>
      <c r="H147" s="261"/>
      <c r="I147" s="261"/>
      <c r="J147" s="261"/>
      <c r="K147" s="261"/>
      <c r="L147" s="261"/>
      <c r="M147" s="261"/>
      <c r="N147" s="261"/>
      <c r="O147" s="261"/>
      <c r="P147" s="342" t="s">
        <v>137</v>
      </c>
      <c r="Q147" s="338"/>
      <c r="R147" s="5"/>
    </row>
    <row r="148" spans="1:18" ht="15.6" x14ac:dyDescent="0.3">
      <c r="A148" s="260"/>
      <c r="B148" s="261" t="s">
        <v>56</v>
      </c>
      <c r="C148" s="263"/>
      <c r="D148" s="263"/>
      <c r="E148" s="263"/>
      <c r="F148" s="263"/>
      <c r="G148" s="263"/>
      <c r="H148" s="263"/>
      <c r="I148" s="263"/>
      <c r="J148" s="263"/>
      <c r="K148" s="263"/>
      <c r="L148" s="263"/>
      <c r="M148" s="263"/>
      <c r="N148" s="263"/>
      <c r="O148" s="263"/>
      <c r="P148" s="342" t="s">
        <v>137</v>
      </c>
      <c r="Q148" s="338"/>
      <c r="R148" s="5"/>
    </row>
    <row r="149" spans="1:18" ht="15.6" x14ac:dyDescent="0.3">
      <c r="A149" s="260"/>
      <c r="B149" s="261" t="s">
        <v>57</v>
      </c>
      <c r="C149" s="261"/>
      <c r="D149" s="261"/>
      <c r="E149" s="261"/>
      <c r="F149" s="261"/>
      <c r="G149" s="261"/>
      <c r="H149" s="261"/>
      <c r="I149" s="261"/>
      <c r="J149" s="261"/>
      <c r="K149" s="261"/>
      <c r="L149" s="261"/>
      <c r="M149" s="261"/>
      <c r="N149" s="261"/>
      <c r="O149" s="261"/>
      <c r="P149" s="342" t="s">
        <v>137</v>
      </c>
      <c r="Q149" s="338"/>
      <c r="R149" s="5"/>
    </row>
    <row r="150" spans="1:18" ht="15.6" x14ac:dyDescent="0.3">
      <c r="A150" s="260"/>
      <c r="B150" s="261" t="s">
        <v>58</v>
      </c>
      <c r="C150" s="261"/>
      <c r="D150" s="261"/>
      <c r="E150" s="261"/>
      <c r="F150" s="261"/>
      <c r="G150" s="261"/>
      <c r="H150" s="261"/>
      <c r="I150" s="261"/>
      <c r="J150" s="261"/>
      <c r="K150" s="261"/>
      <c r="L150" s="261"/>
      <c r="M150" s="261"/>
      <c r="N150" s="261"/>
      <c r="O150" s="261"/>
      <c r="P150" s="342" t="s">
        <v>137</v>
      </c>
      <c r="Q150" s="338"/>
      <c r="R150" s="5"/>
    </row>
    <row r="151" spans="1:18" ht="15.6" x14ac:dyDescent="0.3">
      <c r="A151" s="183"/>
      <c r="B151" s="190"/>
      <c r="C151" s="190"/>
      <c r="D151" s="190"/>
      <c r="E151" s="190"/>
      <c r="F151" s="190"/>
      <c r="G151" s="190"/>
      <c r="H151" s="190"/>
      <c r="I151" s="190"/>
      <c r="J151" s="190"/>
      <c r="K151" s="190"/>
      <c r="L151" s="190"/>
      <c r="M151" s="190"/>
      <c r="N151" s="190"/>
      <c r="O151" s="190"/>
      <c r="P151" s="341"/>
      <c r="Q151" s="190"/>
      <c r="R151" s="5"/>
    </row>
    <row r="152" spans="1:18" ht="15.6" x14ac:dyDescent="0.3">
      <c r="A152" s="183"/>
      <c r="B152" s="209" t="s">
        <v>59</v>
      </c>
      <c r="C152" s="185"/>
      <c r="D152" s="185"/>
      <c r="E152" s="185"/>
      <c r="F152" s="185"/>
      <c r="G152" s="185"/>
      <c r="H152" s="185"/>
      <c r="I152" s="185"/>
      <c r="J152" s="185"/>
      <c r="K152" s="185"/>
      <c r="L152" s="185"/>
      <c r="M152" s="185"/>
      <c r="N152" s="185"/>
      <c r="O152" s="185"/>
      <c r="P152" s="210"/>
      <c r="Q152" s="185"/>
      <c r="R152" s="5"/>
    </row>
    <row r="153" spans="1:18" ht="15.6" x14ac:dyDescent="0.3">
      <c r="A153" s="260"/>
      <c r="B153" s="261" t="s">
        <v>60</v>
      </c>
      <c r="C153" s="261"/>
      <c r="D153" s="261"/>
      <c r="E153" s="261"/>
      <c r="F153" s="261"/>
      <c r="G153" s="261"/>
      <c r="H153" s="261"/>
      <c r="I153" s="261"/>
      <c r="J153" s="261"/>
      <c r="K153" s="261"/>
      <c r="L153" s="261"/>
      <c r="M153" s="261"/>
      <c r="N153" s="261"/>
      <c r="O153" s="261"/>
      <c r="P153" s="331">
        <v>0</v>
      </c>
      <c r="Q153" s="264"/>
      <c r="R153" s="5"/>
    </row>
    <row r="154" spans="1:18" ht="15.6" x14ac:dyDescent="0.3">
      <c r="A154" s="260"/>
      <c r="B154" s="261" t="s">
        <v>61</v>
      </c>
      <c r="C154" s="261"/>
      <c r="D154" s="261"/>
      <c r="E154" s="261"/>
      <c r="F154" s="261"/>
      <c r="G154" s="261"/>
      <c r="H154" s="261"/>
      <c r="I154" s="261"/>
      <c r="J154" s="261"/>
      <c r="K154" s="261"/>
      <c r="L154" s="261"/>
      <c r="M154" s="261"/>
      <c r="N154" s="261"/>
      <c r="O154" s="261"/>
      <c r="P154" s="331">
        <f>-P114</f>
        <v>241</v>
      </c>
      <c r="Q154" s="264"/>
      <c r="R154" s="5"/>
    </row>
    <row r="155" spans="1:18" ht="15.6" x14ac:dyDescent="0.3">
      <c r="A155" s="260"/>
      <c r="B155" s="261" t="s">
        <v>62</v>
      </c>
      <c r="C155" s="261"/>
      <c r="D155" s="261"/>
      <c r="E155" s="261"/>
      <c r="F155" s="261"/>
      <c r="G155" s="261"/>
      <c r="H155" s="261"/>
      <c r="I155" s="261"/>
      <c r="J155" s="261"/>
      <c r="K155" s="261"/>
      <c r="L155" s="261"/>
      <c r="M155" s="261"/>
      <c r="N155" s="261"/>
      <c r="O155" s="261"/>
      <c r="P155" s="331">
        <f>P154+P153</f>
        <v>241</v>
      </c>
      <c r="Q155" s="264"/>
      <c r="R155" s="5"/>
    </row>
    <row r="156" spans="1:18" ht="15.6" x14ac:dyDescent="0.3">
      <c r="A156" s="260"/>
      <c r="B156" s="402" t="s">
        <v>297</v>
      </c>
      <c r="C156" s="261"/>
      <c r="D156" s="261"/>
      <c r="E156" s="261"/>
      <c r="F156" s="261"/>
      <c r="G156" s="261"/>
      <c r="H156" s="261"/>
      <c r="I156" s="261"/>
      <c r="J156" s="261"/>
      <c r="K156" s="261"/>
      <c r="L156" s="261"/>
      <c r="M156" s="261"/>
      <c r="N156" s="261"/>
      <c r="O156" s="261"/>
      <c r="P156" s="331">
        <f>P114</f>
        <v>-241</v>
      </c>
      <c r="Q156" s="264"/>
      <c r="R156" s="5"/>
    </row>
    <row r="157" spans="1:18" ht="15.6" x14ac:dyDescent="0.3">
      <c r="A157" s="260"/>
      <c r="B157" s="261" t="s">
        <v>63</v>
      </c>
      <c r="C157" s="261"/>
      <c r="D157" s="261"/>
      <c r="E157" s="261"/>
      <c r="F157" s="261"/>
      <c r="G157" s="261"/>
      <c r="H157" s="261"/>
      <c r="I157" s="261"/>
      <c r="J157" s="261"/>
      <c r="K157" s="261"/>
      <c r="L157" s="261"/>
      <c r="M157" s="261"/>
      <c r="N157" s="261"/>
      <c r="O157" s="261"/>
      <c r="P157" s="331">
        <f>P155+P156</f>
        <v>0</v>
      </c>
      <c r="Q157" s="264"/>
      <c r="R157" s="5"/>
    </row>
    <row r="158" spans="1:18" ht="15.6" x14ac:dyDescent="0.3">
      <c r="A158" s="260"/>
      <c r="B158" s="261" t="s">
        <v>268</v>
      </c>
      <c r="C158" s="261"/>
      <c r="D158" s="261"/>
      <c r="E158" s="261"/>
      <c r="F158" s="261"/>
      <c r="G158" s="261"/>
      <c r="H158" s="261"/>
      <c r="I158" s="261"/>
      <c r="J158" s="261"/>
      <c r="K158" s="261"/>
      <c r="L158" s="261"/>
      <c r="M158" s="261"/>
      <c r="N158" s="261"/>
      <c r="O158" s="261"/>
      <c r="P158" s="331">
        <v>0</v>
      </c>
      <c r="Q158" s="264"/>
      <c r="R158" s="5"/>
    </row>
    <row r="159" spans="1:18" ht="16.2" thickBot="1" x14ac:dyDescent="0.35">
      <c r="A159" s="183"/>
      <c r="B159" s="190"/>
      <c r="C159" s="190"/>
      <c r="D159" s="190"/>
      <c r="E159" s="190"/>
      <c r="F159" s="190"/>
      <c r="G159" s="190"/>
      <c r="H159" s="190"/>
      <c r="I159" s="190"/>
      <c r="J159" s="190"/>
      <c r="K159" s="190"/>
      <c r="L159" s="190"/>
      <c r="M159" s="190"/>
      <c r="N159" s="190"/>
      <c r="O159" s="190"/>
      <c r="P159" s="341"/>
      <c r="Q159" s="190"/>
      <c r="R159" s="5"/>
    </row>
    <row r="160" spans="1:18" ht="15.6" x14ac:dyDescent="0.3">
      <c r="A160" s="180"/>
      <c r="B160" s="181"/>
      <c r="C160" s="181"/>
      <c r="D160" s="181"/>
      <c r="E160" s="181"/>
      <c r="F160" s="181"/>
      <c r="G160" s="181"/>
      <c r="H160" s="181"/>
      <c r="I160" s="181"/>
      <c r="J160" s="181"/>
      <c r="K160" s="181"/>
      <c r="L160" s="181"/>
      <c r="M160" s="181"/>
      <c r="N160" s="181"/>
      <c r="O160" s="181"/>
      <c r="P160" s="200"/>
      <c r="Q160" s="181"/>
      <c r="R160" s="5"/>
    </row>
    <row r="161" spans="1:19" ht="15.6" x14ac:dyDescent="0.3">
      <c r="A161" s="183"/>
      <c r="B161" s="209" t="s">
        <v>64</v>
      </c>
      <c r="C161" s="185"/>
      <c r="D161" s="185"/>
      <c r="E161" s="185"/>
      <c r="F161" s="185"/>
      <c r="G161" s="185"/>
      <c r="H161" s="185"/>
      <c r="I161" s="185"/>
      <c r="J161" s="185"/>
      <c r="K161" s="185"/>
      <c r="L161" s="185"/>
      <c r="M161" s="185"/>
      <c r="N161" s="185"/>
      <c r="O161" s="185"/>
      <c r="P161" s="201"/>
      <c r="Q161" s="185"/>
      <c r="R161" s="5"/>
    </row>
    <row r="162" spans="1:19" ht="15.6" x14ac:dyDescent="0.3">
      <c r="A162" s="183"/>
      <c r="B162" s="196"/>
      <c r="C162" s="185"/>
      <c r="D162" s="185"/>
      <c r="E162" s="185"/>
      <c r="F162" s="185"/>
      <c r="G162" s="185"/>
      <c r="H162" s="185"/>
      <c r="I162" s="185"/>
      <c r="J162" s="185"/>
      <c r="K162" s="185"/>
      <c r="L162" s="185"/>
      <c r="M162" s="185"/>
      <c r="N162" s="185"/>
      <c r="O162" s="185"/>
      <c r="P162" s="201"/>
      <c r="Q162" s="185"/>
      <c r="R162" s="5"/>
    </row>
    <row r="163" spans="1:19" ht="15.6" x14ac:dyDescent="0.3">
      <c r="A163" s="260"/>
      <c r="B163" s="261" t="s">
        <v>221</v>
      </c>
      <c r="C163" s="261"/>
      <c r="D163" s="261"/>
      <c r="E163" s="261"/>
      <c r="F163" s="261"/>
      <c r="G163" s="261"/>
      <c r="H163" s="261"/>
      <c r="I163" s="261"/>
      <c r="J163" s="261"/>
      <c r="K163" s="261"/>
      <c r="L163" s="261"/>
      <c r="M163" s="261"/>
      <c r="N163" s="261"/>
      <c r="O163" s="261"/>
      <c r="P163" s="331">
        <f>P72</f>
        <v>387947</v>
      </c>
      <c r="Q163" s="264"/>
      <c r="R163" s="5"/>
    </row>
    <row r="164" spans="1:19" ht="15.6" x14ac:dyDescent="0.3">
      <c r="A164" s="260"/>
      <c r="B164" s="261" t="s">
        <v>273</v>
      </c>
      <c r="C164" s="261"/>
      <c r="D164" s="261"/>
      <c r="E164" s="261"/>
      <c r="F164" s="261"/>
      <c r="G164" s="261"/>
      <c r="H164" s="261"/>
      <c r="I164" s="261"/>
      <c r="J164" s="261"/>
      <c r="K164" s="261"/>
      <c r="L164" s="261"/>
      <c r="M164" s="261"/>
      <c r="N164" s="261"/>
      <c r="O164" s="261"/>
      <c r="P164" s="331">
        <f>+P85</f>
        <v>0</v>
      </c>
      <c r="Q164" s="264"/>
      <c r="R164" s="5"/>
    </row>
    <row r="165" spans="1:19" ht="15.6" x14ac:dyDescent="0.3">
      <c r="A165" s="260"/>
      <c r="B165" s="261" t="s">
        <v>65</v>
      </c>
      <c r="C165" s="261"/>
      <c r="D165" s="261"/>
      <c r="E165" s="261"/>
      <c r="F165" s="261"/>
      <c r="G165" s="261"/>
      <c r="H165" s="261"/>
      <c r="I165" s="261"/>
      <c r="J165" s="261"/>
      <c r="K165" s="261"/>
      <c r="L165" s="261"/>
      <c r="M165" s="261"/>
      <c r="N165" s="261"/>
      <c r="O165" s="261"/>
      <c r="P165" s="331">
        <f>P38</f>
        <v>387947.43624419894</v>
      </c>
      <c r="Q165" s="264"/>
      <c r="R165" s="5"/>
      <c r="S165" s="109"/>
    </row>
    <row r="166" spans="1:19" ht="16.2" thickBot="1" x14ac:dyDescent="0.35">
      <c r="A166" s="183"/>
      <c r="B166" s="190"/>
      <c r="C166" s="190"/>
      <c r="D166" s="190"/>
      <c r="E166" s="190"/>
      <c r="F166" s="190"/>
      <c r="G166" s="190"/>
      <c r="H166" s="190"/>
      <c r="I166" s="190"/>
      <c r="J166" s="190"/>
      <c r="K166" s="190"/>
      <c r="L166" s="190"/>
      <c r="M166" s="190"/>
      <c r="N166" s="190"/>
      <c r="O166" s="190"/>
      <c r="P166" s="341"/>
      <c r="Q166" s="190"/>
      <c r="R166" s="5"/>
    </row>
    <row r="167" spans="1:19" ht="15.6" x14ac:dyDescent="0.3">
      <c r="A167" s="180"/>
      <c r="B167" s="181"/>
      <c r="C167" s="181"/>
      <c r="D167" s="181"/>
      <c r="E167" s="181"/>
      <c r="F167" s="181"/>
      <c r="G167" s="181"/>
      <c r="H167" s="181"/>
      <c r="I167" s="181"/>
      <c r="J167" s="181"/>
      <c r="K167" s="181"/>
      <c r="L167" s="181"/>
      <c r="M167" s="181"/>
      <c r="N167" s="181"/>
      <c r="O167" s="181"/>
      <c r="P167" s="200"/>
      <c r="Q167" s="181"/>
      <c r="R167" s="5"/>
    </row>
    <row r="168" spans="1:19" ht="15.6" x14ac:dyDescent="0.3">
      <c r="A168" s="183"/>
      <c r="B168" s="209" t="s">
        <v>66</v>
      </c>
      <c r="C168" s="205"/>
      <c r="D168" s="205"/>
      <c r="E168" s="205"/>
      <c r="F168" s="211"/>
      <c r="G168" s="211"/>
      <c r="H168" s="211"/>
      <c r="I168" s="211"/>
      <c r="J168" s="211"/>
      <c r="K168" s="211"/>
      <c r="L168" s="211"/>
      <c r="M168" s="211" t="s">
        <v>112</v>
      </c>
      <c r="N168" s="211" t="s">
        <v>120</v>
      </c>
      <c r="O168" s="187"/>
      <c r="P168" s="212" t="s">
        <v>129</v>
      </c>
      <c r="Q168" s="213"/>
      <c r="R168" s="5"/>
    </row>
    <row r="169" spans="1:19" ht="15.6" x14ac:dyDescent="0.3">
      <c r="A169" s="260"/>
      <c r="B169" s="261" t="s">
        <v>67</v>
      </c>
      <c r="C169" s="261"/>
      <c r="D169" s="261"/>
      <c r="E169" s="261"/>
      <c r="F169" s="261"/>
      <c r="G169" s="261"/>
      <c r="H169" s="261"/>
      <c r="I169" s="261"/>
      <c r="J169" s="261"/>
      <c r="K169" s="261"/>
      <c r="L169" s="261"/>
      <c r="M169" s="331">
        <v>144000</v>
      </c>
      <c r="N169" s="292">
        <v>0</v>
      </c>
      <c r="O169" s="261"/>
      <c r="P169" s="331"/>
      <c r="Q169" s="264"/>
      <c r="R169" s="5"/>
    </row>
    <row r="170" spans="1:19" ht="15.6" x14ac:dyDescent="0.3">
      <c r="A170" s="260"/>
      <c r="B170" s="261" t="s">
        <v>68</v>
      </c>
      <c r="C170" s="261"/>
      <c r="D170" s="261"/>
      <c r="E170" s="261"/>
      <c r="F170" s="261"/>
      <c r="G170" s="261"/>
      <c r="H170" s="261"/>
      <c r="I170" s="261"/>
      <c r="J170" s="261"/>
      <c r="K170" s="261"/>
      <c r="L170" s="261"/>
      <c r="M170" s="331">
        <f>+'Jan 12'!M172</f>
        <v>87773</v>
      </c>
      <c r="N170" s="331">
        <f>+'Jan 12'!N172</f>
        <v>10213</v>
      </c>
      <c r="O170" s="261"/>
      <c r="P170" s="331">
        <f>M170+N170</f>
        <v>97986</v>
      </c>
      <c r="Q170" s="264"/>
      <c r="R170" s="5"/>
    </row>
    <row r="171" spans="1:19" ht="15.6" x14ac:dyDescent="0.3">
      <c r="A171" s="260"/>
      <c r="B171" s="261" t="s">
        <v>69</v>
      </c>
      <c r="C171" s="261"/>
      <c r="D171" s="261"/>
      <c r="E171" s="261"/>
      <c r="F171" s="261"/>
      <c r="G171" s="261"/>
      <c r="H171" s="261"/>
      <c r="I171" s="261"/>
      <c r="J171" s="261"/>
      <c r="K171" s="261"/>
      <c r="L171" s="261"/>
      <c r="M171" s="330">
        <v>162</v>
      </c>
      <c r="N171" s="330">
        <f>-N99-N121</f>
        <v>1</v>
      </c>
      <c r="O171" s="261"/>
      <c r="P171" s="331">
        <f>M171+N171</f>
        <v>163</v>
      </c>
      <c r="Q171" s="264"/>
      <c r="R171" s="5"/>
    </row>
    <row r="172" spans="1:19" ht="15.6" x14ac:dyDescent="0.3">
      <c r="A172" s="260"/>
      <c r="B172" s="261" t="s">
        <v>70</v>
      </c>
      <c r="C172" s="261"/>
      <c r="D172" s="261"/>
      <c r="E172" s="261"/>
      <c r="F172" s="261"/>
      <c r="G172" s="261"/>
      <c r="H172" s="261"/>
      <c r="I172" s="261"/>
      <c r="J172" s="261"/>
      <c r="K172" s="261"/>
      <c r="L172" s="261"/>
      <c r="M172" s="331">
        <f>M170+M171</f>
        <v>87935</v>
      </c>
      <c r="N172" s="331">
        <f>N171+N170</f>
        <v>10214</v>
      </c>
      <c r="O172" s="261"/>
      <c r="P172" s="331">
        <f>M172+N172</f>
        <v>98149</v>
      </c>
      <c r="Q172" s="264"/>
      <c r="R172" s="5"/>
    </row>
    <row r="173" spans="1:19" ht="15.6" x14ac:dyDescent="0.3">
      <c r="A173" s="260"/>
      <c r="B173" s="261" t="s">
        <v>71</v>
      </c>
      <c r="C173" s="261"/>
      <c r="D173" s="261"/>
      <c r="E173" s="261"/>
      <c r="F173" s="261"/>
      <c r="G173" s="261"/>
      <c r="H173" s="261"/>
      <c r="I173" s="261"/>
      <c r="J173" s="261"/>
      <c r="K173" s="261"/>
      <c r="L173" s="261"/>
      <c r="M173" s="331">
        <f>M169-M172-N172</f>
        <v>45851</v>
      </c>
      <c r="N173" s="292"/>
      <c r="O173" s="261"/>
      <c r="P173" s="331"/>
      <c r="Q173" s="264"/>
      <c r="R173" s="5"/>
    </row>
    <row r="174" spans="1:19" ht="16.2" thickBot="1" x14ac:dyDescent="0.35">
      <c r="A174" s="183"/>
      <c r="B174" s="190"/>
      <c r="C174" s="190"/>
      <c r="D174" s="190"/>
      <c r="E174" s="190"/>
      <c r="F174" s="190"/>
      <c r="G174" s="190"/>
      <c r="H174" s="190"/>
      <c r="I174" s="190"/>
      <c r="J174" s="190"/>
      <c r="K174" s="190"/>
      <c r="L174" s="190"/>
      <c r="M174" s="190"/>
      <c r="N174" s="190"/>
      <c r="O174" s="190"/>
      <c r="P174" s="341"/>
      <c r="Q174" s="190"/>
      <c r="R174" s="5"/>
    </row>
    <row r="175" spans="1:19" ht="15.6" x14ac:dyDescent="0.3">
      <c r="A175" s="180"/>
      <c r="B175" s="181"/>
      <c r="C175" s="181"/>
      <c r="D175" s="181"/>
      <c r="E175" s="181"/>
      <c r="F175" s="181"/>
      <c r="G175" s="181"/>
      <c r="H175" s="181"/>
      <c r="I175" s="181"/>
      <c r="J175" s="181"/>
      <c r="K175" s="181"/>
      <c r="L175" s="181"/>
      <c r="M175" s="181"/>
      <c r="N175" s="181"/>
      <c r="O175" s="181"/>
      <c r="P175" s="200"/>
      <c r="Q175" s="181"/>
      <c r="R175" s="5"/>
    </row>
    <row r="176" spans="1:19" ht="15.6" x14ac:dyDescent="0.3">
      <c r="A176" s="183"/>
      <c r="B176" s="209" t="s">
        <v>72</v>
      </c>
      <c r="C176" s="185"/>
      <c r="D176" s="185"/>
      <c r="E176" s="185"/>
      <c r="F176" s="185"/>
      <c r="G176" s="185"/>
      <c r="H176" s="185"/>
      <c r="I176" s="185"/>
      <c r="J176" s="185"/>
      <c r="K176" s="185"/>
      <c r="L176" s="185"/>
      <c r="M176" s="185"/>
      <c r="N176" s="185"/>
      <c r="O176" s="185"/>
      <c r="P176" s="214"/>
      <c r="Q176" s="185"/>
      <c r="R176" s="5"/>
    </row>
    <row r="177" spans="1:18" ht="15.6" x14ac:dyDescent="0.3">
      <c r="A177" s="260"/>
      <c r="B177" s="261" t="s">
        <v>73</v>
      </c>
      <c r="C177" s="261"/>
      <c r="D177" s="261"/>
      <c r="E177" s="261"/>
      <c r="F177" s="261"/>
      <c r="G177" s="261"/>
      <c r="H177" s="261"/>
      <c r="I177" s="261"/>
      <c r="J177" s="261"/>
      <c r="K177" s="261"/>
      <c r="L177" s="261"/>
      <c r="M177" s="261"/>
      <c r="N177" s="261"/>
      <c r="O177" s="261"/>
      <c r="P177" s="343">
        <f>(P102+P104+P105+P106+P107)/-(P108+P109+P110)</f>
        <v>2.3149038461538463</v>
      </c>
      <c r="Q177" s="264" t="s">
        <v>130</v>
      </c>
      <c r="R177" s="5"/>
    </row>
    <row r="178" spans="1:18" ht="15.6" x14ac:dyDescent="0.3">
      <c r="A178" s="260"/>
      <c r="B178" s="261" t="s">
        <v>74</v>
      </c>
      <c r="C178" s="261"/>
      <c r="D178" s="261"/>
      <c r="E178" s="261"/>
      <c r="F178" s="261"/>
      <c r="G178" s="261"/>
      <c r="H178" s="261"/>
      <c r="I178" s="261"/>
      <c r="J178" s="261"/>
      <c r="K178" s="261"/>
      <c r="L178" s="261"/>
      <c r="M178" s="261"/>
      <c r="N178" s="261"/>
      <c r="O178" s="261"/>
      <c r="P178" s="343">
        <v>1.49</v>
      </c>
      <c r="Q178" s="264" t="s">
        <v>130</v>
      </c>
      <c r="R178" s="5"/>
    </row>
    <row r="179" spans="1:18" ht="15.6" x14ac:dyDescent="0.3">
      <c r="A179" s="260"/>
      <c r="B179" s="261" t="s">
        <v>75</v>
      </c>
      <c r="C179" s="261"/>
      <c r="D179" s="261"/>
      <c r="E179" s="261"/>
      <c r="F179" s="261"/>
      <c r="G179" s="261"/>
      <c r="H179" s="261"/>
      <c r="I179" s="261"/>
      <c r="J179" s="261"/>
      <c r="K179" s="261"/>
      <c r="L179" s="261"/>
      <c r="M179" s="261"/>
      <c r="N179" s="261"/>
      <c r="O179" s="261"/>
      <c r="P179" s="342">
        <f>(P102+P104+P105+P106+P107+P108+P109+P110)/-(P111+P112)</f>
        <v>2.9251336898395723</v>
      </c>
      <c r="Q179" s="264" t="s">
        <v>130</v>
      </c>
      <c r="R179" s="5"/>
    </row>
    <row r="180" spans="1:18" ht="15.6" x14ac:dyDescent="0.3">
      <c r="A180" s="260"/>
      <c r="B180" s="261" t="s">
        <v>76</v>
      </c>
      <c r="C180" s="261"/>
      <c r="D180" s="261"/>
      <c r="E180" s="261"/>
      <c r="F180" s="261"/>
      <c r="G180" s="261"/>
      <c r="H180" s="261"/>
      <c r="I180" s="261"/>
      <c r="J180" s="261"/>
      <c r="K180" s="261"/>
      <c r="L180" s="261"/>
      <c r="M180" s="261"/>
      <c r="N180" s="261"/>
      <c r="O180" s="261"/>
      <c r="P180" s="343">
        <v>2.48</v>
      </c>
      <c r="Q180" s="264" t="s">
        <v>130</v>
      </c>
      <c r="R180" s="5"/>
    </row>
    <row r="181" spans="1:18" ht="15.6" x14ac:dyDescent="0.3">
      <c r="A181" s="260"/>
      <c r="B181" s="335"/>
      <c r="C181" s="335"/>
      <c r="D181" s="335"/>
      <c r="E181" s="335"/>
      <c r="F181" s="335"/>
      <c r="G181" s="335"/>
      <c r="H181" s="335"/>
      <c r="I181" s="335"/>
      <c r="J181" s="335"/>
      <c r="K181" s="335"/>
      <c r="L181" s="335"/>
      <c r="M181" s="335"/>
      <c r="N181" s="335"/>
      <c r="O181" s="335"/>
      <c r="P181" s="335"/>
      <c r="Q181" s="338"/>
      <c r="R181" s="5"/>
    </row>
    <row r="182" spans="1:18" ht="15.6" x14ac:dyDescent="0.3">
      <c r="A182" s="183"/>
      <c r="B182" s="190"/>
      <c r="C182" s="190"/>
      <c r="D182" s="190"/>
      <c r="E182" s="190"/>
      <c r="F182" s="190"/>
      <c r="G182" s="190"/>
      <c r="H182" s="190"/>
      <c r="I182" s="190"/>
      <c r="J182" s="190"/>
      <c r="K182" s="190"/>
      <c r="L182" s="190"/>
      <c r="M182" s="190"/>
      <c r="N182" s="190"/>
      <c r="O182" s="190"/>
      <c r="P182" s="190"/>
      <c r="Q182" s="190"/>
      <c r="R182" s="5"/>
    </row>
    <row r="183" spans="1:18" ht="15.6" x14ac:dyDescent="0.3">
      <c r="A183" s="183"/>
      <c r="B183" s="185"/>
      <c r="C183" s="185"/>
      <c r="D183" s="185"/>
      <c r="E183" s="185"/>
      <c r="F183" s="185"/>
      <c r="G183" s="185"/>
      <c r="H183" s="185"/>
      <c r="I183" s="185"/>
      <c r="J183" s="185"/>
      <c r="K183" s="185"/>
      <c r="L183" s="185"/>
      <c r="M183" s="185"/>
      <c r="N183" s="185"/>
      <c r="O183" s="185"/>
      <c r="P183" s="185"/>
      <c r="Q183" s="185"/>
      <c r="R183" s="5"/>
    </row>
    <row r="184" spans="1:18" ht="18" thickBot="1" x14ac:dyDescent="0.35">
      <c r="A184" s="199"/>
      <c r="B184" s="239" t="str">
        <f>B132</f>
        <v>PM7 INVESTOR REPORT QUARTER ENDING APRIL 2012</v>
      </c>
      <c r="C184" s="215"/>
      <c r="D184" s="215"/>
      <c r="E184" s="215"/>
      <c r="F184" s="215"/>
      <c r="G184" s="215"/>
      <c r="H184" s="215"/>
      <c r="I184" s="215"/>
      <c r="J184" s="215"/>
      <c r="K184" s="215"/>
      <c r="L184" s="215"/>
      <c r="M184" s="215"/>
      <c r="N184" s="215"/>
      <c r="O184" s="215"/>
      <c r="P184" s="215"/>
      <c r="Q184" s="216"/>
      <c r="R184" s="5"/>
    </row>
    <row r="185" spans="1:18" ht="15.6" x14ac:dyDescent="0.3">
      <c r="A185" s="323"/>
      <c r="B185" s="397" t="s">
        <v>77</v>
      </c>
      <c r="C185" s="398"/>
      <c r="D185" s="398"/>
      <c r="E185" s="399"/>
      <c r="F185" s="399"/>
      <c r="G185" s="399"/>
      <c r="H185" s="399"/>
      <c r="I185" s="399"/>
      <c r="J185" s="399"/>
      <c r="K185" s="399"/>
      <c r="L185" s="399"/>
      <c r="M185" s="399"/>
      <c r="N185" s="399">
        <v>41029</v>
      </c>
      <c r="O185" s="326"/>
      <c r="P185" s="326"/>
      <c r="Q185" s="326"/>
      <c r="R185" s="5"/>
    </row>
    <row r="186" spans="1:18" ht="15.6" x14ac:dyDescent="0.3">
      <c r="A186" s="217"/>
      <c r="B186" s="218"/>
      <c r="C186" s="219"/>
      <c r="D186" s="219"/>
      <c r="E186" s="220"/>
      <c r="F186" s="220"/>
      <c r="G186" s="220"/>
      <c r="H186" s="220"/>
      <c r="I186" s="220"/>
      <c r="J186" s="220"/>
      <c r="K186" s="220"/>
      <c r="L186" s="220"/>
      <c r="M186" s="220"/>
      <c r="N186" s="220"/>
      <c r="O186" s="185"/>
      <c r="P186" s="185"/>
      <c r="Q186" s="185"/>
      <c r="R186" s="5"/>
    </row>
    <row r="187" spans="1:18" ht="15.6" x14ac:dyDescent="0.3">
      <c r="A187" s="345"/>
      <c r="B187" s="261" t="s">
        <v>78</v>
      </c>
      <c r="C187" s="346"/>
      <c r="D187" s="346"/>
      <c r="E187" s="295"/>
      <c r="F187" s="295"/>
      <c r="G187" s="295"/>
      <c r="H187" s="295"/>
      <c r="I187" s="295"/>
      <c r="J187" s="295"/>
      <c r="K187" s="295"/>
      <c r="L187" s="295"/>
      <c r="M187" s="295"/>
      <c r="N187" s="290">
        <v>5.8069999999999997E-2</v>
      </c>
      <c r="O187" s="261"/>
      <c r="P187" s="261"/>
      <c r="Q187" s="264"/>
      <c r="R187" s="5"/>
    </row>
    <row r="188" spans="1:18" ht="15.6" x14ac:dyDescent="0.3">
      <c r="A188" s="345"/>
      <c r="B188" s="261" t="s">
        <v>219</v>
      </c>
      <c r="C188" s="346"/>
      <c r="D188" s="346"/>
      <c r="E188" s="295"/>
      <c r="F188" s="295"/>
      <c r="G188" s="295"/>
      <c r="H188" s="295"/>
      <c r="I188" s="295"/>
      <c r="J188" s="295"/>
      <c r="K188" s="295"/>
      <c r="L188" s="295"/>
      <c r="M188" s="295"/>
      <c r="N188" s="290">
        <v>5.1499999999999997E-2</v>
      </c>
      <c r="O188" s="261"/>
      <c r="P188" s="261"/>
      <c r="Q188" s="264"/>
      <c r="R188" s="5"/>
    </row>
    <row r="189" spans="1:18" ht="15.6" x14ac:dyDescent="0.3">
      <c r="A189" s="345"/>
      <c r="B189" s="261" t="s">
        <v>79</v>
      </c>
      <c r="C189" s="346"/>
      <c r="D189" s="346"/>
      <c r="E189" s="295"/>
      <c r="F189" s="295"/>
      <c r="G189" s="295"/>
      <c r="H189" s="295"/>
      <c r="I189" s="295"/>
      <c r="J189" s="295"/>
      <c r="K189" s="295"/>
      <c r="L189" s="295"/>
      <c r="M189" s="295"/>
      <c r="N189" s="290">
        <f>N187-N188</f>
        <v>6.5699999999999995E-3</v>
      </c>
      <c r="O189" s="261"/>
      <c r="P189" s="261"/>
      <c r="Q189" s="264"/>
      <c r="R189" s="5"/>
    </row>
    <row r="190" spans="1:18" ht="15.6" x14ac:dyDescent="0.3">
      <c r="A190" s="345"/>
      <c r="B190" s="261" t="s">
        <v>80</v>
      </c>
      <c r="C190" s="346"/>
      <c r="D190" s="346"/>
      <c r="E190" s="295"/>
      <c r="F190" s="295"/>
      <c r="G190" s="295"/>
      <c r="H190" s="295"/>
      <c r="I190" s="295"/>
      <c r="J190" s="295"/>
      <c r="K190" s="295"/>
      <c r="L190" s="295"/>
      <c r="M190" s="295"/>
      <c r="N190" s="290">
        <v>2.7619999999999999E-2</v>
      </c>
      <c r="O190" s="261"/>
      <c r="P190" s="261"/>
      <c r="Q190" s="264"/>
      <c r="R190" s="5"/>
    </row>
    <row r="191" spans="1:18" ht="15.6" x14ac:dyDescent="0.3">
      <c r="A191" s="345"/>
      <c r="B191" s="261" t="s">
        <v>241</v>
      </c>
      <c r="C191" s="346"/>
      <c r="D191" s="346"/>
      <c r="E191" s="295"/>
      <c r="F191" s="295"/>
      <c r="G191" s="295"/>
      <c r="H191" s="295"/>
      <c r="I191" s="295"/>
      <c r="J191" s="295"/>
      <c r="K191" s="295"/>
      <c r="L191" s="295"/>
      <c r="M191" s="295"/>
      <c r="N191" s="290">
        <f>+P45</f>
        <v>1.8814932935519557E-2</v>
      </c>
      <c r="O191" s="261"/>
      <c r="P191" s="261"/>
      <c r="Q191" s="264"/>
      <c r="R191" s="5"/>
    </row>
    <row r="192" spans="1:18" ht="15.6" x14ac:dyDescent="0.3">
      <c r="A192" s="345"/>
      <c r="B192" s="261" t="s">
        <v>81</v>
      </c>
      <c r="C192" s="346"/>
      <c r="D192" s="346"/>
      <c r="E192" s="295"/>
      <c r="F192" s="295"/>
      <c r="G192" s="295"/>
      <c r="H192" s="295"/>
      <c r="I192" s="295"/>
      <c r="J192" s="295"/>
      <c r="K192" s="295"/>
      <c r="L192" s="295"/>
      <c r="M192" s="295"/>
      <c r="N192" s="290">
        <f>N190-N191</f>
        <v>8.8050670644804416E-3</v>
      </c>
      <c r="O192" s="261"/>
      <c r="P192" s="261"/>
      <c r="Q192" s="264"/>
      <c r="R192" s="5"/>
    </row>
    <row r="193" spans="1:18" ht="15.6" x14ac:dyDescent="0.3">
      <c r="A193" s="345"/>
      <c r="B193" s="261" t="s">
        <v>257</v>
      </c>
      <c r="C193" s="346"/>
      <c r="D193" s="346"/>
      <c r="E193" s="295"/>
      <c r="F193" s="295"/>
      <c r="G193" s="295"/>
      <c r="H193" s="295"/>
      <c r="I193" s="295"/>
      <c r="J193" s="295"/>
      <c r="K193" s="295"/>
      <c r="L193" s="295"/>
      <c r="M193" s="295"/>
      <c r="N193" s="290">
        <f>+P102/H72</f>
        <v>8.0363400123793401E-3</v>
      </c>
      <c r="O193" s="261"/>
      <c r="P193" s="261"/>
      <c r="Q193" s="264"/>
      <c r="R193" s="5"/>
    </row>
    <row r="194" spans="1:18" ht="15.6" x14ac:dyDescent="0.3">
      <c r="A194" s="345"/>
      <c r="B194" s="261" t="s">
        <v>170</v>
      </c>
      <c r="C194" s="346"/>
      <c r="D194" s="346"/>
      <c r="E194" s="295"/>
      <c r="F194" s="295"/>
      <c r="G194" s="295"/>
      <c r="H194" s="295"/>
      <c r="I194" s="295"/>
      <c r="J194" s="295"/>
      <c r="K194" s="295"/>
      <c r="L194" s="295"/>
      <c r="M194" s="295"/>
      <c r="N194" s="347">
        <v>49065</v>
      </c>
      <c r="O194" s="261"/>
      <c r="P194" s="261"/>
      <c r="Q194" s="264"/>
      <c r="R194" s="5"/>
    </row>
    <row r="195" spans="1:18" ht="15.6" x14ac:dyDescent="0.3">
      <c r="A195" s="345"/>
      <c r="B195" s="261" t="s">
        <v>171</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172</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138</v>
      </c>
      <c r="C197" s="346"/>
      <c r="D197" s="346"/>
      <c r="E197" s="295"/>
      <c r="F197" s="295"/>
      <c r="G197" s="295"/>
      <c r="H197" s="295"/>
      <c r="I197" s="295"/>
      <c r="J197" s="295"/>
      <c r="K197" s="295"/>
      <c r="L197" s="295"/>
      <c r="M197" s="295"/>
      <c r="N197" s="347">
        <v>52352</v>
      </c>
      <c r="O197" s="261"/>
      <c r="P197" s="261"/>
      <c r="Q197" s="264"/>
      <c r="R197" s="5"/>
    </row>
    <row r="198" spans="1:18" ht="15.6" x14ac:dyDescent="0.3">
      <c r="A198" s="345"/>
      <c r="B198" s="261" t="s">
        <v>139</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82</v>
      </c>
      <c r="C199" s="346"/>
      <c r="D199" s="346"/>
      <c r="E199" s="295"/>
      <c r="F199" s="295"/>
      <c r="G199" s="295"/>
      <c r="H199" s="295"/>
      <c r="I199" s="295"/>
      <c r="J199" s="295"/>
      <c r="K199" s="295"/>
      <c r="L199" s="295"/>
      <c r="M199" s="295"/>
      <c r="N199" s="294">
        <v>20.45</v>
      </c>
      <c r="O199" s="261" t="s">
        <v>125</v>
      </c>
      <c r="P199" s="261"/>
      <c r="Q199" s="264"/>
      <c r="R199" s="5"/>
    </row>
    <row r="200" spans="1:18" ht="15.6" x14ac:dyDescent="0.3">
      <c r="A200" s="345"/>
      <c r="B200" s="261" t="s">
        <v>83</v>
      </c>
      <c r="C200" s="346"/>
      <c r="D200" s="346"/>
      <c r="E200" s="295"/>
      <c r="F200" s="295"/>
      <c r="G200" s="295"/>
      <c r="H200" s="295"/>
      <c r="I200" s="295"/>
      <c r="J200" s="295"/>
      <c r="K200" s="295"/>
      <c r="L200" s="295"/>
      <c r="M200" s="295"/>
      <c r="N200" s="294">
        <v>14.28</v>
      </c>
      <c r="O200" s="261" t="s">
        <v>125</v>
      </c>
      <c r="P200" s="261"/>
      <c r="Q200" s="264"/>
      <c r="R200" s="5"/>
    </row>
    <row r="201" spans="1:18" ht="15.6" x14ac:dyDescent="0.3">
      <c r="A201" s="345"/>
      <c r="B201" s="261" t="s">
        <v>84</v>
      </c>
      <c r="C201" s="346"/>
      <c r="D201" s="346"/>
      <c r="E201" s="295"/>
      <c r="F201" s="295"/>
      <c r="G201" s="295"/>
      <c r="H201" s="295"/>
      <c r="I201" s="295"/>
      <c r="J201" s="295"/>
      <c r="K201" s="295"/>
      <c r="L201" s="295"/>
      <c r="M201" s="295"/>
      <c r="N201" s="290">
        <f>J69/H69</f>
        <v>8.1591103244717036E-3</v>
      </c>
      <c r="O201" s="261"/>
      <c r="P201" s="261"/>
      <c r="Q201" s="264"/>
      <c r="R201" s="5"/>
    </row>
    <row r="202" spans="1:18" ht="15.6" x14ac:dyDescent="0.3">
      <c r="A202" s="345"/>
      <c r="B202" s="261" t="s">
        <v>85</v>
      </c>
      <c r="C202" s="346"/>
      <c r="D202" s="346"/>
      <c r="E202" s="295"/>
      <c r="F202" s="295"/>
      <c r="G202" s="295"/>
      <c r="H202" s="295"/>
      <c r="I202" s="295"/>
      <c r="J202" s="295"/>
      <c r="K202" s="295"/>
      <c r="L202" s="295"/>
      <c r="M202" s="295"/>
      <c r="N202" s="290">
        <v>0.1188</v>
      </c>
      <c r="O202" s="261"/>
      <c r="P202" s="261"/>
      <c r="Q202" s="264"/>
      <c r="R202" s="5"/>
    </row>
    <row r="203" spans="1:18" ht="15.6" x14ac:dyDescent="0.3">
      <c r="A203" s="217"/>
      <c r="B203" s="222"/>
      <c r="C203" s="222"/>
      <c r="D203" s="222"/>
      <c r="E203" s="190"/>
      <c r="F203" s="190"/>
      <c r="G203" s="190"/>
      <c r="H203" s="190"/>
      <c r="I203" s="190"/>
      <c r="J203" s="190"/>
      <c r="K203" s="190"/>
      <c r="L203" s="190"/>
      <c r="M203" s="190"/>
      <c r="N203" s="341"/>
      <c r="O203" s="190"/>
      <c r="P203" s="344"/>
      <c r="Q203" s="190"/>
      <c r="R203" s="5"/>
    </row>
    <row r="204" spans="1:18" ht="15.6" x14ac:dyDescent="0.3">
      <c r="A204" s="322"/>
      <c r="B204" s="393" t="s">
        <v>86</v>
      </c>
      <c r="C204" s="395"/>
      <c r="D204" s="400"/>
      <c r="E204" s="395"/>
      <c r="F204" s="395"/>
      <c r="G204" s="395"/>
      <c r="H204" s="395"/>
      <c r="I204" s="395"/>
      <c r="J204" s="395"/>
      <c r="K204" s="395"/>
      <c r="L204" s="395"/>
      <c r="M204" s="395" t="s">
        <v>113</v>
      </c>
      <c r="N204" s="400" t="s">
        <v>121</v>
      </c>
      <c r="O204" s="252"/>
      <c r="P204" s="252"/>
      <c r="Q204" s="252"/>
      <c r="R204" s="5"/>
    </row>
    <row r="205" spans="1:18" ht="15.6" x14ac:dyDescent="0.3">
      <c r="A205" s="221"/>
      <c r="B205" s="230" t="s">
        <v>87</v>
      </c>
      <c r="C205" s="235"/>
      <c r="D205" s="230"/>
      <c r="E205" s="230"/>
      <c r="F205" s="234"/>
      <c r="G205" s="234"/>
      <c r="H205" s="234"/>
      <c r="I205" s="234"/>
      <c r="J205" s="234"/>
      <c r="K205" s="234"/>
      <c r="L205" s="234"/>
      <c r="M205" s="234">
        <v>2</v>
      </c>
      <c r="N205" s="305">
        <v>69</v>
      </c>
      <c r="O205" s="230"/>
      <c r="P205" s="306"/>
      <c r="Q205" s="307"/>
      <c r="R205" s="5"/>
    </row>
    <row r="206" spans="1:18" ht="15.6" x14ac:dyDescent="0.3">
      <c r="A206" s="351"/>
      <c r="B206" s="261" t="s">
        <v>203</v>
      </c>
      <c r="C206" s="330"/>
      <c r="D206" s="261"/>
      <c r="E206" s="261"/>
      <c r="F206" s="268"/>
      <c r="G206" s="268"/>
      <c r="H206" s="268"/>
      <c r="I206" s="268"/>
      <c r="J206" s="268"/>
      <c r="K206" s="268"/>
      <c r="L206" s="268"/>
      <c r="M206" s="352">
        <f>+L254</f>
        <v>60</v>
      </c>
      <c r="N206" s="353">
        <f>+N254</f>
        <v>9807</v>
      </c>
      <c r="O206" s="261"/>
      <c r="P206" s="354"/>
      <c r="Q206" s="355"/>
      <c r="R206" s="5"/>
    </row>
    <row r="207" spans="1:18" ht="15.6" x14ac:dyDescent="0.3">
      <c r="A207" s="351"/>
      <c r="B207" s="261" t="s">
        <v>88</v>
      </c>
      <c r="C207" s="330"/>
      <c r="D207" s="261"/>
      <c r="E207" s="261"/>
      <c r="F207" s="268"/>
      <c r="G207" s="268"/>
      <c r="H207" s="268"/>
      <c r="I207" s="268"/>
      <c r="J207" s="268"/>
      <c r="K207" s="268"/>
      <c r="L207" s="268"/>
      <c r="M207" s="352">
        <f>+L265</f>
        <v>1</v>
      </c>
      <c r="N207" s="353">
        <f>+N265</f>
        <v>8</v>
      </c>
      <c r="O207" s="261"/>
      <c r="P207" s="354"/>
      <c r="Q207" s="355"/>
      <c r="R207" s="5"/>
    </row>
    <row r="208" spans="1:18" ht="15.6" x14ac:dyDescent="0.3">
      <c r="A208" s="351"/>
      <c r="B208" s="282" t="s">
        <v>89</v>
      </c>
      <c r="C208" s="356"/>
      <c r="D208" s="335"/>
      <c r="E208" s="335"/>
      <c r="F208" s="335"/>
      <c r="G208" s="335"/>
      <c r="H208" s="335"/>
      <c r="I208" s="335"/>
      <c r="J208" s="335"/>
      <c r="K208" s="335"/>
      <c r="L208" s="335"/>
      <c r="M208" s="335"/>
      <c r="N208" s="353">
        <v>0</v>
      </c>
      <c r="O208" s="335"/>
      <c r="P208" s="358"/>
      <c r="Q208" s="359"/>
      <c r="R208" s="5"/>
    </row>
    <row r="209" spans="1:18" ht="15.6" x14ac:dyDescent="0.3">
      <c r="A209" s="351"/>
      <c r="B209" s="282" t="s">
        <v>90</v>
      </c>
      <c r="C209" s="356"/>
      <c r="D209" s="335"/>
      <c r="E209" s="335"/>
      <c r="F209" s="335"/>
      <c r="G209" s="335"/>
      <c r="H209" s="335"/>
      <c r="I209" s="335"/>
      <c r="J209" s="335"/>
      <c r="K209" s="335"/>
      <c r="L209" s="335"/>
      <c r="M209" s="335"/>
      <c r="N209" s="369" t="s">
        <v>122</v>
      </c>
      <c r="O209" s="335"/>
      <c r="P209" s="358"/>
      <c r="Q209" s="359"/>
      <c r="R209" s="5"/>
    </row>
    <row r="210" spans="1:18" ht="15.6" x14ac:dyDescent="0.3">
      <c r="A210" s="360"/>
      <c r="B210" s="282" t="s">
        <v>91</v>
      </c>
      <c r="C210" s="361"/>
      <c r="D210" s="361"/>
      <c r="E210" s="335"/>
      <c r="F210" s="335"/>
      <c r="G210" s="335"/>
      <c r="H210" s="335"/>
      <c r="I210" s="335"/>
      <c r="J210" s="362"/>
      <c r="K210" s="335"/>
      <c r="L210" s="335"/>
      <c r="M210" s="335"/>
      <c r="N210" s="357"/>
      <c r="O210" s="335"/>
      <c r="P210" s="358"/>
      <c r="Q210" s="363"/>
      <c r="R210" s="5"/>
    </row>
    <row r="211" spans="1:18" ht="15.6" x14ac:dyDescent="0.3">
      <c r="A211" s="360"/>
      <c r="B211" s="261" t="s">
        <v>92</v>
      </c>
      <c r="C211" s="261"/>
      <c r="D211" s="261"/>
      <c r="E211" s="261"/>
      <c r="F211" s="261"/>
      <c r="G211" s="261"/>
      <c r="H211" s="261"/>
      <c r="I211" s="261"/>
      <c r="J211" s="261"/>
      <c r="K211" s="261"/>
      <c r="L211" s="261"/>
      <c r="M211" s="261"/>
      <c r="N211" s="353">
        <f>P154</f>
        <v>241</v>
      </c>
      <c r="O211" s="261"/>
      <c r="P211" s="354"/>
      <c r="Q211" s="363"/>
      <c r="R211" s="5"/>
    </row>
    <row r="212" spans="1:18" ht="15.6" x14ac:dyDescent="0.3">
      <c r="A212" s="351"/>
      <c r="B212" s="261" t="s">
        <v>93</v>
      </c>
      <c r="C212" s="330"/>
      <c r="D212" s="330"/>
      <c r="E212" s="261"/>
      <c r="F212" s="261"/>
      <c r="G212" s="261"/>
      <c r="H212" s="261"/>
      <c r="I212" s="261"/>
      <c r="J212" s="261"/>
      <c r="K212" s="261"/>
      <c r="L212" s="261"/>
      <c r="M212" s="261"/>
      <c r="N212" s="353">
        <f>'Jan 12'!N212+'April 12'!N211</f>
        <v>4747</v>
      </c>
      <c r="O212" s="261"/>
      <c r="P212" s="354"/>
      <c r="Q212" s="363"/>
      <c r="R212" s="5"/>
    </row>
    <row r="213" spans="1:18" ht="15.6" x14ac:dyDescent="0.3">
      <c r="A213" s="360"/>
      <c r="B213" s="282" t="s">
        <v>278</v>
      </c>
      <c r="C213" s="361"/>
      <c r="D213" s="361"/>
      <c r="E213" s="335"/>
      <c r="F213" s="335"/>
      <c r="G213" s="335"/>
      <c r="H213" s="335"/>
      <c r="I213" s="335"/>
      <c r="J213" s="335"/>
      <c r="K213" s="335"/>
      <c r="L213" s="335"/>
      <c r="M213" s="335"/>
      <c r="N213" s="357"/>
      <c r="O213" s="335"/>
      <c r="P213" s="358"/>
      <c r="Q213" s="363"/>
      <c r="R213" s="5"/>
    </row>
    <row r="214" spans="1:18" ht="15.6" x14ac:dyDescent="0.3">
      <c r="A214" s="360"/>
      <c r="B214" s="261" t="s">
        <v>276</v>
      </c>
      <c r="C214" s="261"/>
      <c r="D214" s="261"/>
      <c r="E214" s="261"/>
      <c r="F214" s="261"/>
      <c r="G214" s="261"/>
      <c r="H214" s="261"/>
      <c r="I214" s="261"/>
      <c r="J214" s="261"/>
      <c r="K214" s="261"/>
      <c r="L214" s="261"/>
      <c r="M214" s="268">
        <v>1</v>
      </c>
      <c r="N214" s="353">
        <v>36</v>
      </c>
      <c r="O214" s="261"/>
      <c r="P214" s="354"/>
      <c r="Q214" s="363"/>
      <c r="R214" s="5"/>
    </row>
    <row r="215" spans="1:18" ht="15.6" x14ac:dyDescent="0.3">
      <c r="A215" s="351"/>
      <c r="B215" s="261" t="s">
        <v>95</v>
      </c>
      <c r="C215" s="292"/>
      <c r="D215" s="368"/>
      <c r="E215" s="261"/>
      <c r="F215" s="261"/>
      <c r="G215" s="261"/>
      <c r="H215" s="261"/>
      <c r="I215" s="261"/>
      <c r="J215" s="261"/>
      <c r="K215" s="261"/>
      <c r="L215" s="261"/>
      <c r="M215" s="261"/>
      <c r="N215" s="369">
        <v>10.7</v>
      </c>
      <c r="O215" s="261"/>
      <c r="P215" s="354"/>
      <c r="Q215" s="363"/>
      <c r="R215" s="5"/>
    </row>
    <row r="216" spans="1:18" ht="15.6" x14ac:dyDescent="0.3">
      <c r="A216" s="351"/>
      <c r="B216" s="261" t="s">
        <v>96</v>
      </c>
      <c r="C216" s="292"/>
      <c r="D216" s="368"/>
      <c r="E216" s="261"/>
      <c r="F216" s="261"/>
      <c r="G216" s="261"/>
      <c r="H216" s="261"/>
      <c r="I216" s="261"/>
      <c r="J216" s="261"/>
      <c r="K216" s="261"/>
      <c r="L216" s="261"/>
      <c r="M216" s="261"/>
      <c r="N216" s="369">
        <v>9.69</v>
      </c>
      <c r="O216" s="261"/>
      <c r="P216" s="354"/>
      <c r="Q216" s="363"/>
      <c r="R216" s="5"/>
    </row>
    <row r="217" spans="1:18" ht="15.6" x14ac:dyDescent="0.3">
      <c r="A217" s="351"/>
      <c r="B217" s="282" t="s">
        <v>251</v>
      </c>
      <c r="C217" s="370"/>
      <c r="D217" s="371"/>
      <c r="E217" s="335"/>
      <c r="F217" s="335"/>
      <c r="G217" s="335"/>
      <c r="H217" s="335"/>
      <c r="I217" s="335"/>
      <c r="J217" s="335"/>
      <c r="K217" s="335"/>
      <c r="L217" s="335"/>
      <c r="M217" s="335"/>
      <c r="N217" s="372"/>
      <c r="O217" s="335"/>
      <c r="P217" s="358"/>
      <c r="Q217" s="363"/>
      <c r="R217" s="5"/>
    </row>
    <row r="218" spans="1:18" ht="15.6" x14ac:dyDescent="0.3">
      <c r="A218" s="351"/>
      <c r="B218" s="261" t="s">
        <v>276</v>
      </c>
      <c r="C218" s="292"/>
      <c r="D218" s="368"/>
      <c r="E218" s="261"/>
      <c r="F218" s="261"/>
      <c r="G218" s="261"/>
      <c r="H218" s="261"/>
      <c r="I218" s="261"/>
      <c r="J218" s="261"/>
      <c r="K218" s="261"/>
      <c r="L218" s="261"/>
      <c r="M218" s="268">
        <v>7</v>
      </c>
      <c r="N218" s="353">
        <v>896</v>
      </c>
      <c r="O218" s="261"/>
      <c r="P218" s="354"/>
      <c r="Q218" s="373"/>
      <c r="R218" s="308"/>
    </row>
    <row r="219" spans="1:18" ht="15.6" x14ac:dyDescent="0.3">
      <c r="A219" s="351"/>
      <c r="B219" s="261" t="s">
        <v>252</v>
      </c>
      <c r="C219" s="292"/>
      <c r="D219" s="368"/>
      <c r="E219" s="261"/>
      <c r="F219" s="261"/>
      <c r="G219" s="261"/>
      <c r="H219" s="261"/>
      <c r="I219" s="261"/>
      <c r="J219" s="261"/>
      <c r="K219" s="261"/>
      <c r="L219" s="261"/>
      <c r="M219" s="261"/>
      <c r="N219" s="369">
        <v>4.43</v>
      </c>
      <c r="O219" s="261"/>
      <c r="P219" s="354"/>
      <c r="Q219" s="373"/>
      <c r="R219" s="308"/>
    </row>
    <row r="220" spans="1:18" ht="15.6" x14ac:dyDescent="0.3">
      <c r="A220" s="351"/>
      <c r="B220" s="361"/>
      <c r="C220" s="370"/>
      <c r="D220" s="371"/>
      <c r="E220" s="335"/>
      <c r="F220" s="335"/>
      <c r="G220" s="335"/>
      <c r="H220" s="335"/>
      <c r="I220" s="335"/>
      <c r="J220" s="335"/>
      <c r="K220" s="335"/>
      <c r="L220" s="335"/>
      <c r="M220" s="335"/>
      <c r="N220" s="374"/>
      <c r="O220" s="335"/>
      <c r="P220" s="358"/>
      <c r="Q220" s="363"/>
      <c r="R220" s="5"/>
    </row>
    <row r="221" spans="1:18" ht="17.399999999999999" x14ac:dyDescent="0.3">
      <c r="A221" s="351"/>
      <c r="B221" s="375" t="s">
        <v>244</v>
      </c>
      <c r="C221" s="370"/>
      <c r="D221" s="371"/>
      <c r="E221" s="335"/>
      <c r="F221" s="335"/>
      <c r="G221" s="335"/>
      <c r="H221" s="335"/>
      <c r="I221" s="376"/>
      <c r="J221" s="377" t="s">
        <v>243</v>
      </c>
      <c r="K221" s="335"/>
      <c r="L221" s="335"/>
      <c r="M221" s="335"/>
      <c r="N221" s="374"/>
      <c r="O221" s="335"/>
      <c r="P221" s="358"/>
      <c r="Q221" s="363"/>
      <c r="R221" s="5"/>
    </row>
    <row r="222" spans="1:18" ht="15.6" x14ac:dyDescent="0.3">
      <c r="A222" s="348"/>
      <c r="B222" s="222"/>
      <c r="C222" s="223"/>
      <c r="D222" s="224"/>
      <c r="E222" s="190"/>
      <c r="F222" s="190"/>
      <c r="G222" s="190"/>
      <c r="H222" s="190"/>
      <c r="I222" s="190"/>
      <c r="J222" s="190"/>
      <c r="K222" s="190"/>
      <c r="L222" s="190"/>
      <c r="M222" s="190"/>
      <c r="N222" s="349"/>
      <c r="O222" s="190"/>
      <c r="P222" s="344"/>
      <c r="Q222" s="350"/>
      <c r="R222" s="5"/>
    </row>
    <row r="223" spans="1:18" ht="15.6" x14ac:dyDescent="0.3">
      <c r="A223" s="251"/>
      <c r="B223" s="393" t="s">
        <v>290</v>
      </c>
      <c r="C223" s="395"/>
      <c r="D223" s="400"/>
      <c r="E223" s="395"/>
      <c r="F223" s="395"/>
      <c r="G223" s="395"/>
      <c r="H223" s="395"/>
      <c r="I223" s="395"/>
      <c r="J223" s="395"/>
      <c r="K223" s="395"/>
      <c r="L223" s="400" t="s">
        <v>113</v>
      </c>
      <c r="M223" s="395" t="s">
        <v>114</v>
      </c>
      <c r="N223" s="400" t="s">
        <v>123</v>
      </c>
      <c r="O223" s="395" t="s">
        <v>114</v>
      </c>
      <c r="P223" s="252"/>
      <c r="Q223" s="393"/>
      <c r="R223" s="5"/>
    </row>
    <row r="224" spans="1:18" ht="15.6" x14ac:dyDescent="0.3">
      <c r="A224" s="198"/>
      <c r="B224" s="235" t="s">
        <v>98</v>
      </c>
      <c r="C224" s="309"/>
      <c r="D224" s="230"/>
      <c r="E224" s="309"/>
      <c r="F224" s="309"/>
      <c r="G224" s="309"/>
      <c r="H224" s="309"/>
      <c r="I224" s="309"/>
      <c r="J224" s="309"/>
      <c r="K224" s="309"/>
      <c r="L224" s="330">
        <f t="shared" ref="L224:L231" si="1">+L235+L246+L257</f>
        <v>3367</v>
      </c>
      <c r="M224" s="382">
        <f t="shared" ref="M224:M231" si="2">L224/$L$232</f>
        <v>0.98106060606060608</v>
      </c>
      <c r="N224" s="331">
        <f t="shared" ref="N224:N231" si="3">+N235+N246+N257</f>
        <v>381147</v>
      </c>
      <c r="O224" s="382">
        <f t="shared" ref="O224:O231" si="4">N224/$N$232</f>
        <v>0.98247183249258274</v>
      </c>
      <c r="P224" s="306"/>
      <c r="Q224" s="233"/>
      <c r="R224" s="5"/>
    </row>
    <row r="225" spans="1:18" ht="15.6" x14ac:dyDescent="0.3">
      <c r="A225" s="260"/>
      <c r="B225" s="330" t="s">
        <v>99</v>
      </c>
      <c r="C225" s="381"/>
      <c r="D225" s="261"/>
      <c r="E225" s="382"/>
      <c r="F225" s="381"/>
      <c r="G225" s="381"/>
      <c r="H225" s="381"/>
      <c r="I225" s="381"/>
      <c r="J225" s="381"/>
      <c r="K225" s="381"/>
      <c r="L225" s="330">
        <f t="shared" si="1"/>
        <v>37</v>
      </c>
      <c r="M225" s="382">
        <f t="shared" si="2"/>
        <v>1.078088578088578E-2</v>
      </c>
      <c r="N225" s="331">
        <f t="shared" si="3"/>
        <v>4250</v>
      </c>
      <c r="O225" s="382">
        <f t="shared" si="4"/>
        <v>1.0955104692135781E-2</v>
      </c>
      <c r="P225" s="354"/>
      <c r="Q225" s="373"/>
      <c r="R225" s="5"/>
    </row>
    <row r="226" spans="1:18" ht="15.6" x14ac:dyDescent="0.3">
      <c r="A226" s="260"/>
      <c r="B226" s="330" t="s">
        <v>100</v>
      </c>
      <c r="C226" s="381"/>
      <c r="D226" s="261"/>
      <c r="E226" s="382"/>
      <c r="F226" s="381"/>
      <c r="G226" s="381"/>
      <c r="H226" s="381"/>
      <c r="I226" s="381"/>
      <c r="J226" s="381"/>
      <c r="K226" s="381"/>
      <c r="L226" s="330">
        <f t="shared" si="1"/>
        <v>5</v>
      </c>
      <c r="M226" s="382">
        <f t="shared" si="2"/>
        <v>1.456876456876457E-3</v>
      </c>
      <c r="N226" s="331">
        <f t="shared" si="3"/>
        <v>508</v>
      </c>
      <c r="O226" s="382">
        <f t="shared" si="4"/>
        <v>1.3094572196717593E-3</v>
      </c>
      <c r="P226" s="354"/>
      <c r="Q226" s="373"/>
      <c r="R226" s="5"/>
    </row>
    <row r="227" spans="1:18" ht="15.6" x14ac:dyDescent="0.3">
      <c r="A227" s="260"/>
      <c r="B227" s="330" t="s">
        <v>227</v>
      </c>
      <c r="C227" s="381"/>
      <c r="D227" s="261"/>
      <c r="E227" s="382"/>
      <c r="F227" s="381"/>
      <c r="G227" s="381"/>
      <c r="H227" s="381"/>
      <c r="I227" s="381"/>
      <c r="J227" s="381"/>
      <c r="K227" s="381"/>
      <c r="L227" s="330">
        <f t="shared" si="1"/>
        <v>4</v>
      </c>
      <c r="M227" s="382">
        <f t="shared" si="2"/>
        <v>1.1655011655011655E-3</v>
      </c>
      <c r="N227" s="331">
        <f t="shared" si="3"/>
        <v>283</v>
      </c>
      <c r="O227" s="382">
        <f t="shared" si="4"/>
        <v>7.2948108891162972E-4</v>
      </c>
      <c r="P227" s="354"/>
      <c r="Q227" s="373"/>
      <c r="R227" s="5"/>
    </row>
    <row r="228" spans="1:18" ht="15.6" x14ac:dyDescent="0.3">
      <c r="A228" s="260"/>
      <c r="B228" s="330" t="s">
        <v>228</v>
      </c>
      <c r="C228" s="381"/>
      <c r="D228" s="261"/>
      <c r="E228" s="382"/>
      <c r="F228" s="381"/>
      <c r="G228" s="381"/>
      <c r="H228" s="381"/>
      <c r="I228" s="381"/>
      <c r="J228" s="381"/>
      <c r="K228" s="381"/>
      <c r="L228" s="330">
        <f t="shared" si="1"/>
        <v>7</v>
      </c>
      <c r="M228" s="382">
        <f t="shared" si="2"/>
        <v>2.0396270396270395E-3</v>
      </c>
      <c r="N228" s="331">
        <f t="shared" si="3"/>
        <v>560</v>
      </c>
      <c r="O228" s="382">
        <f t="shared" si="4"/>
        <v>1.4434961476696559E-3</v>
      </c>
      <c r="P228" s="354"/>
      <c r="Q228" s="373"/>
      <c r="R228" s="5"/>
    </row>
    <row r="229" spans="1:18" ht="15.6" x14ac:dyDescent="0.3">
      <c r="A229" s="260"/>
      <c r="B229" s="330" t="s">
        <v>229</v>
      </c>
      <c r="C229" s="381"/>
      <c r="D229" s="261"/>
      <c r="E229" s="382"/>
      <c r="F229" s="381"/>
      <c r="G229" s="381"/>
      <c r="H229" s="381"/>
      <c r="I229" s="381"/>
      <c r="J229" s="381"/>
      <c r="K229" s="381"/>
      <c r="L229" s="330">
        <f t="shared" si="1"/>
        <v>1</v>
      </c>
      <c r="M229" s="382">
        <f t="shared" si="2"/>
        <v>2.9137529137529138E-4</v>
      </c>
      <c r="N229" s="331">
        <f t="shared" si="3"/>
        <v>34</v>
      </c>
      <c r="O229" s="382">
        <f t="shared" si="4"/>
        <v>8.7640837537086256E-5</v>
      </c>
      <c r="P229" s="354"/>
      <c r="Q229" s="373"/>
      <c r="R229" s="5"/>
    </row>
    <row r="230" spans="1:18" ht="15.6" x14ac:dyDescent="0.3">
      <c r="A230" s="260"/>
      <c r="B230" s="330" t="s">
        <v>230</v>
      </c>
      <c r="C230" s="381"/>
      <c r="D230" s="261"/>
      <c r="E230" s="382"/>
      <c r="F230" s="381"/>
      <c r="G230" s="381"/>
      <c r="H230" s="381"/>
      <c r="I230" s="381"/>
      <c r="J230" s="381"/>
      <c r="K230" s="381"/>
      <c r="L230" s="330">
        <f t="shared" si="1"/>
        <v>6</v>
      </c>
      <c r="M230" s="382">
        <f t="shared" si="2"/>
        <v>1.7482517482517483E-3</v>
      </c>
      <c r="N230" s="331">
        <f t="shared" si="3"/>
        <v>321</v>
      </c>
      <c r="O230" s="382">
        <f t="shared" si="4"/>
        <v>8.2743261321778494E-4</v>
      </c>
      <c r="P230" s="354"/>
      <c r="Q230" s="373"/>
      <c r="R230" s="5"/>
    </row>
    <row r="231" spans="1:18" ht="15.6" x14ac:dyDescent="0.3">
      <c r="A231" s="260"/>
      <c r="B231" s="330" t="s">
        <v>231</v>
      </c>
      <c r="C231" s="381"/>
      <c r="D231" s="261"/>
      <c r="E231" s="382"/>
      <c r="F231" s="381"/>
      <c r="G231" s="381"/>
      <c r="H231" s="381"/>
      <c r="I231" s="381"/>
      <c r="J231" s="381"/>
      <c r="K231" s="381"/>
      <c r="L231" s="330">
        <f t="shared" si="1"/>
        <v>5</v>
      </c>
      <c r="M231" s="382">
        <f t="shared" si="2"/>
        <v>1.456876456876457E-3</v>
      </c>
      <c r="N231" s="331">
        <f t="shared" si="3"/>
        <v>844</v>
      </c>
      <c r="O231" s="382">
        <f t="shared" si="4"/>
        <v>2.1755549082735528E-3</v>
      </c>
      <c r="P231" s="354"/>
      <c r="Q231" s="373"/>
      <c r="R231" s="5"/>
    </row>
    <row r="232" spans="1:18" ht="15.6" x14ac:dyDescent="0.3">
      <c r="A232" s="260"/>
      <c r="B232" s="261" t="s">
        <v>129</v>
      </c>
      <c r="C232" s="261"/>
      <c r="D232" s="261"/>
      <c r="E232" s="261"/>
      <c r="F232" s="383"/>
      <c r="G232" s="383"/>
      <c r="H232" s="383"/>
      <c r="I232" s="383"/>
      <c r="J232" s="383"/>
      <c r="K232" s="383"/>
      <c r="L232" s="330">
        <f>SUM(L224:L231)</f>
        <v>3432</v>
      </c>
      <c r="M232" s="382">
        <f>SUM(M224:M231)</f>
        <v>0.99999999999999989</v>
      </c>
      <c r="N232" s="330">
        <f>SUM(N224:N231)</f>
        <v>387947</v>
      </c>
      <c r="O232" s="382">
        <f>SUM(O224:O231)</f>
        <v>1</v>
      </c>
      <c r="P232" s="261"/>
      <c r="Q232" s="264"/>
      <c r="R232" s="5"/>
    </row>
    <row r="233" spans="1:18" ht="15.6" x14ac:dyDescent="0.3">
      <c r="A233" s="348"/>
      <c r="B233" s="222"/>
      <c r="C233" s="223"/>
      <c r="D233" s="224"/>
      <c r="E233" s="190"/>
      <c r="F233" s="190"/>
      <c r="G233" s="190"/>
      <c r="H233" s="190"/>
      <c r="I233" s="190"/>
      <c r="J233" s="190"/>
      <c r="K233" s="190"/>
      <c r="L233" s="190"/>
      <c r="M233" s="190"/>
      <c r="N233" s="349"/>
      <c r="O233" s="190"/>
      <c r="P233" s="344"/>
      <c r="Q233" s="350"/>
      <c r="R233" s="5"/>
    </row>
    <row r="234" spans="1:18" ht="15.6" x14ac:dyDescent="0.3">
      <c r="A234" s="251"/>
      <c r="B234" s="393" t="s">
        <v>236</v>
      </c>
      <c r="C234" s="395"/>
      <c r="D234" s="400"/>
      <c r="E234" s="395"/>
      <c r="F234" s="395"/>
      <c r="G234" s="395"/>
      <c r="H234" s="395"/>
      <c r="I234" s="395"/>
      <c r="J234" s="395"/>
      <c r="K234" s="395"/>
      <c r="L234" s="400" t="s">
        <v>113</v>
      </c>
      <c r="M234" s="395" t="s">
        <v>114</v>
      </c>
      <c r="N234" s="400" t="s">
        <v>123</v>
      </c>
      <c r="O234" s="395" t="s">
        <v>114</v>
      </c>
      <c r="P234" s="252"/>
      <c r="Q234" s="393"/>
      <c r="R234" s="5"/>
    </row>
    <row r="235" spans="1:18" ht="15.6" x14ac:dyDescent="0.3">
      <c r="A235" s="198"/>
      <c r="B235" s="235" t="s">
        <v>98</v>
      </c>
      <c r="C235" s="309"/>
      <c r="D235" s="230"/>
      <c r="E235" s="309"/>
      <c r="F235" s="309"/>
      <c r="G235" s="309"/>
      <c r="H235" s="309"/>
      <c r="I235" s="309"/>
      <c r="J235" s="309"/>
      <c r="K235" s="309"/>
      <c r="L235" s="235">
        <v>3324</v>
      </c>
      <c r="M235" s="310">
        <f t="shared" ref="M235:M242" si="5">L235/$L$243</f>
        <v>0.98605754968851977</v>
      </c>
      <c r="N235" s="300">
        <v>373966</v>
      </c>
      <c r="O235" s="310">
        <f t="shared" ref="O235:O242" si="6">N235/$N$243</f>
        <v>0.98898268329578032</v>
      </c>
      <c r="P235" s="306"/>
      <c r="Q235" s="233"/>
      <c r="R235" s="5"/>
    </row>
    <row r="236" spans="1:18" ht="15.6" x14ac:dyDescent="0.3">
      <c r="A236" s="260"/>
      <c r="B236" s="330" t="s">
        <v>99</v>
      </c>
      <c r="C236" s="381"/>
      <c r="D236" s="261"/>
      <c r="E236" s="382"/>
      <c r="F236" s="381"/>
      <c r="G236" s="381"/>
      <c r="H236" s="381"/>
      <c r="I236" s="381"/>
      <c r="J236" s="381"/>
      <c r="K236" s="381"/>
      <c r="L236" s="330">
        <v>32</v>
      </c>
      <c r="M236" s="382">
        <f t="shared" si="5"/>
        <v>9.4927321269652927E-3</v>
      </c>
      <c r="N236" s="331">
        <v>3396</v>
      </c>
      <c r="O236" s="382">
        <f t="shared" si="6"/>
        <v>8.9809907651296379E-3</v>
      </c>
      <c r="P236" s="354"/>
      <c r="Q236" s="373"/>
      <c r="R236" s="5"/>
    </row>
    <row r="237" spans="1:18" ht="15.6" x14ac:dyDescent="0.3">
      <c r="A237" s="260"/>
      <c r="B237" s="330" t="s">
        <v>100</v>
      </c>
      <c r="C237" s="381"/>
      <c r="D237" s="261"/>
      <c r="E237" s="382"/>
      <c r="F237" s="381"/>
      <c r="G237" s="381"/>
      <c r="H237" s="381"/>
      <c r="I237" s="381"/>
      <c r="J237" s="381"/>
      <c r="K237" s="381"/>
      <c r="L237" s="330">
        <v>3</v>
      </c>
      <c r="M237" s="382">
        <f t="shared" si="5"/>
        <v>8.8994363690299619E-4</v>
      </c>
      <c r="N237" s="331">
        <v>336</v>
      </c>
      <c r="O237" s="382">
        <f t="shared" si="6"/>
        <v>8.8857859160293234E-4</v>
      </c>
      <c r="P237" s="354"/>
      <c r="Q237" s="373"/>
      <c r="R237" s="5"/>
    </row>
    <row r="238" spans="1:18" ht="15.6" x14ac:dyDescent="0.3">
      <c r="A238" s="260"/>
      <c r="B238" s="330" t="s">
        <v>227</v>
      </c>
      <c r="C238" s="381"/>
      <c r="D238" s="261"/>
      <c r="E238" s="382"/>
      <c r="F238" s="381"/>
      <c r="G238" s="381"/>
      <c r="H238" s="381"/>
      <c r="I238" s="381"/>
      <c r="J238" s="381"/>
      <c r="K238" s="381"/>
      <c r="L238" s="330">
        <v>2</v>
      </c>
      <c r="M238" s="382">
        <f t="shared" si="5"/>
        <v>5.9329575793533079E-4</v>
      </c>
      <c r="N238" s="331">
        <v>88</v>
      </c>
      <c r="O238" s="382">
        <f t="shared" si="6"/>
        <v>2.3272296446743464E-4</v>
      </c>
      <c r="P238" s="354"/>
      <c r="Q238" s="373"/>
      <c r="R238" s="5"/>
    </row>
    <row r="239" spans="1:18" ht="15.6" x14ac:dyDescent="0.3">
      <c r="A239" s="260"/>
      <c r="B239" s="330" t="s">
        <v>228</v>
      </c>
      <c r="C239" s="381"/>
      <c r="D239" s="261"/>
      <c r="E239" s="382"/>
      <c r="F239" s="381"/>
      <c r="G239" s="381"/>
      <c r="H239" s="381"/>
      <c r="I239" s="381"/>
      <c r="J239" s="381"/>
      <c r="K239" s="381"/>
      <c r="L239" s="330">
        <v>4</v>
      </c>
      <c r="M239" s="382">
        <f t="shared" si="5"/>
        <v>1.1865915158706616E-3</v>
      </c>
      <c r="N239" s="331">
        <v>173</v>
      </c>
      <c r="O239" s="382">
        <f t="shared" si="6"/>
        <v>4.5751219150984312E-4</v>
      </c>
      <c r="P239" s="354"/>
      <c r="Q239" s="373"/>
      <c r="R239" s="5"/>
    </row>
    <row r="240" spans="1:18" ht="15.6" x14ac:dyDescent="0.3">
      <c r="A240" s="260"/>
      <c r="B240" s="330" t="s">
        <v>229</v>
      </c>
      <c r="C240" s="381"/>
      <c r="D240" s="261"/>
      <c r="E240" s="382"/>
      <c r="F240" s="381"/>
      <c r="G240" s="381"/>
      <c r="H240" s="381"/>
      <c r="I240" s="381"/>
      <c r="J240" s="381"/>
      <c r="K240" s="381"/>
      <c r="L240" s="330">
        <v>1</v>
      </c>
      <c r="M240" s="382">
        <f t="shared" si="5"/>
        <v>2.966478789676654E-4</v>
      </c>
      <c r="N240" s="331">
        <v>34</v>
      </c>
      <c r="O240" s="382">
        <f t="shared" si="6"/>
        <v>8.9915690816963389E-5</v>
      </c>
      <c r="P240" s="354"/>
      <c r="Q240" s="373"/>
      <c r="R240" s="5"/>
    </row>
    <row r="241" spans="1:18" ht="15.6" x14ac:dyDescent="0.3">
      <c r="A241" s="260"/>
      <c r="B241" s="330" t="s">
        <v>230</v>
      </c>
      <c r="C241" s="381"/>
      <c r="D241" s="261"/>
      <c r="E241" s="382"/>
      <c r="F241" s="381"/>
      <c r="G241" s="381"/>
      <c r="H241" s="381"/>
      <c r="I241" s="381"/>
      <c r="J241" s="381"/>
      <c r="K241" s="381"/>
      <c r="L241" s="330">
        <v>4</v>
      </c>
      <c r="M241" s="382">
        <f t="shared" si="5"/>
        <v>1.1865915158706616E-3</v>
      </c>
      <c r="N241" s="331">
        <v>98</v>
      </c>
      <c r="O241" s="382">
        <f t="shared" si="6"/>
        <v>2.5916875588418857E-4</v>
      </c>
      <c r="P241" s="354"/>
      <c r="Q241" s="373"/>
      <c r="R241" s="5"/>
    </row>
    <row r="242" spans="1:18" ht="15.6" x14ac:dyDescent="0.3">
      <c r="A242" s="260"/>
      <c r="B242" s="330" t="s">
        <v>231</v>
      </c>
      <c r="C242" s="381"/>
      <c r="D242" s="261"/>
      <c r="E242" s="382"/>
      <c r="F242" s="381"/>
      <c r="G242" s="381"/>
      <c r="H242" s="381"/>
      <c r="I242" s="381"/>
      <c r="J242" s="381"/>
      <c r="K242" s="381"/>
      <c r="L242" s="330">
        <v>1</v>
      </c>
      <c r="M242" s="382">
        <f t="shared" si="5"/>
        <v>2.966478789676654E-4</v>
      </c>
      <c r="N242" s="331">
        <v>41</v>
      </c>
      <c r="O242" s="382">
        <f t="shared" si="6"/>
        <v>1.0842774480869115E-4</v>
      </c>
      <c r="P242" s="354"/>
      <c r="Q242" s="373"/>
      <c r="R242" s="5"/>
    </row>
    <row r="243" spans="1:18" ht="15.6" x14ac:dyDescent="0.3">
      <c r="A243" s="260"/>
      <c r="B243" s="261" t="s">
        <v>129</v>
      </c>
      <c r="C243" s="261"/>
      <c r="D243" s="261"/>
      <c r="E243" s="261"/>
      <c r="F243" s="383"/>
      <c r="G243" s="383"/>
      <c r="H243" s="383"/>
      <c r="I243" s="383"/>
      <c r="J243" s="383"/>
      <c r="K243" s="383"/>
      <c r="L243" s="330">
        <f>SUM(L235:L242)</f>
        <v>3371</v>
      </c>
      <c r="M243" s="382">
        <f>SUM(M235:M242)</f>
        <v>1</v>
      </c>
      <c r="N243" s="331">
        <f>SUM(N235:N242)</f>
        <v>378132</v>
      </c>
      <c r="O243" s="382">
        <f>SUM(O235:O242)</f>
        <v>0.99999999999999989</v>
      </c>
      <c r="P243" s="261"/>
      <c r="Q243" s="264"/>
      <c r="R243" s="5"/>
    </row>
    <row r="244" spans="1:18" ht="15.6" x14ac:dyDescent="0.3">
      <c r="A244" s="183"/>
      <c r="B244" s="257"/>
      <c r="C244" s="257"/>
      <c r="D244" s="257"/>
      <c r="E244" s="257"/>
      <c r="F244" s="378"/>
      <c r="G244" s="378"/>
      <c r="H244" s="378"/>
      <c r="I244" s="378"/>
      <c r="J244" s="378"/>
      <c r="K244" s="378"/>
      <c r="L244" s="302"/>
      <c r="M244" s="379"/>
      <c r="N244" s="380"/>
      <c r="O244" s="379"/>
      <c r="P244" s="257"/>
      <c r="Q244" s="257"/>
      <c r="R244" s="5"/>
    </row>
    <row r="245" spans="1:18" ht="15.6" x14ac:dyDescent="0.3">
      <c r="A245" s="316"/>
      <c r="B245" s="393" t="s">
        <v>238</v>
      </c>
      <c r="C245" s="395"/>
      <c r="D245" s="400"/>
      <c r="E245" s="395"/>
      <c r="F245" s="395"/>
      <c r="G245" s="395"/>
      <c r="H245" s="395"/>
      <c r="I245" s="395"/>
      <c r="J245" s="395"/>
      <c r="K245" s="395"/>
      <c r="L245" s="400" t="s">
        <v>113</v>
      </c>
      <c r="M245" s="395" t="s">
        <v>114</v>
      </c>
      <c r="N245" s="400" t="s">
        <v>123</v>
      </c>
      <c r="O245" s="395" t="s">
        <v>114</v>
      </c>
      <c r="P245" s="252"/>
      <c r="Q245" s="321"/>
      <c r="R245" s="5"/>
    </row>
    <row r="246" spans="1:18" ht="15.6" x14ac:dyDescent="0.3">
      <c r="A246" s="198"/>
      <c r="B246" s="235" t="s">
        <v>98</v>
      </c>
      <c r="C246" s="309"/>
      <c r="D246" s="230"/>
      <c r="E246" s="309"/>
      <c r="F246" s="309"/>
      <c r="G246" s="309"/>
      <c r="H246" s="309"/>
      <c r="I246" s="309"/>
      <c r="J246" s="309"/>
      <c r="K246" s="309"/>
      <c r="L246" s="235">
        <v>43</v>
      </c>
      <c r="M246" s="310">
        <f t="shared" ref="M246:M253" si="7">L246/$L$254</f>
        <v>0.71666666666666667</v>
      </c>
      <c r="N246" s="300">
        <v>7181</v>
      </c>
      <c r="O246" s="310">
        <f t="shared" ref="O246:O253" si="8">N246/$N$254</f>
        <v>0.73223207912715405</v>
      </c>
      <c r="P246" s="306"/>
      <c r="Q246" s="230"/>
      <c r="R246" s="5"/>
    </row>
    <row r="247" spans="1:18" ht="15.6" x14ac:dyDescent="0.3">
      <c r="A247" s="260"/>
      <c r="B247" s="330" t="s">
        <v>99</v>
      </c>
      <c r="C247" s="381"/>
      <c r="D247" s="261"/>
      <c r="E247" s="382"/>
      <c r="F247" s="381"/>
      <c r="G247" s="381"/>
      <c r="H247" s="381"/>
      <c r="I247" s="381"/>
      <c r="J247" s="381"/>
      <c r="K247" s="381"/>
      <c r="L247" s="330">
        <v>5</v>
      </c>
      <c r="M247" s="382">
        <f t="shared" si="7"/>
        <v>8.3333333333333329E-2</v>
      </c>
      <c r="N247" s="331">
        <v>854</v>
      </c>
      <c r="O247" s="382">
        <f t="shared" si="8"/>
        <v>8.7080656673804421E-2</v>
      </c>
      <c r="P247" s="354"/>
      <c r="Q247" s="264"/>
      <c r="R247" s="5"/>
    </row>
    <row r="248" spans="1:18" ht="15.6" x14ac:dyDescent="0.3">
      <c r="A248" s="260"/>
      <c r="B248" s="330" t="s">
        <v>100</v>
      </c>
      <c r="C248" s="381"/>
      <c r="D248" s="261"/>
      <c r="E248" s="382"/>
      <c r="F248" s="381"/>
      <c r="G248" s="381"/>
      <c r="H248" s="381"/>
      <c r="I248" s="381"/>
      <c r="J248" s="381"/>
      <c r="K248" s="381"/>
      <c r="L248" s="330">
        <v>2</v>
      </c>
      <c r="M248" s="382">
        <f t="shared" si="7"/>
        <v>3.3333333333333333E-2</v>
      </c>
      <c r="N248" s="331">
        <v>172</v>
      </c>
      <c r="O248" s="382">
        <f t="shared" si="8"/>
        <v>1.7538492913225248E-2</v>
      </c>
      <c r="P248" s="354"/>
      <c r="Q248" s="264"/>
      <c r="R248" s="5"/>
    </row>
    <row r="249" spans="1:18" ht="15.6" x14ac:dyDescent="0.3">
      <c r="A249" s="260"/>
      <c r="B249" s="330" t="s">
        <v>227</v>
      </c>
      <c r="C249" s="381"/>
      <c r="D249" s="261"/>
      <c r="E249" s="382"/>
      <c r="F249" s="381"/>
      <c r="G249" s="381"/>
      <c r="H249" s="381"/>
      <c r="I249" s="381"/>
      <c r="J249" s="381"/>
      <c r="K249" s="381"/>
      <c r="L249" s="330">
        <v>2</v>
      </c>
      <c r="M249" s="382">
        <f t="shared" si="7"/>
        <v>3.3333333333333333E-2</v>
      </c>
      <c r="N249" s="331">
        <v>195</v>
      </c>
      <c r="O249" s="382">
        <f t="shared" si="8"/>
        <v>1.9883756500458857E-2</v>
      </c>
      <c r="P249" s="354"/>
      <c r="Q249" s="264"/>
      <c r="R249" s="5"/>
    </row>
    <row r="250" spans="1:18" ht="15.6" x14ac:dyDescent="0.3">
      <c r="A250" s="260"/>
      <c r="B250" s="330" t="s">
        <v>228</v>
      </c>
      <c r="C250" s="381"/>
      <c r="D250" s="261"/>
      <c r="E250" s="382"/>
      <c r="F250" s="381"/>
      <c r="G250" s="381"/>
      <c r="H250" s="381"/>
      <c r="I250" s="381"/>
      <c r="J250" s="381"/>
      <c r="K250" s="381"/>
      <c r="L250" s="330">
        <v>3</v>
      </c>
      <c r="M250" s="382">
        <f t="shared" si="7"/>
        <v>0.05</v>
      </c>
      <c r="N250" s="331">
        <v>387</v>
      </c>
      <c r="O250" s="382">
        <f t="shared" si="8"/>
        <v>3.9461609054756805E-2</v>
      </c>
      <c r="P250" s="354"/>
      <c r="Q250" s="264"/>
      <c r="R250" s="5"/>
    </row>
    <row r="251" spans="1:18" ht="15.6" x14ac:dyDescent="0.3">
      <c r="A251" s="260"/>
      <c r="B251" s="330" t="s">
        <v>229</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230</v>
      </c>
      <c r="C252" s="381"/>
      <c r="D252" s="261"/>
      <c r="E252" s="382"/>
      <c r="F252" s="381"/>
      <c r="G252" s="381"/>
      <c r="H252" s="381"/>
      <c r="I252" s="381"/>
      <c r="J252" s="381"/>
      <c r="K252" s="381"/>
      <c r="L252" s="330">
        <v>1</v>
      </c>
      <c r="M252" s="382">
        <f t="shared" si="7"/>
        <v>1.6666666666666666E-2</v>
      </c>
      <c r="N252" s="331">
        <v>215</v>
      </c>
      <c r="O252" s="382">
        <f t="shared" si="8"/>
        <v>2.192311614153156E-2</v>
      </c>
      <c r="P252" s="354"/>
      <c r="Q252" s="264"/>
      <c r="R252" s="5"/>
    </row>
    <row r="253" spans="1:18" ht="15.6" x14ac:dyDescent="0.3">
      <c r="A253" s="260"/>
      <c r="B253" s="330" t="s">
        <v>231</v>
      </c>
      <c r="C253" s="381"/>
      <c r="D253" s="261"/>
      <c r="E253" s="382"/>
      <c r="F253" s="381"/>
      <c r="G253" s="381"/>
      <c r="H253" s="381"/>
      <c r="I253" s="381"/>
      <c r="J253" s="381"/>
      <c r="K253" s="381"/>
      <c r="L253" s="330">
        <v>4</v>
      </c>
      <c r="M253" s="382">
        <f t="shared" si="7"/>
        <v>6.6666666666666666E-2</v>
      </c>
      <c r="N253" s="331">
        <v>803</v>
      </c>
      <c r="O253" s="382">
        <f t="shared" si="8"/>
        <v>8.1880289589069039E-2</v>
      </c>
      <c r="P253" s="354"/>
      <c r="Q253" s="264"/>
      <c r="R253" s="5"/>
    </row>
    <row r="254" spans="1:18" ht="15.6" x14ac:dyDescent="0.3">
      <c r="A254" s="260"/>
      <c r="B254" s="261" t="s">
        <v>129</v>
      </c>
      <c r="C254" s="261"/>
      <c r="D254" s="261"/>
      <c r="E254" s="261"/>
      <c r="F254" s="383"/>
      <c r="G254" s="383"/>
      <c r="H254" s="383"/>
      <c r="I254" s="383"/>
      <c r="J254" s="383"/>
      <c r="K254" s="383"/>
      <c r="L254" s="330">
        <f>SUM(L246:L253)</f>
        <v>60</v>
      </c>
      <c r="M254" s="382">
        <f>SUM(M246:M253)</f>
        <v>1.0000000000000002</v>
      </c>
      <c r="N254" s="331">
        <f>SUM(N246:N253)</f>
        <v>9807</v>
      </c>
      <c r="O254" s="382">
        <f>SUM(O246:O253)</f>
        <v>0.99999999999999989</v>
      </c>
      <c r="P254" s="261"/>
      <c r="Q254" s="264"/>
      <c r="R254" s="5"/>
    </row>
    <row r="255" spans="1:18" ht="15.6" x14ac:dyDescent="0.3">
      <c r="A255" s="183"/>
      <c r="B255" s="257"/>
      <c r="C255" s="257"/>
      <c r="D255" s="257"/>
      <c r="E255" s="257"/>
      <c r="F255" s="378"/>
      <c r="G255" s="378"/>
      <c r="H255" s="378"/>
      <c r="I255" s="378"/>
      <c r="J255" s="378"/>
      <c r="K255" s="378"/>
      <c r="L255" s="302"/>
      <c r="M255" s="379"/>
      <c r="N255" s="380"/>
      <c r="O255" s="379"/>
      <c r="P255" s="257"/>
      <c r="Q255" s="257"/>
      <c r="R255" s="5"/>
    </row>
    <row r="256" spans="1:18" ht="15.6" x14ac:dyDescent="0.3">
      <c r="A256" s="316"/>
      <c r="B256" s="393" t="s">
        <v>239</v>
      </c>
      <c r="C256" s="395"/>
      <c r="D256" s="400"/>
      <c r="E256" s="395"/>
      <c r="F256" s="395"/>
      <c r="G256" s="395"/>
      <c r="H256" s="395"/>
      <c r="I256" s="395"/>
      <c r="J256" s="395"/>
      <c r="K256" s="395"/>
      <c r="L256" s="400" t="s">
        <v>113</v>
      </c>
      <c r="M256" s="395" t="s">
        <v>114</v>
      </c>
      <c r="N256" s="400" t="s">
        <v>123</v>
      </c>
      <c r="O256" s="395" t="s">
        <v>114</v>
      </c>
      <c r="P256" s="320"/>
      <c r="Q256" s="321"/>
      <c r="R256" s="5"/>
    </row>
    <row r="257" spans="1:18" ht="15.6" x14ac:dyDescent="0.3">
      <c r="A257" s="198"/>
      <c r="B257" s="235" t="s">
        <v>98</v>
      </c>
      <c r="C257" s="309"/>
      <c r="D257" s="230"/>
      <c r="E257" s="309"/>
      <c r="F257" s="309"/>
      <c r="G257" s="309"/>
      <c r="H257" s="309"/>
      <c r="I257" s="309"/>
      <c r="J257" s="309"/>
      <c r="K257" s="309"/>
      <c r="L257" s="235">
        <v>0</v>
      </c>
      <c r="M257" s="310">
        <v>0</v>
      </c>
      <c r="N257" s="300">
        <v>0</v>
      </c>
      <c r="O257" s="310">
        <v>0</v>
      </c>
      <c r="P257" s="230"/>
      <c r="Q257" s="230"/>
      <c r="R257" s="5"/>
    </row>
    <row r="258" spans="1:18" ht="15.6" x14ac:dyDescent="0.3">
      <c r="A258" s="260"/>
      <c r="B258" s="330" t="s">
        <v>99</v>
      </c>
      <c r="C258" s="381"/>
      <c r="D258" s="261"/>
      <c r="E258" s="382"/>
      <c r="F258" s="381"/>
      <c r="G258" s="381"/>
      <c r="H258" s="381"/>
      <c r="I258" s="381"/>
      <c r="J258" s="381"/>
      <c r="K258" s="381"/>
      <c r="L258" s="330">
        <v>0</v>
      </c>
      <c r="M258" s="382">
        <v>0</v>
      </c>
      <c r="N258" s="331">
        <v>0</v>
      </c>
      <c r="O258" s="382">
        <v>0</v>
      </c>
      <c r="P258" s="261"/>
      <c r="Q258" s="264"/>
      <c r="R258" s="5"/>
    </row>
    <row r="259" spans="1:18" ht="15.6" x14ac:dyDescent="0.3">
      <c r="A259" s="260"/>
      <c r="B259" s="330" t="s">
        <v>100</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227</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228</v>
      </c>
      <c r="C261" s="381"/>
      <c r="D261" s="261"/>
      <c r="E261" s="382"/>
      <c r="F261" s="381"/>
      <c r="G261" s="381"/>
      <c r="H261" s="381"/>
      <c r="I261" s="381"/>
      <c r="J261" s="381"/>
      <c r="K261" s="381"/>
      <c r="L261" s="330">
        <v>0</v>
      </c>
      <c r="M261" s="382">
        <f>L261/L265</f>
        <v>0</v>
      </c>
      <c r="N261" s="331">
        <v>0</v>
      </c>
      <c r="O261" s="382">
        <f>N261/N265</f>
        <v>0</v>
      </c>
      <c r="P261" s="261"/>
      <c r="Q261" s="264"/>
      <c r="R261" s="5"/>
    </row>
    <row r="262" spans="1:18" ht="15.6" x14ac:dyDescent="0.3">
      <c r="A262" s="260"/>
      <c r="B262" s="330" t="s">
        <v>229</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230</v>
      </c>
      <c r="C263" s="381"/>
      <c r="D263" s="261"/>
      <c r="E263" s="382"/>
      <c r="F263" s="381"/>
      <c r="G263" s="381"/>
      <c r="H263" s="381"/>
      <c r="I263" s="381"/>
      <c r="J263" s="381"/>
      <c r="K263" s="381"/>
      <c r="L263" s="330">
        <v>1</v>
      </c>
      <c r="M263" s="382">
        <f>L263/L265</f>
        <v>1</v>
      </c>
      <c r="N263" s="331">
        <v>8</v>
      </c>
      <c r="O263" s="382">
        <f>N263/N265</f>
        <v>1</v>
      </c>
      <c r="P263" s="261"/>
      <c r="Q263" s="264"/>
      <c r="R263" s="5"/>
    </row>
    <row r="264" spans="1:18" ht="15.6" x14ac:dyDescent="0.3">
      <c r="A264" s="260"/>
      <c r="B264" s="330" t="s">
        <v>231</v>
      </c>
      <c r="C264" s="381"/>
      <c r="D264" s="261"/>
      <c r="E264" s="382"/>
      <c r="F264" s="381"/>
      <c r="G264" s="381"/>
      <c r="H264" s="381"/>
      <c r="I264" s="381"/>
      <c r="J264" s="381"/>
      <c r="K264" s="381"/>
      <c r="L264" s="330">
        <v>0</v>
      </c>
      <c r="M264" s="382">
        <f>L264/L265</f>
        <v>0</v>
      </c>
      <c r="N264" s="331">
        <v>0</v>
      </c>
      <c r="O264" s="382">
        <f>N264/N265</f>
        <v>0</v>
      </c>
      <c r="P264" s="261"/>
      <c r="Q264" s="264"/>
      <c r="R264" s="5"/>
    </row>
    <row r="265" spans="1:18" ht="15.6" x14ac:dyDescent="0.3">
      <c r="A265" s="260"/>
      <c r="B265" s="261" t="s">
        <v>129</v>
      </c>
      <c r="C265" s="261"/>
      <c r="D265" s="261"/>
      <c r="E265" s="261"/>
      <c r="F265" s="383"/>
      <c r="G265" s="383"/>
      <c r="H265" s="383"/>
      <c r="I265" s="383"/>
      <c r="J265" s="383"/>
      <c r="K265" s="383"/>
      <c r="L265" s="330">
        <f>SUM(L257:L264)</f>
        <v>1</v>
      </c>
      <c r="M265" s="382">
        <f>SUM(M257:M264)</f>
        <v>1</v>
      </c>
      <c r="N265" s="331">
        <f>SUM(N257:N264)</f>
        <v>8</v>
      </c>
      <c r="O265" s="382">
        <f>SUM(O257:O264)</f>
        <v>1</v>
      </c>
      <c r="P265" s="261"/>
      <c r="Q265" s="264"/>
      <c r="R265" s="5"/>
    </row>
    <row r="266" spans="1:18" ht="15.6" x14ac:dyDescent="0.3">
      <c r="A266" s="260"/>
      <c r="B266" s="261"/>
      <c r="C266" s="261"/>
      <c r="D266" s="261"/>
      <c r="E266" s="261"/>
      <c r="F266" s="383"/>
      <c r="G266" s="383"/>
      <c r="H266" s="383"/>
      <c r="I266" s="383"/>
      <c r="J266" s="383"/>
      <c r="K266" s="383"/>
      <c r="L266" s="330"/>
      <c r="M266" s="382"/>
      <c r="N266" s="331"/>
      <c r="O266" s="382"/>
      <c r="P266" s="261"/>
      <c r="Q266" s="264"/>
      <c r="R266" s="5"/>
    </row>
    <row r="267" spans="1:18" ht="15.6" x14ac:dyDescent="0.3">
      <c r="A267" s="260"/>
      <c r="B267" s="266" t="s">
        <v>240</v>
      </c>
      <c r="C267" s="261"/>
      <c r="D267" s="261"/>
      <c r="E267" s="261"/>
      <c r="F267" s="383"/>
      <c r="G267" s="383"/>
      <c r="H267" s="383"/>
      <c r="I267" s="383"/>
      <c r="J267" s="383"/>
      <c r="K267" s="383"/>
      <c r="L267" s="401">
        <f>+L243+L254+L265</f>
        <v>3432</v>
      </c>
      <c r="M267" s="382"/>
      <c r="N267" s="386">
        <f>+N265+N254+N243</f>
        <v>387947</v>
      </c>
      <c r="O267" s="382"/>
      <c r="P267" s="261"/>
      <c r="Q267" s="264"/>
      <c r="R267" s="5"/>
    </row>
    <row r="268" spans="1:18" ht="15.6" x14ac:dyDescent="0.3">
      <c r="A268" s="183"/>
      <c r="B268" s="257"/>
      <c r="C268" s="257"/>
      <c r="D268" s="257"/>
      <c r="E268" s="257"/>
      <c r="F268" s="378"/>
      <c r="G268" s="378"/>
      <c r="H268" s="378"/>
      <c r="I268" s="378"/>
      <c r="J268" s="378"/>
      <c r="K268" s="378"/>
      <c r="L268" s="378"/>
      <c r="M268" s="378"/>
      <c r="N268" s="380"/>
      <c r="O268" s="378"/>
      <c r="P268" s="257"/>
      <c r="Q268" s="257"/>
      <c r="R268" s="5"/>
    </row>
    <row r="269" spans="1:18" ht="15.6" x14ac:dyDescent="0.3">
      <c r="A269" s="183"/>
      <c r="B269" s="236"/>
      <c r="C269" s="236"/>
      <c r="D269" s="236"/>
      <c r="E269" s="236"/>
      <c r="F269" s="311"/>
      <c r="G269" s="311"/>
      <c r="H269" s="311"/>
      <c r="I269" s="311"/>
      <c r="J269" s="311"/>
      <c r="K269" s="311"/>
      <c r="L269" s="311"/>
      <c r="M269" s="311"/>
      <c r="N269" s="312"/>
      <c r="O269" s="311"/>
      <c r="P269" s="236"/>
      <c r="Q269" s="236"/>
      <c r="R269" s="5"/>
    </row>
    <row r="270" spans="1:18" ht="15.6" x14ac:dyDescent="0.3">
      <c r="A270" s="225"/>
      <c r="B270" s="228" t="s">
        <v>102</v>
      </c>
      <c r="C270" s="236"/>
      <c r="D270" s="236"/>
      <c r="E270" s="236"/>
      <c r="F270" s="246" t="s">
        <v>108</v>
      </c>
      <c r="G270" s="236"/>
      <c r="H270" s="228" t="s">
        <v>110</v>
      </c>
      <c r="I270" s="249"/>
      <c r="J270" s="249"/>
      <c r="K270" s="249"/>
      <c r="L270" s="249"/>
      <c r="M270" s="249"/>
      <c r="N270" s="249"/>
      <c r="O270" s="249"/>
      <c r="P270" s="249"/>
      <c r="Q270" s="249"/>
      <c r="R270" s="5"/>
    </row>
    <row r="271" spans="1:18" ht="15.6" x14ac:dyDescent="0.3">
      <c r="A271" s="225"/>
      <c r="B271" s="249"/>
      <c r="C271" s="236"/>
      <c r="D271" s="236"/>
      <c r="E271" s="236"/>
      <c r="F271" s="236"/>
      <c r="G271" s="236"/>
      <c r="H271" s="236"/>
      <c r="I271" s="249"/>
      <c r="J271" s="249"/>
      <c r="K271" s="249"/>
      <c r="L271" s="249"/>
      <c r="M271" s="249"/>
      <c r="N271" s="249"/>
      <c r="O271" s="249"/>
      <c r="P271" s="249"/>
      <c r="Q271" s="249"/>
      <c r="R271" s="5"/>
    </row>
    <row r="272" spans="1:18" ht="15.6" x14ac:dyDescent="0.3">
      <c r="A272" s="225"/>
      <c r="B272" s="228" t="s">
        <v>103</v>
      </c>
      <c r="C272" s="228"/>
      <c r="D272" s="228"/>
      <c r="E272" s="228"/>
      <c r="F272" s="313" t="s">
        <v>212</v>
      </c>
      <c r="G272" s="228"/>
      <c r="H272" s="228" t="s">
        <v>222</v>
      </c>
      <c r="I272" s="249"/>
      <c r="J272" s="249"/>
      <c r="K272" s="249"/>
      <c r="L272" s="249"/>
      <c r="M272" s="249"/>
      <c r="N272" s="249"/>
      <c r="O272" s="249"/>
      <c r="P272" s="249"/>
      <c r="Q272" s="249"/>
      <c r="R272" s="5"/>
    </row>
    <row r="273" spans="1:18" ht="15.6" x14ac:dyDescent="0.3">
      <c r="A273" s="225"/>
      <c r="B273" s="228" t="s">
        <v>263</v>
      </c>
      <c r="C273" s="228"/>
      <c r="D273" s="228"/>
      <c r="E273" s="228"/>
      <c r="F273" s="313" t="s">
        <v>264</v>
      </c>
      <c r="G273" s="228"/>
      <c r="H273" s="228" t="s">
        <v>265</v>
      </c>
      <c r="I273" s="249"/>
      <c r="J273" s="249"/>
      <c r="K273" s="249"/>
      <c r="L273" s="249"/>
      <c r="M273" s="249"/>
      <c r="N273" s="249"/>
      <c r="O273" s="249"/>
      <c r="P273" s="249"/>
      <c r="Q273" s="249"/>
      <c r="R273" s="5"/>
    </row>
    <row r="274" spans="1:18" ht="15.6" x14ac:dyDescent="0.3">
      <c r="A274" s="225"/>
      <c r="B274" s="228" t="s">
        <v>104</v>
      </c>
      <c r="C274" s="228"/>
      <c r="D274" s="228"/>
      <c r="E274" s="228"/>
      <c r="F274" s="313" t="s">
        <v>211</v>
      </c>
      <c r="G274" s="228"/>
      <c r="H274" s="228" t="s">
        <v>223</v>
      </c>
      <c r="I274" s="249"/>
      <c r="J274" s="249"/>
      <c r="K274" s="249"/>
      <c r="L274" s="249"/>
      <c r="M274" s="249"/>
      <c r="N274" s="249"/>
      <c r="O274" s="249"/>
      <c r="P274" s="249"/>
      <c r="Q274" s="249"/>
      <c r="R274" s="5"/>
    </row>
    <row r="275" spans="1:18" ht="15.6" x14ac:dyDescent="0.3">
      <c r="A275" s="225"/>
      <c r="B275" s="228"/>
      <c r="C275" s="228"/>
      <c r="D275" s="228"/>
      <c r="E275" s="314"/>
      <c r="F275" s="249"/>
      <c r="G275" s="249"/>
      <c r="H275" s="249"/>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8" thickBot="1" x14ac:dyDescent="0.35">
      <c r="A277" s="225"/>
      <c r="B277" s="315" t="str">
        <f>B184</f>
        <v>PM7 INVESTOR REPORT QUARTER ENDING APRIL 2012</v>
      </c>
      <c r="C277" s="228"/>
      <c r="D277" s="228"/>
      <c r="E277" s="314"/>
      <c r="F277" s="249"/>
      <c r="G277" s="249"/>
      <c r="H277" s="249"/>
      <c r="I277" s="249"/>
      <c r="J277" s="249"/>
      <c r="K277" s="249"/>
      <c r="L277" s="249"/>
      <c r="M277" s="249"/>
      <c r="N277" s="249"/>
      <c r="O277" s="249"/>
      <c r="P277" s="249"/>
      <c r="Q277" s="24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7" man="1"/>
    <brk id="132" max="14" man="1"/>
    <brk id="184" max="14"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0.95820000000000005</v>
      </c>
      <c r="N17" s="246" t="s">
        <v>173</v>
      </c>
      <c r="O17" s="245">
        <v>4.1799999999999997E-2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41143</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301</v>
      </c>
      <c r="E28" s="392"/>
      <c r="F28" s="392" t="s">
        <v>301</v>
      </c>
      <c r="G28" s="392"/>
      <c r="H28" s="392" t="s">
        <v>301</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172248.12</v>
      </c>
      <c r="E34" s="271"/>
      <c r="F34" s="272">
        <f>+F33*F40</f>
        <v>84185.771999999997</v>
      </c>
      <c r="G34" s="271"/>
      <c r="H34" s="273">
        <f>+H33*H40</f>
        <v>191398.95</v>
      </c>
      <c r="I34" s="271"/>
      <c r="J34" s="270">
        <f>J33*J40</f>
        <v>71069.031000000003</v>
      </c>
      <c r="K34" s="271"/>
      <c r="L34" s="273">
        <f>L33*L40</f>
        <v>55993.749499999998</v>
      </c>
      <c r="M34" s="271"/>
      <c r="N34" s="271"/>
      <c r="O34" s="274"/>
      <c r="P34" s="271"/>
      <c r="Q34" s="275"/>
      <c r="R34" s="5"/>
    </row>
    <row r="35" spans="1:19" ht="15.6" x14ac:dyDescent="0.3">
      <c r="A35" s="265"/>
      <c r="B35" s="266" t="s">
        <v>158</v>
      </c>
      <c r="C35" s="276"/>
      <c r="D35" s="277">
        <f>+D33*D39</f>
        <v>171000.09</v>
      </c>
      <c r="E35" s="278"/>
      <c r="F35" s="279">
        <f>+F33*F39</f>
        <v>83575.8</v>
      </c>
      <c r="G35" s="278"/>
      <c r="H35" s="280">
        <f>+H33*H39</f>
        <v>190012.15</v>
      </c>
      <c r="I35" s="278"/>
      <c r="J35" s="277">
        <f>J33*J39</f>
        <v>70554.090750000003</v>
      </c>
      <c r="K35" s="278"/>
      <c r="L35" s="280">
        <f>L33*L39</f>
        <v>55588.038999999997</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96823.001686340649</v>
      </c>
      <c r="E37" s="271"/>
      <c r="F37" s="271">
        <f>+F34</f>
        <v>84185.771999999997</v>
      </c>
      <c r="G37" s="271"/>
      <c r="H37" s="271">
        <f>+H34/1.481481</f>
        <v>129194.3332381583</v>
      </c>
      <c r="I37" s="271"/>
      <c r="J37" s="271">
        <f>J36*J40</f>
        <v>39948.548407199996</v>
      </c>
      <c r="K37" s="271"/>
      <c r="L37" s="271">
        <f>L36*L40</f>
        <v>37795.780912499999</v>
      </c>
      <c r="M37" s="271"/>
      <c r="N37" s="271"/>
      <c r="O37" s="274"/>
      <c r="P37" s="271">
        <f>SUM(C37:L37)</f>
        <v>387947.43624419894</v>
      </c>
      <c r="Q37" s="275"/>
      <c r="R37" s="5"/>
      <c r="S37" s="154"/>
    </row>
    <row r="38" spans="1:19" ht="15.6" x14ac:dyDescent="0.3">
      <c r="A38" s="265"/>
      <c r="B38" s="266" t="s">
        <v>281</v>
      </c>
      <c r="C38" s="276"/>
      <c r="D38" s="278">
        <f>D35/1.779</f>
        <v>96121.467116357511</v>
      </c>
      <c r="E38" s="278"/>
      <c r="F38" s="278">
        <f>+F35</f>
        <v>83575.8</v>
      </c>
      <c r="G38" s="278"/>
      <c r="H38" s="278">
        <f>H35/1.481481</f>
        <v>128258.24293392895</v>
      </c>
      <c r="I38" s="278"/>
      <c r="J38" s="278">
        <f>J36*J39</f>
        <v>39659.095811400002</v>
      </c>
      <c r="K38" s="278"/>
      <c r="L38" s="278">
        <f>L36*L39</f>
        <v>37521.926325</v>
      </c>
      <c r="M38" s="278"/>
      <c r="N38" s="278"/>
      <c r="O38" s="281"/>
      <c r="P38" s="278">
        <f>SUM(D38:L38)</f>
        <v>385136.53218668647</v>
      </c>
      <c r="Q38" s="275"/>
      <c r="R38" s="5"/>
      <c r="S38" s="176"/>
    </row>
    <row r="39" spans="1:19" ht="15.6" x14ac:dyDescent="0.3">
      <c r="A39" s="265"/>
      <c r="B39" s="282" t="s">
        <v>154</v>
      </c>
      <c r="C39" s="283"/>
      <c r="D39" s="284">
        <v>0.38000020000000001</v>
      </c>
      <c r="E39" s="284"/>
      <c r="F39" s="284">
        <v>0.37989000000000001</v>
      </c>
      <c r="G39" s="284"/>
      <c r="H39" s="284">
        <v>0.38002429999999998</v>
      </c>
      <c r="I39" s="284"/>
      <c r="J39" s="284">
        <v>0.85520110000000005</v>
      </c>
      <c r="K39" s="284"/>
      <c r="L39" s="284">
        <v>0.85520059999999998</v>
      </c>
      <c r="M39" s="285"/>
      <c r="N39" s="285"/>
      <c r="O39" s="286"/>
      <c r="P39" s="285"/>
      <c r="Q39" s="287"/>
      <c r="R39" s="5"/>
    </row>
    <row r="40" spans="1:19" ht="15.6" x14ac:dyDescent="0.3">
      <c r="A40" s="265"/>
      <c r="B40" s="282" t="s">
        <v>155</v>
      </c>
      <c r="C40" s="283"/>
      <c r="D40" s="284">
        <v>0.38277359999999999</v>
      </c>
      <c r="E40" s="284"/>
      <c r="F40" s="284">
        <v>0.38266260000000002</v>
      </c>
      <c r="G40" s="284"/>
      <c r="H40" s="284">
        <v>0.38279790000000002</v>
      </c>
      <c r="I40" s="284"/>
      <c r="J40" s="284">
        <v>0.86144279999999995</v>
      </c>
      <c r="K40" s="284"/>
      <c r="L40" s="284">
        <v>0.86144229999999999</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8.8684999999999996E-3</v>
      </c>
      <c r="E42" s="290"/>
      <c r="F42" s="289">
        <v>1.4274999999999999E-2</v>
      </c>
      <c r="G42" s="290"/>
      <c r="H42" s="289">
        <v>1.11E-2</v>
      </c>
      <c r="I42" s="290"/>
      <c r="J42" s="289">
        <v>1.9668499999999998E-2</v>
      </c>
      <c r="K42" s="290"/>
      <c r="L42" s="289">
        <v>2.1899999999999999E-2</v>
      </c>
      <c r="M42" s="290"/>
      <c r="N42" s="289"/>
      <c r="O42" s="263"/>
      <c r="P42" s="290"/>
      <c r="Q42" s="264"/>
      <c r="R42" s="5"/>
    </row>
    <row r="43" spans="1:19" ht="15.6" x14ac:dyDescent="0.3">
      <c r="A43" s="260"/>
      <c r="B43" s="261" t="s">
        <v>14</v>
      </c>
      <c r="C43" s="261"/>
      <c r="D43" s="289">
        <v>9.2259999999999998E-3</v>
      </c>
      <c r="E43" s="290"/>
      <c r="F43" s="289">
        <v>1.49581E-2</v>
      </c>
      <c r="G43" s="290"/>
      <c r="H43" s="289">
        <v>1.477E-2</v>
      </c>
      <c r="I43" s="290"/>
      <c r="J43" s="289">
        <v>2.0025999999999999E-2</v>
      </c>
      <c r="K43" s="290"/>
      <c r="L43" s="289">
        <v>2.5569999999999999E-2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1.6164999999999999E-2</v>
      </c>
      <c r="E45" s="290"/>
      <c r="F45" s="289">
        <f>+F42</f>
        <v>1.4274999999999999E-2</v>
      </c>
      <c r="G45" s="290"/>
      <c r="H45" s="289">
        <v>1.5925000000000002E-2</v>
      </c>
      <c r="I45" s="290"/>
      <c r="J45" s="289">
        <v>2.8424999999999999E-2</v>
      </c>
      <c r="K45" s="290"/>
      <c r="L45" s="289">
        <v>2.8424999999999999E-2</v>
      </c>
      <c r="M45" s="290"/>
      <c r="N45" s="289"/>
      <c r="O45" s="263"/>
      <c r="P45" s="290">
        <f>SUMPRODUCT(D45:L45,D37:L37)/P37</f>
        <v>1.8131832764225472E-2</v>
      </c>
      <c r="Q45" s="264"/>
      <c r="R45" s="5"/>
    </row>
    <row r="46" spans="1:19" ht="15.6" x14ac:dyDescent="0.3">
      <c r="A46" s="260"/>
      <c r="B46" s="261" t="s">
        <v>283</v>
      </c>
      <c r="C46" s="261"/>
      <c r="D46" s="289">
        <v>1.6848100000000001E-2</v>
      </c>
      <c r="E46" s="290"/>
      <c r="F46" s="289">
        <f>+F43</f>
        <v>1.49581E-2</v>
      </c>
      <c r="G46" s="290"/>
      <c r="H46" s="289">
        <v>1.6608100000000001E-2</v>
      </c>
      <c r="I46" s="290"/>
      <c r="J46" s="289">
        <v>2.9108100000000001E-2</v>
      </c>
      <c r="K46" s="290"/>
      <c r="L46" s="289">
        <v>2.9108100000000001E-2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0.25062393630754326</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41136</v>
      </c>
      <c r="Q57" s="264"/>
      <c r="R57" s="5"/>
    </row>
    <row r="58" spans="1:18" ht="15.6" x14ac:dyDescent="0.3">
      <c r="A58" s="260"/>
      <c r="B58" s="261" t="s">
        <v>142</v>
      </c>
      <c r="C58" s="261"/>
      <c r="D58" s="261"/>
      <c r="E58" s="261"/>
      <c r="F58" s="297"/>
      <c r="G58" s="297"/>
      <c r="H58" s="297"/>
      <c r="I58" s="297"/>
      <c r="J58" s="297"/>
      <c r="K58" s="297"/>
      <c r="L58" s="261">
        <f>+P58-N58+1</f>
        <v>90</v>
      </c>
      <c r="M58" s="297"/>
      <c r="N58" s="298">
        <v>40954</v>
      </c>
      <c r="O58" s="299"/>
      <c r="P58" s="298">
        <v>41043</v>
      </c>
      <c r="Q58" s="264"/>
      <c r="R58" s="5"/>
    </row>
    <row r="59" spans="1:18" ht="15.6" x14ac:dyDescent="0.3">
      <c r="A59" s="260"/>
      <c r="B59" s="261" t="s">
        <v>143</v>
      </c>
      <c r="C59" s="261"/>
      <c r="D59" s="261"/>
      <c r="E59" s="261"/>
      <c r="F59" s="261"/>
      <c r="G59" s="261"/>
      <c r="H59" s="261"/>
      <c r="I59" s="261"/>
      <c r="J59" s="261"/>
      <c r="K59" s="261"/>
      <c r="L59" s="261">
        <f>+P59-N59+1</f>
        <v>92</v>
      </c>
      <c r="M59" s="261"/>
      <c r="N59" s="298">
        <v>41044</v>
      </c>
      <c r="O59" s="299"/>
      <c r="P59" s="298">
        <v>41135</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41122</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300</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387947</v>
      </c>
      <c r="I69" s="330"/>
      <c r="J69" s="330">
        <f>2811+7-1</f>
        <v>2817</v>
      </c>
      <c r="K69" s="330"/>
      <c r="L69" s="330">
        <v>7</v>
      </c>
      <c r="M69" s="330"/>
      <c r="N69" s="330">
        <v>0</v>
      </c>
      <c r="O69" s="330"/>
      <c r="P69" s="331">
        <f>+H69-J69+L69-N69</f>
        <v>385137</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387947</v>
      </c>
      <c r="I72" s="330"/>
      <c r="J72" s="330">
        <f>SUM(J69:J71)</f>
        <v>2817</v>
      </c>
      <c r="K72" s="330"/>
      <c r="L72" s="330">
        <f>SUM(L69:L71)</f>
        <v>7</v>
      </c>
      <c r="M72" s="330"/>
      <c r="N72" s="330">
        <f>SUM(N69:N71)</f>
        <v>0</v>
      </c>
      <c r="O72" s="330"/>
      <c r="P72" s="330">
        <f>SUM(P69:P71)</f>
        <v>385137</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+N129</f>
        <v>0</v>
      </c>
      <c r="Q85" s="264"/>
      <c r="R85" s="5"/>
    </row>
    <row r="86" spans="1:18" ht="15.6" x14ac:dyDescent="0.3">
      <c r="A86" s="260"/>
      <c r="B86" s="261" t="s">
        <v>30</v>
      </c>
      <c r="C86" s="330"/>
      <c r="D86" s="330"/>
      <c r="E86" s="330"/>
      <c r="F86" s="330">
        <f>SUM(F72:F85)</f>
        <v>900700</v>
      </c>
      <c r="G86" s="330"/>
      <c r="H86" s="330">
        <f>SUM(H72:H85)</f>
        <v>387947</v>
      </c>
      <c r="I86" s="330"/>
      <c r="J86" s="330">
        <f>SUM(J72:J85)</f>
        <v>2817</v>
      </c>
      <c r="K86" s="330"/>
      <c r="L86" s="330">
        <f>SUM(L72:L85)</f>
        <v>7</v>
      </c>
      <c r="M86" s="330"/>
      <c r="N86" s="330"/>
      <c r="O86" s="330"/>
      <c r="P86" s="330">
        <f>SUM(P72:P85)</f>
        <v>385137</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41121</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2817-151</f>
        <v>2666</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3919+186-1363-76</f>
        <v>2666</v>
      </c>
      <c r="Q92" s="264"/>
      <c r="R92" s="5"/>
    </row>
    <row r="93" spans="1:18" ht="15.6" x14ac:dyDescent="0.3">
      <c r="A93" s="260"/>
      <c r="B93" s="261" t="s">
        <v>249</v>
      </c>
      <c r="C93" s="261"/>
      <c r="D93" s="261"/>
      <c r="E93" s="261"/>
      <c r="F93" s="292"/>
      <c r="G93" s="332"/>
      <c r="H93" s="333"/>
      <c r="I93" s="261"/>
      <c r="J93" s="261"/>
      <c r="K93" s="261"/>
      <c r="L93" s="261"/>
      <c r="M93" s="261"/>
      <c r="N93" s="330"/>
      <c r="O93" s="261"/>
      <c r="P93" s="331">
        <f>55+1</f>
        <v>56</v>
      </c>
      <c r="Q93" s="264"/>
      <c r="R93" s="5"/>
    </row>
    <row r="94" spans="1:18" ht="15.6" x14ac:dyDescent="0.3">
      <c r="A94" s="260"/>
      <c r="B94" s="261" t="s">
        <v>250</v>
      </c>
      <c r="C94" s="261"/>
      <c r="D94" s="261"/>
      <c r="E94" s="261"/>
      <c r="F94" s="292"/>
      <c r="G94" s="332"/>
      <c r="H94" s="333"/>
      <c r="I94" s="261"/>
      <c r="J94" s="261"/>
      <c r="K94" s="261"/>
      <c r="L94" s="261"/>
      <c r="M94" s="261"/>
      <c r="N94" s="330"/>
      <c r="O94" s="261"/>
      <c r="P94" s="331">
        <v>27</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302</v>
      </c>
      <c r="Q97" s="264"/>
      <c r="R97" s="5"/>
    </row>
    <row r="98" spans="1:19" ht="15.6" x14ac:dyDescent="0.3">
      <c r="A98" s="260"/>
      <c r="B98" s="261" t="s">
        <v>35</v>
      </c>
      <c r="C98" s="261"/>
      <c r="D98" s="261"/>
      <c r="E98" s="261"/>
      <c r="F98" s="261"/>
      <c r="G98" s="261"/>
      <c r="H98" s="261"/>
      <c r="I98" s="261"/>
      <c r="J98" s="261"/>
      <c r="K98" s="261"/>
      <c r="L98" s="261"/>
      <c r="M98" s="261"/>
      <c r="N98" s="330">
        <f>SUM(N90:N97)</f>
        <v>2666</v>
      </c>
      <c r="O98" s="261"/>
      <c r="P98" s="330">
        <f>SUM(P90:P97)</f>
        <v>3051</v>
      </c>
      <c r="Q98" s="264"/>
      <c r="R98" s="5"/>
    </row>
    <row r="99" spans="1:19" ht="15.6" x14ac:dyDescent="0.3">
      <c r="A99" s="260"/>
      <c r="B99" s="261" t="s">
        <v>237</v>
      </c>
      <c r="C99" s="261"/>
      <c r="D99" s="261"/>
      <c r="E99" s="261"/>
      <c r="F99" s="261"/>
      <c r="G99" s="261"/>
      <c r="H99" s="261"/>
      <c r="I99" s="261"/>
      <c r="J99" s="261"/>
      <c r="K99" s="261"/>
      <c r="L99" s="261"/>
      <c r="M99" s="261"/>
      <c r="N99" s="330">
        <v>-3</v>
      </c>
      <c r="O99" s="261"/>
      <c r="P99" s="330">
        <f>-N99</f>
        <v>3</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-79</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2663</v>
      </c>
      <c r="O102" s="261"/>
      <c r="P102" s="330">
        <f>P98+P100+P99+P101</f>
        <v>2975</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40</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226</v>
      </c>
      <c r="C106" s="261"/>
      <c r="D106" s="261"/>
      <c r="E106" s="261"/>
      <c r="F106" s="261"/>
      <c r="G106" s="261"/>
      <c r="H106" s="261"/>
      <c r="I106" s="261"/>
      <c r="J106" s="261"/>
      <c r="K106" s="261"/>
      <c r="L106" s="261"/>
      <c r="M106" s="261"/>
      <c r="N106" s="261"/>
      <c r="O106" s="261"/>
      <c r="P106" s="331">
        <f>-98-71-5</f>
        <v>-174</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-44</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-394</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-302</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-517</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-286</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-270</v>
      </c>
      <c r="Q112" s="264"/>
      <c r="R112" s="5"/>
      <c r="S112" s="109"/>
    </row>
    <row r="113" spans="1:18" ht="15.6" x14ac:dyDescent="0.3">
      <c r="A113" s="339">
        <v>6</v>
      </c>
      <c r="B113" s="261" t="s">
        <v>41</v>
      </c>
      <c r="C113" s="261"/>
      <c r="D113" s="261"/>
      <c r="E113" s="261"/>
      <c r="F113" s="261"/>
      <c r="G113" s="261"/>
      <c r="H113" s="261"/>
      <c r="I113" s="261"/>
      <c r="J113" s="261"/>
      <c r="K113" s="261"/>
      <c r="L113" s="261"/>
      <c r="M113" s="261"/>
      <c r="N113" s="261"/>
      <c r="O113" s="261"/>
      <c r="P113" s="331">
        <v>-8</v>
      </c>
      <c r="Q113" s="264"/>
      <c r="R113" s="5"/>
    </row>
    <row r="114" spans="1:18" ht="15.6" x14ac:dyDescent="0.3">
      <c r="A114" s="339">
        <f t="shared" ref="A114:A119" si="0">+A113+1</f>
        <v>7</v>
      </c>
      <c r="B114" s="261" t="s">
        <v>53</v>
      </c>
      <c r="C114" s="261"/>
      <c r="D114" s="261"/>
      <c r="E114" s="261"/>
      <c r="F114" s="261"/>
      <c r="G114" s="261"/>
      <c r="H114" s="261"/>
      <c r="I114" s="261"/>
      <c r="J114" s="261"/>
      <c r="K114" s="261"/>
      <c r="L114" s="261"/>
      <c r="M114" s="261"/>
      <c r="N114" s="330">
        <f>-P114</f>
        <v>151</v>
      </c>
      <c r="O114" s="261"/>
      <c r="P114" s="331">
        <v>-151</v>
      </c>
      <c r="Q114" s="264"/>
      <c r="R114" s="5"/>
    </row>
    <row r="115" spans="1:18" ht="15.6" x14ac:dyDescent="0.3">
      <c r="A115" s="339">
        <f t="shared" si="0"/>
        <v>8</v>
      </c>
      <c r="B115" s="261" t="s">
        <v>149</v>
      </c>
      <c r="C115" s="261"/>
      <c r="D115" s="261"/>
      <c r="E115" s="261"/>
      <c r="F115" s="261"/>
      <c r="G115" s="261"/>
      <c r="H115" s="261"/>
      <c r="I115" s="261"/>
      <c r="J115" s="261"/>
      <c r="K115" s="261"/>
      <c r="L115" s="261"/>
      <c r="M115" s="261"/>
      <c r="N115" s="261"/>
      <c r="O115" s="261"/>
      <c r="P115" s="331">
        <v>0</v>
      </c>
      <c r="Q115" s="264"/>
      <c r="R115" s="5"/>
    </row>
    <row r="116" spans="1:18" ht="15.6" x14ac:dyDescent="0.3">
      <c r="A116" s="339">
        <f t="shared" si="0"/>
        <v>9</v>
      </c>
      <c r="B116" s="261" t="s">
        <v>42</v>
      </c>
      <c r="C116" s="261"/>
      <c r="D116" s="261"/>
      <c r="E116" s="261"/>
      <c r="F116" s="261"/>
      <c r="G116" s="261"/>
      <c r="H116" s="261"/>
      <c r="I116" s="261"/>
      <c r="J116" s="261"/>
      <c r="K116" s="261"/>
      <c r="L116" s="261"/>
      <c r="M116" s="261"/>
      <c r="N116" s="261"/>
      <c r="O116" s="261"/>
      <c r="P116" s="331">
        <v>0</v>
      </c>
      <c r="Q116" s="264"/>
      <c r="R116" s="5"/>
    </row>
    <row r="117" spans="1:18" ht="15.6" x14ac:dyDescent="0.3">
      <c r="A117" s="339">
        <f t="shared" si="0"/>
        <v>10</v>
      </c>
      <c r="B117" s="261" t="s">
        <v>43</v>
      </c>
      <c r="C117" s="261"/>
      <c r="D117" s="261"/>
      <c r="E117" s="261"/>
      <c r="F117" s="261"/>
      <c r="G117" s="261"/>
      <c r="H117" s="261"/>
      <c r="I117" s="261"/>
      <c r="J117" s="261"/>
      <c r="K117" s="261"/>
      <c r="L117" s="261"/>
      <c r="M117" s="261"/>
      <c r="N117" s="261"/>
      <c r="O117" s="261"/>
      <c r="P117" s="331">
        <v>0</v>
      </c>
      <c r="Q117" s="264"/>
      <c r="R117" s="5"/>
    </row>
    <row r="118" spans="1:18" ht="15.6" x14ac:dyDescent="0.3">
      <c r="A118" s="339">
        <f t="shared" si="0"/>
        <v>11</v>
      </c>
      <c r="B118" s="261" t="s">
        <v>215</v>
      </c>
      <c r="C118" s="261"/>
      <c r="D118" s="261"/>
      <c r="E118" s="261"/>
      <c r="F118" s="261"/>
      <c r="G118" s="261"/>
      <c r="H118" s="261"/>
      <c r="I118" s="261"/>
      <c r="J118" s="261"/>
      <c r="K118" s="261"/>
      <c r="L118" s="261"/>
      <c r="M118" s="261"/>
      <c r="N118" s="261"/>
      <c r="O118" s="261"/>
      <c r="P118" s="331">
        <v>-199</v>
      </c>
      <c r="Q118" s="264"/>
      <c r="R118" s="5"/>
    </row>
    <row r="119" spans="1:18" ht="15.6" x14ac:dyDescent="0.3">
      <c r="A119" s="339">
        <f t="shared" si="0"/>
        <v>12</v>
      </c>
      <c r="B119" s="261" t="s">
        <v>150</v>
      </c>
      <c r="C119" s="261"/>
      <c r="D119" s="261"/>
      <c r="E119" s="261"/>
      <c r="F119" s="261"/>
      <c r="G119" s="261"/>
      <c r="H119" s="261"/>
      <c r="I119" s="261"/>
      <c r="J119" s="261"/>
      <c r="K119" s="261"/>
      <c r="L119" s="261"/>
      <c r="M119" s="261"/>
      <c r="N119" s="261"/>
      <c r="O119" s="261"/>
      <c r="P119" s="331">
        <f>-P102-SUM(P104:P118)</f>
        <v>-628</v>
      </c>
      <c r="Q119" s="264"/>
      <c r="R119" s="5"/>
    </row>
    <row r="120" spans="1:18" ht="15.6" x14ac:dyDescent="0.3">
      <c r="A120" s="260"/>
      <c r="B120" s="334" t="s">
        <v>44</v>
      </c>
      <c r="C120" s="335"/>
      <c r="D120" s="335"/>
      <c r="E120" s="335"/>
      <c r="F120" s="335"/>
      <c r="G120" s="335"/>
      <c r="H120" s="335"/>
      <c r="I120" s="335"/>
      <c r="J120" s="335"/>
      <c r="K120" s="335"/>
      <c r="L120" s="335"/>
      <c r="M120" s="335"/>
      <c r="N120" s="335"/>
      <c r="O120" s="335"/>
      <c r="P120" s="340"/>
      <c r="Q120" s="338"/>
      <c r="R120" s="5"/>
    </row>
    <row r="121" spans="1:18" ht="15.6" x14ac:dyDescent="0.3">
      <c r="A121" s="339"/>
      <c r="B121" s="261" t="s">
        <v>45</v>
      </c>
      <c r="C121" s="261"/>
      <c r="D121" s="261"/>
      <c r="E121" s="261"/>
      <c r="F121" s="261"/>
      <c r="G121" s="261"/>
      <c r="H121" s="261"/>
      <c r="I121" s="261"/>
      <c r="J121" s="261"/>
      <c r="K121" s="261"/>
      <c r="L121" s="261"/>
      <c r="M121" s="261"/>
      <c r="N121" s="330">
        <v>0</v>
      </c>
      <c r="O121" s="330"/>
      <c r="P121" s="331"/>
      <c r="Q121" s="264"/>
      <c r="R121" s="5"/>
    </row>
    <row r="122" spans="1:18" ht="15.6" x14ac:dyDescent="0.3">
      <c r="A122" s="339"/>
      <c r="B122" s="261" t="s">
        <v>46</v>
      </c>
      <c r="C122" s="261"/>
      <c r="D122" s="261"/>
      <c r="E122" s="261"/>
      <c r="F122" s="261"/>
      <c r="G122" s="261"/>
      <c r="H122" s="261"/>
      <c r="I122" s="261"/>
      <c r="J122" s="261"/>
      <c r="K122" s="261"/>
      <c r="L122" s="261"/>
      <c r="M122" s="261"/>
      <c r="N122" s="330">
        <f>-M171</f>
        <v>-4</v>
      </c>
      <c r="O122" s="330"/>
      <c r="P122" s="331"/>
      <c r="Q122" s="264"/>
      <c r="R122" s="5"/>
    </row>
    <row r="123" spans="1:18" ht="15.6" x14ac:dyDescent="0.3">
      <c r="A123" s="339"/>
      <c r="B123" s="261" t="s">
        <v>199</v>
      </c>
      <c r="C123" s="261"/>
      <c r="D123" s="261"/>
      <c r="E123" s="261"/>
      <c r="F123" s="261"/>
      <c r="G123" s="261"/>
      <c r="H123" s="261"/>
      <c r="I123" s="261"/>
      <c r="J123" s="261"/>
      <c r="K123" s="261"/>
      <c r="L123" s="261"/>
      <c r="M123" s="261"/>
      <c r="N123" s="330">
        <v>-701</v>
      </c>
      <c r="O123" s="330"/>
      <c r="P123" s="331"/>
      <c r="Q123" s="264"/>
      <c r="R123" s="5"/>
    </row>
    <row r="124" spans="1:18" ht="15.6" x14ac:dyDescent="0.3">
      <c r="A124" s="339"/>
      <c r="B124" s="261" t="s">
        <v>200</v>
      </c>
      <c r="C124" s="261"/>
      <c r="D124" s="261"/>
      <c r="E124" s="261"/>
      <c r="F124" s="261"/>
      <c r="G124" s="261"/>
      <c r="H124" s="261"/>
      <c r="I124" s="261"/>
      <c r="J124" s="261"/>
      <c r="K124" s="261"/>
      <c r="L124" s="261"/>
      <c r="M124" s="261"/>
      <c r="N124" s="330">
        <v>-610</v>
      </c>
      <c r="O124" s="330"/>
      <c r="P124" s="331"/>
      <c r="Q124" s="264"/>
      <c r="R124" s="5"/>
    </row>
    <row r="125" spans="1:18" ht="15.6" x14ac:dyDescent="0.3">
      <c r="A125" s="339"/>
      <c r="B125" s="261" t="s">
        <v>201</v>
      </c>
      <c r="C125" s="261"/>
      <c r="D125" s="261"/>
      <c r="E125" s="261"/>
      <c r="F125" s="261"/>
      <c r="G125" s="261"/>
      <c r="H125" s="261"/>
      <c r="I125" s="261"/>
      <c r="J125" s="261"/>
      <c r="K125" s="261"/>
      <c r="L125" s="261"/>
      <c r="M125" s="261"/>
      <c r="N125" s="330">
        <v>-936</v>
      </c>
      <c r="O125" s="330"/>
      <c r="P125" s="331"/>
      <c r="Q125" s="264"/>
      <c r="R125" s="5"/>
    </row>
    <row r="126" spans="1:18" ht="15.6" x14ac:dyDescent="0.3">
      <c r="A126" s="339"/>
      <c r="B126" s="261" t="s">
        <v>159</v>
      </c>
      <c r="C126" s="261"/>
      <c r="D126" s="261"/>
      <c r="E126" s="261"/>
      <c r="F126" s="261"/>
      <c r="G126" s="261"/>
      <c r="H126" s="261"/>
      <c r="I126" s="261"/>
      <c r="J126" s="261"/>
      <c r="K126" s="261"/>
      <c r="L126" s="261"/>
      <c r="M126" s="261"/>
      <c r="N126" s="330">
        <v>-289</v>
      </c>
      <c r="O126" s="330"/>
      <c r="P126" s="331"/>
      <c r="Q126" s="264"/>
      <c r="R126" s="5"/>
    </row>
    <row r="127" spans="1:18" ht="15.6" x14ac:dyDescent="0.3">
      <c r="A127" s="339"/>
      <c r="B127" s="261" t="s">
        <v>214</v>
      </c>
      <c r="C127" s="261"/>
      <c r="D127" s="261"/>
      <c r="E127" s="261"/>
      <c r="F127" s="261"/>
      <c r="G127" s="261"/>
      <c r="H127" s="261"/>
      <c r="I127" s="261"/>
      <c r="J127" s="261"/>
      <c r="K127" s="261"/>
      <c r="L127" s="261"/>
      <c r="M127" s="261"/>
      <c r="N127" s="330">
        <v>-274</v>
      </c>
      <c r="O127" s="330"/>
      <c r="P127" s="331"/>
      <c r="Q127" s="264"/>
      <c r="R127" s="5"/>
    </row>
    <row r="128" spans="1:18" ht="15.6" x14ac:dyDescent="0.3">
      <c r="A128" s="339"/>
      <c r="B128" s="261" t="s">
        <v>47</v>
      </c>
      <c r="C128" s="261"/>
      <c r="D128" s="261"/>
      <c r="E128" s="261"/>
      <c r="F128" s="261"/>
      <c r="G128" s="261"/>
      <c r="H128" s="261"/>
      <c r="I128" s="261"/>
      <c r="J128" s="261"/>
      <c r="K128" s="261"/>
      <c r="L128" s="261"/>
      <c r="M128" s="261"/>
      <c r="N128" s="330">
        <f>SUM(N121:N127)</f>
        <v>-2814</v>
      </c>
      <c r="O128" s="330"/>
      <c r="P128" s="330">
        <f>SUM(P103:P127)</f>
        <v>-2975</v>
      </c>
      <c r="Q128" s="264"/>
      <c r="R128" s="5"/>
    </row>
    <row r="129" spans="1:19" ht="15.6" x14ac:dyDescent="0.3">
      <c r="A129" s="339"/>
      <c r="B129" s="261" t="s">
        <v>48</v>
      </c>
      <c r="C129" s="261"/>
      <c r="D129" s="261"/>
      <c r="E129" s="261"/>
      <c r="F129" s="261"/>
      <c r="G129" s="261"/>
      <c r="H129" s="261"/>
      <c r="I129" s="261"/>
      <c r="J129" s="261"/>
      <c r="K129" s="261"/>
      <c r="L129" s="261"/>
      <c r="M129" s="261"/>
      <c r="N129" s="330">
        <f>N102+N128+N114</f>
        <v>0</v>
      </c>
      <c r="O129" s="330"/>
      <c r="P129" s="330">
        <f>P102+P128</f>
        <v>0</v>
      </c>
      <c r="Q129" s="264"/>
      <c r="R129" s="5"/>
    </row>
    <row r="130" spans="1:19" ht="15.6" x14ac:dyDescent="0.3">
      <c r="A130" s="301"/>
      <c r="B130" s="257"/>
      <c r="C130" s="257"/>
      <c r="D130" s="257"/>
      <c r="E130" s="257"/>
      <c r="F130" s="257"/>
      <c r="G130" s="257"/>
      <c r="H130" s="257"/>
      <c r="I130" s="257"/>
      <c r="J130" s="257"/>
      <c r="K130" s="257"/>
      <c r="L130" s="257"/>
      <c r="M130" s="257"/>
      <c r="N130" s="302"/>
      <c r="O130" s="302"/>
      <c r="P130" s="302"/>
      <c r="Q130" s="257"/>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8" thickBot="1" x14ac:dyDescent="0.35">
      <c r="A132" s="303"/>
      <c r="B132" s="239" t="str">
        <f>B65</f>
        <v>PM7 INVESTOR REPORT QUARTER ENDING JULY 2012</v>
      </c>
      <c r="C132" s="240"/>
      <c r="D132" s="240"/>
      <c r="E132" s="240"/>
      <c r="F132" s="240"/>
      <c r="G132" s="240"/>
      <c r="H132" s="240"/>
      <c r="I132" s="240"/>
      <c r="J132" s="240"/>
      <c r="K132" s="240"/>
      <c r="L132" s="240"/>
      <c r="M132" s="240"/>
      <c r="N132" s="240"/>
      <c r="O132" s="240"/>
      <c r="P132" s="304"/>
      <c r="Q132" s="242"/>
      <c r="R132" s="5"/>
    </row>
    <row r="133" spans="1:19" ht="15.6" x14ac:dyDescent="0.3">
      <c r="A133" s="323"/>
      <c r="B133" s="397" t="s">
        <v>49</v>
      </c>
      <c r="C133" s="326"/>
      <c r="D133" s="326"/>
      <c r="E133" s="326"/>
      <c r="F133" s="326"/>
      <c r="G133" s="326"/>
      <c r="H133" s="326"/>
      <c r="I133" s="326"/>
      <c r="J133" s="326"/>
      <c r="K133" s="326"/>
      <c r="L133" s="326"/>
      <c r="M133" s="326"/>
      <c r="N133" s="326"/>
      <c r="O133" s="326"/>
      <c r="P133" s="328"/>
      <c r="Q133" s="326"/>
      <c r="R133" s="5"/>
    </row>
    <row r="134" spans="1:19" ht="15.6" x14ac:dyDescent="0.3">
      <c r="A134" s="183"/>
      <c r="B134" s="196"/>
      <c r="C134" s="185"/>
      <c r="D134" s="185"/>
      <c r="E134" s="185"/>
      <c r="F134" s="185"/>
      <c r="G134" s="185"/>
      <c r="H134" s="185"/>
      <c r="I134" s="185"/>
      <c r="J134" s="185"/>
      <c r="K134" s="185"/>
      <c r="L134" s="185"/>
      <c r="M134" s="185"/>
      <c r="N134" s="185"/>
      <c r="O134" s="185"/>
      <c r="P134" s="201"/>
      <c r="Q134" s="185"/>
      <c r="R134" s="5"/>
    </row>
    <row r="135" spans="1:19" ht="15.6" x14ac:dyDescent="0.3">
      <c r="A135" s="183"/>
      <c r="B135" s="209" t="s">
        <v>50</v>
      </c>
      <c r="C135" s="185"/>
      <c r="D135" s="185"/>
      <c r="E135" s="185"/>
      <c r="F135" s="185"/>
      <c r="G135" s="185"/>
      <c r="H135" s="185"/>
      <c r="I135" s="185"/>
      <c r="J135" s="185"/>
      <c r="K135" s="185"/>
      <c r="L135" s="185"/>
      <c r="M135" s="185"/>
      <c r="N135" s="185"/>
      <c r="O135" s="185"/>
      <c r="P135" s="201"/>
      <c r="Q135" s="185"/>
      <c r="R135" s="5"/>
    </row>
    <row r="136" spans="1:19" ht="15.6" x14ac:dyDescent="0.3">
      <c r="A136" s="260"/>
      <c r="B136" s="261" t="s">
        <v>51</v>
      </c>
      <c r="C136" s="261"/>
      <c r="D136" s="261"/>
      <c r="E136" s="261"/>
      <c r="F136" s="261"/>
      <c r="G136" s="261"/>
      <c r="H136" s="261"/>
      <c r="I136" s="261"/>
      <c r="J136" s="261"/>
      <c r="K136" s="261"/>
      <c r="L136" s="261"/>
      <c r="M136" s="261"/>
      <c r="N136" s="261"/>
      <c r="O136" s="261"/>
      <c r="P136" s="331">
        <f>+P36*0.022</f>
        <v>19815.399999999998</v>
      </c>
      <c r="Q136" s="264"/>
      <c r="R136" s="5"/>
    </row>
    <row r="137" spans="1:19" ht="15.6" x14ac:dyDescent="0.3">
      <c r="A137" s="260"/>
      <c r="B137" s="261" t="s">
        <v>52</v>
      </c>
      <c r="C137" s="261"/>
      <c r="D137" s="261"/>
      <c r="E137" s="261"/>
      <c r="F137" s="261"/>
      <c r="G137" s="261"/>
      <c r="H137" s="261"/>
      <c r="I137" s="261"/>
      <c r="J137" s="261"/>
      <c r="K137" s="261"/>
      <c r="L137" s="261"/>
      <c r="M137" s="261"/>
      <c r="N137" s="261"/>
      <c r="O137" s="261"/>
      <c r="P137" s="331">
        <v>19815</v>
      </c>
      <c r="Q137" s="264"/>
      <c r="R137" s="5"/>
    </row>
    <row r="138" spans="1:19" ht="15.6" x14ac:dyDescent="0.3">
      <c r="A138" s="260"/>
      <c r="B138" s="261" t="s">
        <v>161</v>
      </c>
      <c r="C138" s="261"/>
      <c r="D138" s="261"/>
      <c r="E138" s="261"/>
      <c r="F138" s="261"/>
      <c r="G138" s="261"/>
      <c r="H138" s="261"/>
      <c r="I138" s="261"/>
      <c r="J138" s="261"/>
      <c r="K138" s="261"/>
      <c r="L138" s="261"/>
      <c r="M138" s="261"/>
      <c r="N138" s="261"/>
      <c r="O138" s="261"/>
      <c r="P138" s="331">
        <v>0</v>
      </c>
      <c r="Q138" s="264"/>
      <c r="R138" s="5"/>
    </row>
    <row r="139" spans="1:19" ht="15.6" x14ac:dyDescent="0.3">
      <c r="A139" s="260"/>
      <c r="B139" s="261" t="s">
        <v>144</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145</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53</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153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202</v>
      </c>
      <c r="C143" s="261"/>
      <c r="D143" s="261"/>
      <c r="E143" s="261"/>
      <c r="F143" s="261"/>
      <c r="G143" s="261"/>
      <c r="H143" s="261"/>
      <c r="I143" s="261"/>
      <c r="J143" s="261"/>
      <c r="K143" s="261"/>
      <c r="L143" s="261"/>
      <c r="M143" s="261"/>
      <c r="N143" s="261"/>
      <c r="O143" s="261"/>
      <c r="P143" s="331">
        <v>0</v>
      </c>
      <c r="Q143" s="264"/>
      <c r="R143" s="5"/>
      <c r="S143" s="109"/>
    </row>
    <row r="144" spans="1:19" ht="15.6" x14ac:dyDescent="0.3">
      <c r="A144" s="260"/>
      <c r="B144" s="261" t="s">
        <v>54</v>
      </c>
      <c r="C144" s="261"/>
      <c r="D144" s="261"/>
      <c r="E144" s="261"/>
      <c r="F144" s="261"/>
      <c r="G144" s="261"/>
      <c r="H144" s="261"/>
      <c r="I144" s="261"/>
      <c r="J144" s="261"/>
      <c r="K144" s="261"/>
      <c r="L144" s="261"/>
      <c r="M144" s="261"/>
      <c r="N144" s="261"/>
      <c r="O144" s="261"/>
      <c r="P144" s="331">
        <f>SUM(P137:P143)</f>
        <v>19815</v>
      </c>
      <c r="Q144" s="264"/>
      <c r="R144" s="5"/>
    </row>
    <row r="145" spans="1:18" ht="15.6" x14ac:dyDescent="0.3">
      <c r="A145" s="183"/>
      <c r="B145" s="190"/>
      <c r="C145" s="190"/>
      <c r="D145" s="190"/>
      <c r="E145" s="190"/>
      <c r="F145" s="190"/>
      <c r="G145" s="190"/>
      <c r="H145" s="190"/>
      <c r="I145" s="190"/>
      <c r="J145" s="190"/>
      <c r="K145" s="190"/>
      <c r="L145" s="190"/>
      <c r="M145" s="190"/>
      <c r="N145" s="190"/>
      <c r="O145" s="190"/>
      <c r="P145" s="341"/>
      <c r="Q145" s="190"/>
      <c r="R145" s="5"/>
    </row>
    <row r="146" spans="1:18" ht="15.6" x14ac:dyDescent="0.3">
      <c r="A146" s="183"/>
      <c r="B146" s="209" t="s">
        <v>28</v>
      </c>
      <c r="C146" s="185"/>
      <c r="D146" s="185"/>
      <c r="E146" s="185"/>
      <c r="F146" s="185"/>
      <c r="G146" s="185"/>
      <c r="H146" s="185"/>
      <c r="I146" s="185"/>
      <c r="J146" s="185"/>
      <c r="K146" s="185"/>
      <c r="L146" s="185"/>
      <c r="M146" s="185"/>
      <c r="N146" s="185"/>
      <c r="O146" s="185"/>
      <c r="P146" s="201"/>
      <c r="Q146" s="185"/>
      <c r="R146" s="5"/>
    </row>
    <row r="147" spans="1:18" ht="15.6" x14ac:dyDescent="0.3">
      <c r="A147" s="260"/>
      <c r="B147" s="261" t="s">
        <v>55</v>
      </c>
      <c r="C147" s="261"/>
      <c r="D147" s="261"/>
      <c r="E147" s="261"/>
      <c r="F147" s="261"/>
      <c r="G147" s="261"/>
      <c r="H147" s="261"/>
      <c r="I147" s="261"/>
      <c r="J147" s="261"/>
      <c r="K147" s="261"/>
      <c r="L147" s="261"/>
      <c r="M147" s="261"/>
      <c r="N147" s="261"/>
      <c r="O147" s="261"/>
      <c r="P147" s="342" t="s">
        <v>137</v>
      </c>
      <c r="Q147" s="338"/>
      <c r="R147" s="5"/>
    </row>
    <row r="148" spans="1:18" ht="15.6" x14ac:dyDescent="0.3">
      <c r="A148" s="260"/>
      <c r="B148" s="261" t="s">
        <v>56</v>
      </c>
      <c r="C148" s="263"/>
      <c r="D148" s="263"/>
      <c r="E148" s="263"/>
      <c r="F148" s="263"/>
      <c r="G148" s="263"/>
      <c r="H148" s="263"/>
      <c r="I148" s="263"/>
      <c r="J148" s="263"/>
      <c r="K148" s="263"/>
      <c r="L148" s="263"/>
      <c r="M148" s="263"/>
      <c r="N148" s="263"/>
      <c r="O148" s="263"/>
      <c r="P148" s="342" t="s">
        <v>137</v>
      </c>
      <c r="Q148" s="338"/>
      <c r="R148" s="5"/>
    </row>
    <row r="149" spans="1:18" ht="15.6" x14ac:dyDescent="0.3">
      <c r="A149" s="260"/>
      <c r="B149" s="261" t="s">
        <v>57</v>
      </c>
      <c r="C149" s="261"/>
      <c r="D149" s="261"/>
      <c r="E149" s="261"/>
      <c r="F149" s="261"/>
      <c r="G149" s="261"/>
      <c r="H149" s="261"/>
      <c r="I149" s="261"/>
      <c r="J149" s="261"/>
      <c r="K149" s="261"/>
      <c r="L149" s="261"/>
      <c r="M149" s="261"/>
      <c r="N149" s="261"/>
      <c r="O149" s="261"/>
      <c r="P149" s="342" t="s">
        <v>137</v>
      </c>
      <c r="Q149" s="338"/>
      <c r="R149" s="5"/>
    </row>
    <row r="150" spans="1:18" ht="15.6" x14ac:dyDescent="0.3">
      <c r="A150" s="260"/>
      <c r="B150" s="261" t="s">
        <v>58</v>
      </c>
      <c r="C150" s="261"/>
      <c r="D150" s="261"/>
      <c r="E150" s="261"/>
      <c r="F150" s="261"/>
      <c r="G150" s="261"/>
      <c r="H150" s="261"/>
      <c r="I150" s="261"/>
      <c r="J150" s="261"/>
      <c r="K150" s="261"/>
      <c r="L150" s="261"/>
      <c r="M150" s="261"/>
      <c r="N150" s="261"/>
      <c r="O150" s="261"/>
      <c r="P150" s="342" t="s">
        <v>137</v>
      </c>
      <c r="Q150" s="338"/>
      <c r="R150" s="5"/>
    </row>
    <row r="151" spans="1:18" ht="15.6" x14ac:dyDescent="0.3">
      <c r="A151" s="183"/>
      <c r="B151" s="190"/>
      <c r="C151" s="190"/>
      <c r="D151" s="190"/>
      <c r="E151" s="190"/>
      <c r="F151" s="190"/>
      <c r="G151" s="190"/>
      <c r="H151" s="190"/>
      <c r="I151" s="190"/>
      <c r="J151" s="190"/>
      <c r="K151" s="190"/>
      <c r="L151" s="190"/>
      <c r="M151" s="190"/>
      <c r="N151" s="190"/>
      <c r="O151" s="190"/>
      <c r="P151" s="341"/>
      <c r="Q151" s="190"/>
      <c r="R151" s="5"/>
    </row>
    <row r="152" spans="1:18" ht="15.6" x14ac:dyDescent="0.3">
      <c r="A152" s="183"/>
      <c r="B152" s="209" t="s">
        <v>59</v>
      </c>
      <c r="C152" s="185"/>
      <c r="D152" s="185"/>
      <c r="E152" s="185"/>
      <c r="F152" s="185"/>
      <c r="G152" s="185"/>
      <c r="H152" s="185"/>
      <c r="I152" s="185"/>
      <c r="J152" s="185"/>
      <c r="K152" s="185"/>
      <c r="L152" s="185"/>
      <c r="M152" s="185"/>
      <c r="N152" s="185"/>
      <c r="O152" s="185"/>
      <c r="P152" s="210"/>
      <c r="Q152" s="185"/>
      <c r="R152" s="5"/>
    </row>
    <row r="153" spans="1:18" ht="15.6" x14ac:dyDescent="0.3">
      <c r="A153" s="260"/>
      <c r="B153" s="261" t="s">
        <v>60</v>
      </c>
      <c r="C153" s="261"/>
      <c r="D153" s="261"/>
      <c r="E153" s="261"/>
      <c r="F153" s="261"/>
      <c r="G153" s="261"/>
      <c r="H153" s="261"/>
      <c r="I153" s="261"/>
      <c r="J153" s="261"/>
      <c r="K153" s="261"/>
      <c r="L153" s="261"/>
      <c r="M153" s="261"/>
      <c r="N153" s="261"/>
      <c r="O153" s="261"/>
      <c r="P153" s="331">
        <v>0</v>
      </c>
      <c r="Q153" s="264"/>
      <c r="R153" s="5"/>
    </row>
    <row r="154" spans="1:18" ht="15.6" x14ac:dyDescent="0.3">
      <c r="A154" s="260"/>
      <c r="B154" s="261" t="s">
        <v>61</v>
      </c>
      <c r="C154" s="261"/>
      <c r="D154" s="261"/>
      <c r="E154" s="261"/>
      <c r="F154" s="261"/>
      <c r="G154" s="261"/>
      <c r="H154" s="261"/>
      <c r="I154" s="261"/>
      <c r="J154" s="261"/>
      <c r="K154" s="261"/>
      <c r="L154" s="261"/>
      <c r="M154" s="261"/>
      <c r="N154" s="261"/>
      <c r="O154" s="261"/>
      <c r="P154" s="331">
        <f>-P114</f>
        <v>151</v>
      </c>
      <c r="Q154" s="264"/>
      <c r="R154" s="5"/>
    </row>
    <row r="155" spans="1:18" ht="15.6" x14ac:dyDescent="0.3">
      <c r="A155" s="260"/>
      <c r="B155" s="261" t="s">
        <v>62</v>
      </c>
      <c r="C155" s="261"/>
      <c r="D155" s="261"/>
      <c r="E155" s="261"/>
      <c r="F155" s="261"/>
      <c r="G155" s="261"/>
      <c r="H155" s="261"/>
      <c r="I155" s="261"/>
      <c r="J155" s="261"/>
      <c r="K155" s="261"/>
      <c r="L155" s="261"/>
      <c r="M155" s="261"/>
      <c r="N155" s="261"/>
      <c r="O155" s="261"/>
      <c r="P155" s="331">
        <f>P154+P153</f>
        <v>151</v>
      </c>
      <c r="Q155" s="264"/>
      <c r="R155" s="5"/>
    </row>
    <row r="156" spans="1:18" ht="15.6" x14ac:dyDescent="0.3">
      <c r="A156" s="260"/>
      <c r="B156" s="402" t="s">
        <v>297</v>
      </c>
      <c r="C156" s="261"/>
      <c r="D156" s="261"/>
      <c r="E156" s="261"/>
      <c r="F156" s="261"/>
      <c r="G156" s="261"/>
      <c r="H156" s="261"/>
      <c r="I156" s="261"/>
      <c r="J156" s="261"/>
      <c r="K156" s="261"/>
      <c r="L156" s="261"/>
      <c r="M156" s="261"/>
      <c r="N156" s="261"/>
      <c r="O156" s="261"/>
      <c r="P156" s="331">
        <f>P114</f>
        <v>-151</v>
      </c>
      <c r="Q156" s="264"/>
      <c r="R156" s="5"/>
    </row>
    <row r="157" spans="1:18" ht="15.6" x14ac:dyDescent="0.3">
      <c r="A157" s="260"/>
      <c r="B157" s="261" t="s">
        <v>63</v>
      </c>
      <c r="C157" s="261"/>
      <c r="D157" s="261"/>
      <c r="E157" s="261"/>
      <c r="F157" s="261"/>
      <c r="G157" s="261"/>
      <c r="H157" s="261"/>
      <c r="I157" s="261"/>
      <c r="J157" s="261"/>
      <c r="K157" s="261"/>
      <c r="L157" s="261"/>
      <c r="M157" s="261"/>
      <c r="N157" s="261"/>
      <c r="O157" s="261"/>
      <c r="P157" s="331">
        <f>P155+P156</f>
        <v>0</v>
      </c>
      <c r="Q157" s="264"/>
      <c r="R157" s="5"/>
    </row>
    <row r="158" spans="1:18" ht="15.6" x14ac:dyDescent="0.3">
      <c r="A158" s="260"/>
      <c r="B158" s="261" t="s">
        <v>268</v>
      </c>
      <c r="C158" s="261"/>
      <c r="D158" s="261"/>
      <c r="E158" s="261"/>
      <c r="F158" s="261"/>
      <c r="G158" s="261"/>
      <c r="H158" s="261"/>
      <c r="I158" s="261"/>
      <c r="J158" s="261"/>
      <c r="K158" s="261"/>
      <c r="L158" s="261"/>
      <c r="M158" s="261"/>
      <c r="N158" s="261"/>
      <c r="O158" s="261"/>
      <c r="P158" s="331">
        <f>-P101</f>
        <v>79</v>
      </c>
      <c r="Q158" s="264"/>
      <c r="R158" s="5"/>
    </row>
    <row r="159" spans="1:18" ht="16.2" thickBot="1" x14ac:dyDescent="0.35">
      <c r="A159" s="183"/>
      <c r="B159" s="190"/>
      <c r="C159" s="190"/>
      <c r="D159" s="190"/>
      <c r="E159" s="190"/>
      <c r="F159" s="190"/>
      <c r="G159" s="190"/>
      <c r="H159" s="190"/>
      <c r="I159" s="190"/>
      <c r="J159" s="190"/>
      <c r="K159" s="190"/>
      <c r="L159" s="190"/>
      <c r="M159" s="190"/>
      <c r="N159" s="190"/>
      <c r="O159" s="190"/>
      <c r="P159" s="341"/>
      <c r="Q159" s="190"/>
      <c r="R159" s="5"/>
    </row>
    <row r="160" spans="1:18" ht="15.6" x14ac:dyDescent="0.3">
      <c r="A160" s="180"/>
      <c r="B160" s="181"/>
      <c r="C160" s="181"/>
      <c r="D160" s="181"/>
      <c r="E160" s="181"/>
      <c r="F160" s="181"/>
      <c r="G160" s="181"/>
      <c r="H160" s="181"/>
      <c r="I160" s="181"/>
      <c r="J160" s="181"/>
      <c r="K160" s="181"/>
      <c r="L160" s="181"/>
      <c r="M160" s="181"/>
      <c r="N160" s="181"/>
      <c r="O160" s="181"/>
      <c r="P160" s="200"/>
      <c r="Q160" s="181"/>
      <c r="R160" s="5"/>
    </row>
    <row r="161" spans="1:19" ht="15.6" x14ac:dyDescent="0.3">
      <c r="A161" s="183"/>
      <c r="B161" s="209" t="s">
        <v>64</v>
      </c>
      <c r="C161" s="185"/>
      <c r="D161" s="185"/>
      <c r="E161" s="185"/>
      <c r="F161" s="185"/>
      <c r="G161" s="185"/>
      <c r="H161" s="185"/>
      <c r="I161" s="185"/>
      <c r="J161" s="185"/>
      <c r="K161" s="185"/>
      <c r="L161" s="185"/>
      <c r="M161" s="185"/>
      <c r="N161" s="185"/>
      <c r="O161" s="185"/>
      <c r="P161" s="201"/>
      <c r="Q161" s="185"/>
      <c r="R161" s="5"/>
    </row>
    <row r="162" spans="1:19" ht="15.6" x14ac:dyDescent="0.3">
      <c r="A162" s="183"/>
      <c r="B162" s="196"/>
      <c r="C162" s="185"/>
      <c r="D162" s="185"/>
      <c r="E162" s="185"/>
      <c r="F162" s="185"/>
      <c r="G162" s="185"/>
      <c r="H162" s="185"/>
      <c r="I162" s="185"/>
      <c r="J162" s="185"/>
      <c r="K162" s="185"/>
      <c r="L162" s="185"/>
      <c r="M162" s="185"/>
      <c r="N162" s="185"/>
      <c r="O162" s="185"/>
      <c r="P162" s="201"/>
      <c r="Q162" s="185"/>
      <c r="R162" s="5"/>
    </row>
    <row r="163" spans="1:19" ht="15.6" x14ac:dyDescent="0.3">
      <c r="A163" s="260"/>
      <c r="B163" s="261" t="s">
        <v>221</v>
      </c>
      <c r="C163" s="261"/>
      <c r="D163" s="261"/>
      <c r="E163" s="261"/>
      <c r="F163" s="261"/>
      <c r="G163" s="261"/>
      <c r="H163" s="261"/>
      <c r="I163" s="261"/>
      <c r="J163" s="261"/>
      <c r="K163" s="261"/>
      <c r="L163" s="261"/>
      <c r="M163" s="261"/>
      <c r="N163" s="261"/>
      <c r="O163" s="261"/>
      <c r="P163" s="331">
        <f>P72</f>
        <v>385137</v>
      </c>
      <c r="Q163" s="264"/>
      <c r="R163" s="5"/>
    </row>
    <row r="164" spans="1:19" ht="15.6" x14ac:dyDescent="0.3">
      <c r="A164" s="260"/>
      <c r="B164" s="261" t="s">
        <v>273</v>
      </c>
      <c r="C164" s="261"/>
      <c r="D164" s="261"/>
      <c r="E164" s="261"/>
      <c r="F164" s="261"/>
      <c r="G164" s="261"/>
      <c r="H164" s="261"/>
      <c r="I164" s="261"/>
      <c r="J164" s="261"/>
      <c r="K164" s="261"/>
      <c r="L164" s="261"/>
      <c r="M164" s="261"/>
      <c r="N164" s="261"/>
      <c r="O164" s="261"/>
      <c r="P164" s="331">
        <f>+P85</f>
        <v>0</v>
      </c>
      <c r="Q164" s="264"/>
      <c r="R164" s="5"/>
    </row>
    <row r="165" spans="1:19" ht="15.6" x14ac:dyDescent="0.3">
      <c r="A165" s="260"/>
      <c r="B165" s="261" t="s">
        <v>65</v>
      </c>
      <c r="C165" s="261"/>
      <c r="D165" s="261"/>
      <c r="E165" s="261"/>
      <c r="F165" s="261"/>
      <c r="G165" s="261"/>
      <c r="H165" s="261"/>
      <c r="I165" s="261"/>
      <c r="J165" s="261"/>
      <c r="K165" s="261"/>
      <c r="L165" s="261"/>
      <c r="M165" s="261"/>
      <c r="N165" s="261"/>
      <c r="O165" s="261"/>
      <c r="P165" s="331">
        <f>P38</f>
        <v>385136.53218668647</v>
      </c>
      <c r="Q165" s="264"/>
      <c r="R165" s="5"/>
      <c r="S165" s="109"/>
    </row>
    <row r="166" spans="1:19" ht="16.2" thickBot="1" x14ac:dyDescent="0.35">
      <c r="A166" s="183"/>
      <c r="B166" s="190"/>
      <c r="C166" s="190"/>
      <c r="D166" s="190"/>
      <c r="E166" s="190"/>
      <c r="F166" s="190"/>
      <c r="G166" s="190"/>
      <c r="H166" s="190"/>
      <c r="I166" s="190"/>
      <c r="J166" s="190"/>
      <c r="K166" s="190"/>
      <c r="L166" s="190"/>
      <c r="M166" s="190"/>
      <c r="N166" s="190"/>
      <c r="O166" s="190"/>
      <c r="P166" s="341"/>
      <c r="Q166" s="190"/>
      <c r="R166" s="5"/>
    </row>
    <row r="167" spans="1:19" ht="15.6" x14ac:dyDescent="0.3">
      <c r="A167" s="180"/>
      <c r="B167" s="181"/>
      <c r="C167" s="181"/>
      <c r="D167" s="181"/>
      <c r="E167" s="181"/>
      <c r="F167" s="181"/>
      <c r="G167" s="181"/>
      <c r="H167" s="181"/>
      <c r="I167" s="181"/>
      <c r="J167" s="181"/>
      <c r="K167" s="181"/>
      <c r="L167" s="181"/>
      <c r="M167" s="181"/>
      <c r="N167" s="181"/>
      <c r="O167" s="181"/>
      <c r="P167" s="200"/>
      <c r="Q167" s="181"/>
      <c r="R167" s="5"/>
    </row>
    <row r="168" spans="1:19" ht="15.6" x14ac:dyDescent="0.3">
      <c r="A168" s="183"/>
      <c r="B168" s="209" t="s">
        <v>66</v>
      </c>
      <c r="C168" s="205"/>
      <c r="D168" s="205"/>
      <c r="E168" s="205"/>
      <c r="F168" s="211"/>
      <c r="G168" s="211"/>
      <c r="H168" s="211"/>
      <c r="I168" s="211"/>
      <c r="J168" s="211"/>
      <c r="K168" s="211"/>
      <c r="L168" s="211"/>
      <c r="M168" s="211" t="s">
        <v>112</v>
      </c>
      <c r="N168" s="211" t="s">
        <v>120</v>
      </c>
      <c r="O168" s="187"/>
      <c r="P168" s="212" t="s">
        <v>129</v>
      </c>
      <c r="Q168" s="213"/>
      <c r="R168" s="5"/>
    </row>
    <row r="169" spans="1:19" ht="15.6" x14ac:dyDescent="0.3">
      <c r="A169" s="260"/>
      <c r="B169" s="261" t="s">
        <v>67</v>
      </c>
      <c r="C169" s="261"/>
      <c r="D169" s="261"/>
      <c r="E169" s="261"/>
      <c r="F169" s="261"/>
      <c r="G169" s="261"/>
      <c r="H169" s="261"/>
      <c r="I169" s="261"/>
      <c r="J169" s="261"/>
      <c r="K169" s="261"/>
      <c r="L169" s="261"/>
      <c r="M169" s="331">
        <v>144000</v>
      </c>
      <c r="N169" s="292">
        <v>0</v>
      </c>
      <c r="O169" s="261"/>
      <c r="P169" s="331"/>
      <c r="Q169" s="264"/>
      <c r="R169" s="5"/>
    </row>
    <row r="170" spans="1:19" ht="15.6" x14ac:dyDescent="0.3">
      <c r="A170" s="260"/>
      <c r="B170" s="261" t="s">
        <v>68</v>
      </c>
      <c r="C170" s="261"/>
      <c r="D170" s="261"/>
      <c r="E170" s="261"/>
      <c r="F170" s="261"/>
      <c r="G170" s="261"/>
      <c r="H170" s="261"/>
      <c r="I170" s="261"/>
      <c r="J170" s="261"/>
      <c r="K170" s="261"/>
      <c r="L170" s="261"/>
      <c r="M170" s="331">
        <f>+'April 12'!M172</f>
        <v>87935</v>
      </c>
      <c r="N170" s="331">
        <f>+'April 12'!N172</f>
        <v>10214</v>
      </c>
      <c r="O170" s="261"/>
      <c r="P170" s="331">
        <f>M170+N170</f>
        <v>98149</v>
      </c>
      <c r="Q170" s="264"/>
      <c r="R170" s="5"/>
    </row>
    <row r="171" spans="1:19" ht="15.6" x14ac:dyDescent="0.3">
      <c r="A171" s="260"/>
      <c r="B171" s="261" t="s">
        <v>69</v>
      </c>
      <c r="C171" s="261"/>
      <c r="D171" s="261"/>
      <c r="E171" s="261"/>
      <c r="F171" s="261"/>
      <c r="G171" s="261"/>
      <c r="H171" s="261"/>
      <c r="I171" s="261"/>
      <c r="J171" s="261"/>
      <c r="K171" s="261"/>
      <c r="L171" s="261"/>
      <c r="M171" s="330">
        <v>4</v>
      </c>
      <c r="N171" s="330">
        <f>-N99-N121</f>
        <v>3</v>
      </c>
      <c r="O171" s="261"/>
      <c r="P171" s="331">
        <f>M171+N171</f>
        <v>7</v>
      </c>
      <c r="Q171" s="264"/>
      <c r="R171" s="5"/>
    </row>
    <row r="172" spans="1:19" ht="15.6" x14ac:dyDescent="0.3">
      <c r="A172" s="260"/>
      <c r="B172" s="261" t="s">
        <v>70</v>
      </c>
      <c r="C172" s="261"/>
      <c r="D172" s="261"/>
      <c r="E172" s="261"/>
      <c r="F172" s="261"/>
      <c r="G172" s="261"/>
      <c r="H172" s="261"/>
      <c r="I172" s="261"/>
      <c r="J172" s="261"/>
      <c r="K172" s="261"/>
      <c r="L172" s="261"/>
      <c r="M172" s="331">
        <f>M170+M171</f>
        <v>87939</v>
      </c>
      <c r="N172" s="331">
        <f>N171+N170</f>
        <v>10217</v>
      </c>
      <c r="O172" s="261"/>
      <c r="P172" s="331">
        <f>M172+N172</f>
        <v>98156</v>
      </c>
      <c r="Q172" s="264"/>
      <c r="R172" s="5"/>
    </row>
    <row r="173" spans="1:19" ht="15.6" x14ac:dyDescent="0.3">
      <c r="A173" s="260"/>
      <c r="B173" s="261" t="s">
        <v>71</v>
      </c>
      <c r="C173" s="261"/>
      <c r="D173" s="261"/>
      <c r="E173" s="261"/>
      <c r="F173" s="261"/>
      <c r="G173" s="261"/>
      <c r="H173" s="261"/>
      <c r="I173" s="261"/>
      <c r="J173" s="261"/>
      <c r="K173" s="261"/>
      <c r="L173" s="261"/>
      <c r="M173" s="331">
        <f>M169-M172-N172</f>
        <v>45844</v>
      </c>
      <c r="N173" s="292"/>
      <c r="O173" s="261"/>
      <c r="P173" s="331"/>
      <c r="Q173" s="264"/>
      <c r="R173" s="5"/>
    </row>
    <row r="174" spans="1:19" ht="16.2" thickBot="1" x14ac:dyDescent="0.35">
      <c r="A174" s="183"/>
      <c r="B174" s="190"/>
      <c r="C174" s="190"/>
      <c r="D174" s="190"/>
      <c r="E174" s="190"/>
      <c r="F174" s="190"/>
      <c r="G174" s="190"/>
      <c r="H174" s="190"/>
      <c r="I174" s="190"/>
      <c r="J174" s="190"/>
      <c r="K174" s="190"/>
      <c r="L174" s="190"/>
      <c r="M174" s="190"/>
      <c r="N174" s="190"/>
      <c r="O174" s="190"/>
      <c r="P174" s="341"/>
      <c r="Q174" s="190"/>
      <c r="R174" s="5"/>
    </row>
    <row r="175" spans="1:19" ht="15.6" x14ac:dyDescent="0.3">
      <c r="A175" s="180"/>
      <c r="B175" s="181"/>
      <c r="C175" s="181"/>
      <c r="D175" s="181"/>
      <c r="E175" s="181"/>
      <c r="F175" s="181"/>
      <c r="G175" s="181"/>
      <c r="H175" s="181"/>
      <c r="I175" s="181"/>
      <c r="J175" s="181"/>
      <c r="K175" s="181"/>
      <c r="L175" s="181"/>
      <c r="M175" s="181"/>
      <c r="N175" s="181"/>
      <c r="O175" s="181"/>
      <c r="P175" s="200"/>
      <c r="Q175" s="181"/>
      <c r="R175" s="5"/>
    </row>
    <row r="176" spans="1:19" ht="15.6" x14ac:dyDescent="0.3">
      <c r="A176" s="183"/>
      <c r="B176" s="209" t="s">
        <v>72</v>
      </c>
      <c r="C176" s="185"/>
      <c r="D176" s="185"/>
      <c r="E176" s="185"/>
      <c r="F176" s="185"/>
      <c r="G176" s="185"/>
      <c r="H176" s="185"/>
      <c r="I176" s="185"/>
      <c r="J176" s="185"/>
      <c r="K176" s="185"/>
      <c r="L176" s="185"/>
      <c r="M176" s="185"/>
      <c r="N176" s="185"/>
      <c r="O176" s="185"/>
      <c r="P176" s="214"/>
      <c r="Q176" s="185"/>
      <c r="R176" s="5"/>
    </row>
    <row r="177" spans="1:18" ht="15.6" x14ac:dyDescent="0.3">
      <c r="A177" s="260"/>
      <c r="B177" s="261" t="s">
        <v>73</v>
      </c>
      <c r="C177" s="261"/>
      <c r="D177" s="261"/>
      <c r="E177" s="261"/>
      <c r="F177" s="261"/>
      <c r="G177" s="261"/>
      <c r="H177" s="261"/>
      <c r="I177" s="261"/>
      <c r="J177" s="261"/>
      <c r="K177" s="261"/>
      <c r="L177" s="261"/>
      <c r="M177" s="261"/>
      <c r="N177" s="261"/>
      <c r="O177" s="261"/>
      <c r="P177" s="343">
        <f>(P102+P104+P105+P106+P107)/-(P108+P109+P110)</f>
        <v>2.2712283594394065</v>
      </c>
      <c r="Q177" s="264" t="s">
        <v>130</v>
      </c>
      <c r="R177" s="5"/>
    </row>
    <row r="178" spans="1:18" ht="15.6" x14ac:dyDescent="0.3">
      <c r="A178" s="260"/>
      <c r="B178" s="261" t="s">
        <v>74</v>
      </c>
      <c r="C178" s="261"/>
      <c r="D178" s="261"/>
      <c r="E178" s="261"/>
      <c r="F178" s="261"/>
      <c r="G178" s="261"/>
      <c r="H178" s="261"/>
      <c r="I178" s="261"/>
      <c r="J178" s="261"/>
      <c r="K178" s="261"/>
      <c r="L178" s="261"/>
      <c r="M178" s="261"/>
      <c r="N178" s="261"/>
      <c r="O178" s="261"/>
      <c r="P178" s="343">
        <v>1.5</v>
      </c>
      <c r="Q178" s="264" t="s">
        <v>130</v>
      </c>
      <c r="R178" s="5"/>
    </row>
    <row r="179" spans="1:18" ht="15.6" x14ac:dyDescent="0.3">
      <c r="A179" s="260"/>
      <c r="B179" s="261" t="s">
        <v>75</v>
      </c>
      <c r="C179" s="261"/>
      <c r="D179" s="261"/>
      <c r="E179" s="261"/>
      <c r="F179" s="261"/>
      <c r="G179" s="261"/>
      <c r="H179" s="261"/>
      <c r="I179" s="261"/>
      <c r="J179" s="261"/>
      <c r="K179" s="261"/>
      <c r="L179" s="261"/>
      <c r="M179" s="261"/>
      <c r="N179" s="261"/>
      <c r="O179" s="261"/>
      <c r="P179" s="342">
        <f>(P102+P104+P105+P106+P107+P108+P109+P110)/-(P111+P112)</f>
        <v>2.7733812949640289</v>
      </c>
      <c r="Q179" s="264" t="s">
        <v>130</v>
      </c>
      <c r="R179" s="5"/>
    </row>
    <row r="180" spans="1:18" ht="15.6" x14ac:dyDescent="0.3">
      <c r="A180" s="260"/>
      <c r="B180" s="261" t="s">
        <v>76</v>
      </c>
      <c r="C180" s="261"/>
      <c r="D180" s="261"/>
      <c r="E180" s="261"/>
      <c r="F180" s="261"/>
      <c r="G180" s="261"/>
      <c r="H180" s="261"/>
      <c r="I180" s="261"/>
      <c r="J180" s="261"/>
      <c r="K180" s="261"/>
      <c r="L180" s="261"/>
      <c r="M180" s="261"/>
      <c r="N180" s="261"/>
      <c r="O180" s="261"/>
      <c r="P180" s="343">
        <v>2.48</v>
      </c>
      <c r="Q180" s="264" t="s">
        <v>130</v>
      </c>
      <c r="R180" s="5"/>
    </row>
    <row r="181" spans="1:18" ht="15.6" x14ac:dyDescent="0.3">
      <c r="A181" s="260"/>
      <c r="B181" s="335"/>
      <c r="C181" s="335"/>
      <c r="D181" s="335"/>
      <c r="E181" s="335"/>
      <c r="F181" s="335"/>
      <c r="G181" s="335"/>
      <c r="H181" s="335"/>
      <c r="I181" s="335"/>
      <c r="J181" s="335"/>
      <c r="K181" s="335"/>
      <c r="L181" s="335"/>
      <c r="M181" s="335"/>
      <c r="N181" s="335"/>
      <c r="O181" s="335"/>
      <c r="P181" s="335"/>
      <c r="Q181" s="338"/>
      <c r="R181" s="5"/>
    </row>
    <row r="182" spans="1:18" ht="15.6" x14ac:dyDescent="0.3">
      <c r="A182" s="183"/>
      <c r="B182" s="190"/>
      <c r="C182" s="190"/>
      <c r="D182" s="190"/>
      <c r="E182" s="190"/>
      <c r="F182" s="190"/>
      <c r="G182" s="190"/>
      <c r="H182" s="190"/>
      <c r="I182" s="190"/>
      <c r="J182" s="190"/>
      <c r="K182" s="190"/>
      <c r="L182" s="190"/>
      <c r="M182" s="190"/>
      <c r="N182" s="190"/>
      <c r="O182" s="190"/>
      <c r="P182" s="190"/>
      <c r="Q182" s="190"/>
      <c r="R182" s="5"/>
    </row>
    <row r="183" spans="1:18" ht="15.6" x14ac:dyDescent="0.3">
      <c r="A183" s="183"/>
      <c r="B183" s="185"/>
      <c r="C183" s="185"/>
      <c r="D183" s="185"/>
      <c r="E183" s="185"/>
      <c r="F183" s="185"/>
      <c r="G183" s="185"/>
      <c r="H183" s="185"/>
      <c r="I183" s="185"/>
      <c r="J183" s="185"/>
      <c r="K183" s="185"/>
      <c r="L183" s="185"/>
      <c r="M183" s="185"/>
      <c r="N183" s="185"/>
      <c r="O183" s="185"/>
      <c r="P183" s="185"/>
      <c r="Q183" s="185"/>
      <c r="R183" s="5"/>
    </row>
    <row r="184" spans="1:18" ht="18" thickBot="1" x14ac:dyDescent="0.35">
      <c r="A184" s="199"/>
      <c r="B184" s="239" t="str">
        <f>B132</f>
        <v>PM7 INVESTOR REPORT QUARTER ENDING JULY 2012</v>
      </c>
      <c r="C184" s="215"/>
      <c r="D184" s="215"/>
      <c r="E184" s="215"/>
      <c r="F184" s="215"/>
      <c r="G184" s="215"/>
      <c r="H184" s="215"/>
      <c r="I184" s="215"/>
      <c r="J184" s="215"/>
      <c r="K184" s="215"/>
      <c r="L184" s="215"/>
      <c r="M184" s="215"/>
      <c r="N184" s="215"/>
      <c r="O184" s="215"/>
      <c r="P184" s="215"/>
      <c r="Q184" s="216"/>
      <c r="R184" s="5"/>
    </row>
    <row r="185" spans="1:18" ht="15.6" x14ac:dyDescent="0.3">
      <c r="A185" s="323"/>
      <c r="B185" s="397" t="s">
        <v>77</v>
      </c>
      <c r="C185" s="398"/>
      <c r="D185" s="398"/>
      <c r="E185" s="399"/>
      <c r="F185" s="399"/>
      <c r="G185" s="399"/>
      <c r="H185" s="399"/>
      <c r="I185" s="399"/>
      <c r="J185" s="399"/>
      <c r="K185" s="399"/>
      <c r="L185" s="399"/>
      <c r="M185" s="399"/>
      <c r="N185" s="399">
        <v>41121</v>
      </c>
      <c r="O185" s="326"/>
      <c r="P185" s="326"/>
      <c r="Q185" s="326"/>
      <c r="R185" s="5"/>
    </row>
    <row r="186" spans="1:18" ht="15.6" x14ac:dyDescent="0.3">
      <c r="A186" s="217"/>
      <c r="B186" s="218"/>
      <c r="C186" s="219"/>
      <c r="D186" s="219"/>
      <c r="E186" s="220"/>
      <c r="F186" s="220"/>
      <c r="G186" s="220"/>
      <c r="H186" s="220"/>
      <c r="I186" s="220"/>
      <c r="J186" s="220"/>
      <c r="K186" s="220"/>
      <c r="L186" s="220"/>
      <c r="M186" s="220"/>
      <c r="N186" s="220"/>
      <c r="O186" s="185"/>
      <c r="P186" s="185"/>
      <c r="Q186" s="185"/>
      <c r="R186" s="5"/>
    </row>
    <row r="187" spans="1:18" ht="15.6" x14ac:dyDescent="0.3">
      <c r="A187" s="345"/>
      <c r="B187" s="261" t="s">
        <v>78</v>
      </c>
      <c r="C187" s="346"/>
      <c r="D187" s="346"/>
      <c r="E187" s="295"/>
      <c r="F187" s="295"/>
      <c r="G187" s="295"/>
      <c r="H187" s="295"/>
      <c r="I187" s="295"/>
      <c r="J187" s="295"/>
      <c r="K187" s="295"/>
      <c r="L187" s="295"/>
      <c r="M187" s="295"/>
      <c r="N187" s="290">
        <v>5.8069999999999997E-2</v>
      </c>
      <c r="O187" s="261"/>
      <c r="P187" s="261"/>
      <c r="Q187" s="264"/>
      <c r="R187" s="5"/>
    </row>
    <row r="188" spans="1:18" ht="15.6" x14ac:dyDescent="0.3">
      <c r="A188" s="345"/>
      <c r="B188" s="261" t="s">
        <v>219</v>
      </c>
      <c r="C188" s="346"/>
      <c r="D188" s="346"/>
      <c r="E188" s="295"/>
      <c r="F188" s="295"/>
      <c r="G188" s="295"/>
      <c r="H188" s="295"/>
      <c r="I188" s="295"/>
      <c r="J188" s="295"/>
      <c r="K188" s="295"/>
      <c r="L188" s="295"/>
      <c r="M188" s="295"/>
      <c r="N188" s="290">
        <v>5.1499999999999997E-2</v>
      </c>
      <c r="O188" s="261"/>
      <c r="P188" s="261"/>
      <c r="Q188" s="264"/>
      <c r="R188" s="5"/>
    </row>
    <row r="189" spans="1:18" ht="15.6" x14ac:dyDescent="0.3">
      <c r="A189" s="345"/>
      <c r="B189" s="261" t="s">
        <v>79</v>
      </c>
      <c r="C189" s="346"/>
      <c r="D189" s="346"/>
      <c r="E189" s="295"/>
      <c r="F189" s="295"/>
      <c r="G189" s="295"/>
      <c r="H189" s="295"/>
      <c r="I189" s="295"/>
      <c r="J189" s="295"/>
      <c r="K189" s="295"/>
      <c r="L189" s="295"/>
      <c r="M189" s="295"/>
      <c r="N189" s="290">
        <f>N187-N188</f>
        <v>6.5699999999999995E-3</v>
      </c>
      <c r="O189" s="261"/>
      <c r="P189" s="261"/>
      <c r="Q189" s="264"/>
      <c r="R189" s="5"/>
    </row>
    <row r="190" spans="1:18" ht="15.6" x14ac:dyDescent="0.3">
      <c r="A190" s="345"/>
      <c r="B190" s="261" t="s">
        <v>80</v>
      </c>
      <c r="C190" s="346"/>
      <c r="D190" s="346"/>
      <c r="E190" s="295"/>
      <c r="F190" s="295"/>
      <c r="G190" s="295"/>
      <c r="H190" s="295"/>
      <c r="I190" s="295"/>
      <c r="J190" s="295"/>
      <c r="K190" s="295"/>
      <c r="L190" s="295"/>
      <c r="M190" s="295"/>
      <c r="N190" s="290">
        <v>2.6239999999999999E-2</v>
      </c>
      <c r="O190" s="261"/>
      <c r="P190" s="261"/>
      <c r="Q190" s="264"/>
      <c r="R190" s="5"/>
    </row>
    <row r="191" spans="1:18" ht="15.6" x14ac:dyDescent="0.3">
      <c r="A191" s="345"/>
      <c r="B191" s="261" t="s">
        <v>241</v>
      </c>
      <c r="C191" s="346"/>
      <c r="D191" s="346"/>
      <c r="E191" s="295"/>
      <c r="F191" s="295"/>
      <c r="G191" s="295"/>
      <c r="H191" s="295"/>
      <c r="I191" s="295"/>
      <c r="J191" s="295"/>
      <c r="K191" s="295"/>
      <c r="L191" s="295"/>
      <c r="M191" s="295"/>
      <c r="N191" s="290">
        <f>+P45</f>
        <v>1.8131832764225472E-2</v>
      </c>
      <c r="O191" s="261"/>
      <c r="P191" s="261"/>
      <c r="Q191" s="264"/>
      <c r="R191" s="5"/>
    </row>
    <row r="192" spans="1:18" ht="15.6" x14ac:dyDescent="0.3">
      <c r="A192" s="345"/>
      <c r="B192" s="261" t="s">
        <v>81</v>
      </c>
      <c r="C192" s="346"/>
      <c r="D192" s="346"/>
      <c r="E192" s="295"/>
      <c r="F192" s="295"/>
      <c r="G192" s="295"/>
      <c r="H192" s="295"/>
      <c r="I192" s="295"/>
      <c r="J192" s="295"/>
      <c r="K192" s="295"/>
      <c r="L192" s="295"/>
      <c r="M192" s="295"/>
      <c r="N192" s="290">
        <f>N190-N191</f>
        <v>8.1081672357745278E-3</v>
      </c>
      <c r="O192" s="261"/>
      <c r="P192" s="261"/>
      <c r="Q192" s="264"/>
      <c r="R192" s="5"/>
    </row>
    <row r="193" spans="1:18" ht="15.6" x14ac:dyDescent="0.3">
      <c r="A193" s="345"/>
      <c r="B193" s="261" t="s">
        <v>257</v>
      </c>
      <c r="C193" s="346"/>
      <c r="D193" s="346"/>
      <c r="E193" s="295"/>
      <c r="F193" s="295"/>
      <c r="G193" s="295"/>
      <c r="H193" s="295"/>
      <c r="I193" s="295"/>
      <c r="J193" s="295"/>
      <c r="K193" s="295"/>
      <c r="L193" s="295"/>
      <c r="M193" s="295"/>
      <c r="N193" s="290">
        <f>+P102/H72</f>
        <v>7.668573284495047E-3</v>
      </c>
      <c r="O193" s="261"/>
      <c r="P193" s="261"/>
      <c r="Q193" s="264"/>
      <c r="R193" s="5"/>
    </row>
    <row r="194" spans="1:18" ht="15.6" x14ac:dyDescent="0.3">
      <c r="A194" s="345"/>
      <c r="B194" s="261" t="s">
        <v>170</v>
      </c>
      <c r="C194" s="346"/>
      <c r="D194" s="346"/>
      <c r="E194" s="295"/>
      <c r="F194" s="295"/>
      <c r="G194" s="295"/>
      <c r="H194" s="295"/>
      <c r="I194" s="295"/>
      <c r="J194" s="295"/>
      <c r="K194" s="295"/>
      <c r="L194" s="295"/>
      <c r="M194" s="295"/>
      <c r="N194" s="347">
        <v>49065</v>
      </c>
      <c r="O194" s="261"/>
      <c r="P194" s="261"/>
      <c r="Q194" s="264"/>
      <c r="R194" s="5"/>
    </row>
    <row r="195" spans="1:18" ht="15.6" x14ac:dyDescent="0.3">
      <c r="A195" s="345"/>
      <c r="B195" s="261" t="s">
        <v>171</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172</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138</v>
      </c>
      <c r="C197" s="346"/>
      <c r="D197" s="346"/>
      <c r="E197" s="295"/>
      <c r="F197" s="295"/>
      <c r="G197" s="295"/>
      <c r="H197" s="295"/>
      <c r="I197" s="295"/>
      <c r="J197" s="295"/>
      <c r="K197" s="295"/>
      <c r="L197" s="295"/>
      <c r="M197" s="295"/>
      <c r="N197" s="347">
        <v>52352</v>
      </c>
      <c r="O197" s="261"/>
      <c r="P197" s="261"/>
      <c r="Q197" s="264"/>
      <c r="R197" s="5"/>
    </row>
    <row r="198" spans="1:18" ht="15.6" x14ac:dyDescent="0.3">
      <c r="A198" s="345"/>
      <c r="B198" s="261" t="s">
        <v>139</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82</v>
      </c>
      <c r="C199" s="346"/>
      <c r="D199" s="346"/>
      <c r="E199" s="295"/>
      <c r="F199" s="295"/>
      <c r="G199" s="295"/>
      <c r="H199" s="295"/>
      <c r="I199" s="295"/>
      <c r="J199" s="295"/>
      <c r="K199" s="295"/>
      <c r="L199" s="295"/>
      <c r="M199" s="295"/>
      <c r="N199" s="294">
        <v>20.45</v>
      </c>
      <c r="O199" s="261" t="s">
        <v>125</v>
      </c>
      <c r="P199" s="261"/>
      <c r="Q199" s="264"/>
      <c r="R199" s="5"/>
    </row>
    <row r="200" spans="1:18" ht="15.6" x14ac:dyDescent="0.3">
      <c r="A200" s="345"/>
      <c r="B200" s="261" t="s">
        <v>83</v>
      </c>
      <c r="C200" s="346"/>
      <c r="D200" s="346"/>
      <c r="E200" s="295"/>
      <c r="F200" s="295"/>
      <c r="G200" s="295"/>
      <c r="H200" s="295"/>
      <c r="I200" s="295"/>
      <c r="J200" s="295"/>
      <c r="K200" s="295"/>
      <c r="L200" s="295"/>
      <c r="M200" s="295"/>
      <c r="N200" s="294">
        <v>14.05</v>
      </c>
      <c r="O200" s="261" t="s">
        <v>125</v>
      </c>
      <c r="P200" s="261"/>
      <c r="Q200" s="264"/>
      <c r="R200" s="5"/>
    </row>
    <row r="201" spans="1:18" ht="15.6" x14ac:dyDescent="0.3">
      <c r="A201" s="345"/>
      <c r="B201" s="261" t="s">
        <v>84</v>
      </c>
      <c r="C201" s="346"/>
      <c r="D201" s="346"/>
      <c r="E201" s="295"/>
      <c r="F201" s="295"/>
      <c r="G201" s="295"/>
      <c r="H201" s="295"/>
      <c r="I201" s="295"/>
      <c r="J201" s="295"/>
      <c r="K201" s="295"/>
      <c r="L201" s="295"/>
      <c r="M201" s="295"/>
      <c r="N201" s="290">
        <f>J69/H69</f>
        <v>7.2613011571168225E-3</v>
      </c>
      <c r="O201" s="261"/>
      <c r="P201" s="261"/>
      <c r="Q201" s="264"/>
      <c r="R201" s="5"/>
    </row>
    <row r="202" spans="1:18" ht="15.6" x14ac:dyDescent="0.3">
      <c r="A202" s="345"/>
      <c r="B202" s="261" t="s">
        <v>85</v>
      </c>
      <c r="C202" s="346"/>
      <c r="D202" s="346"/>
      <c r="E202" s="295"/>
      <c r="F202" s="295"/>
      <c r="G202" s="295"/>
      <c r="H202" s="295"/>
      <c r="I202" s="295"/>
      <c r="J202" s="295"/>
      <c r="K202" s="295"/>
      <c r="L202" s="295"/>
      <c r="M202" s="295"/>
      <c r="N202" s="290">
        <v>0.1162</v>
      </c>
      <c r="O202" s="261"/>
      <c r="P202" s="261"/>
      <c r="Q202" s="264"/>
      <c r="R202" s="5"/>
    </row>
    <row r="203" spans="1:18" ht="15.6" x14ac:dyDescent="0.3">
      <c r="A203" s="217"/>
      <c r="B203" s="222"/>
      <c r="C203" s="222"/>
      <c r="D203" s="222"/>
      <c r="E203" s="190"/>
      <c r="F203" s="190"/>
      <c r="G203" s="190"/>
      <c r="H203" s="190"/>
      <c r="I203" s="190"/>
      <c r="J203" s="190"/>
      <c r="K203" s="190"/>
      <c r="L203" s="190"/>
      <c r="M203" s="190"/>
      <c r="N203" s="341"/>
      <c r="O203" s="190"/>
      <c r="P203" s="344"/>
      <c r="Q203" s="190"/>
      <c r="R203" s="5"/>
    </row>
    <row r="204" spans="1:18" ht="15.6" x14ac:dyDescent="0.3">
      <c r="A204" s="322"/>
      <c r="B204" s="393" t="s">
        <v>86</v>
      </c>
      <c r="C204" s="395"/>
      <c r="D204" s="400"/>
      <c r="E204" s="395"/>
      <c r="F204" s="395"/>
      <c r="G204" s="395"/>
      <c r="H204" s="395"/>
      <c r="I204" s="395"/>
      <c r="J204" s="395"/>
      <c r="K204" s="395"/>
      <c r="L204" s="395"/>
      <c r="M204" s="395" t="s">
        <v>113</v>
      </c>
      <c r="N204" s="400" t="s">
        <v>121</v>
      </c>
      <c r="O204" s="252"/>
      <c r="P204" s="252"/>
      <c r="Q204" s="252"/>
      <c r="R204" s="5"/>
    </row>
    <row r="205" spans="1:18" ht="15.6" x14ac:dyDescent="0.3">
      <c r="A205" s="221"/>
      <c r="B205" s="230" t="s">
        <v>87</v>
      </c>
      <c r="C205" s="235"/>
      <c r="D205" s="230"/>
      <c r="E205" s="230"/>
      <c r="F205" s="234"/>
      <c r="G205" s="234"/>
      <c r="H205" s="234"/>
      <c r="I205" s="234"/>
      <c r="J205" s="234"/>
      <c r="K205" s="234"/>
      <c r="L205" s="234"/>
      <c r="M205" s="234">
        <v>2</v>
      </c>
      <c r="N205" s="305">
        <v>56</v>
      </c>
      <c r="O205" s="230"/>
      <c r="P205" s="306"/>
      <c r="Q205" s="307"/>
      <c r="R205" s="5"/>
    </row>
    <row r="206" spans="1:18" ht="15.6" x14ac:dyDescent="0.3">
      <c r="A206" s="351"/>
      <c r="B206" s="261" t="s">
        <v>203</v>
      </c>
      <c r="C206" s="330"/>
      <c r="D206" s="261"/>
      <c r="E206" s="261"/>
      <c r="F206" s="268"/>
      <c r="G206" s="268"/>
      <c r="H206" s="268"/>
      <c r="I206" s="268"/>
      <c r="J206" s="268"/>
      <c r="K206" s="268"/>
      <c r="L206" s="268"/>
      <c r="M206" s="352">
        <f>+L254</f>
        <v>57</v>
      </c>
      <c r="N206" s="353">
        <f>+N254</f>
        <v>9370</v>
      </c>
      <c r="O206" s="261"/>
      <c r="P206" s="354"/>
      <c r="Q206" s="355"/>
      <c r="R206" s="5"/>
    </row>
    <row r="207" spans="1:18" ht="15.6" x14ac:dyDescent="0.3">
      <c r="A207" s="351"/>
      <c r="B207" s="261" t="s">
        <v>88</v>
      </c>
      <c r="C207" s="330"/>
      <c r="D207" s="261"/>
      <c r="E207" s="261"/>
      <c r="F207" s="268"/>
      <c r="G207" s="268"/>
      <c r="H207" s="268"/>
      <c r="I207" s="268"/>
      <c r="J207" s="268"/>
      <c r="K207" s="268"/>
      <c r="L207" s="268"/>
      <c r="M207" s="352">
        <f>+L265</f>
        <v>0</v>
      </c>
      <c r="N207" s="353">
        <f>+N265</f>
        <v>0</v>
      </c>
      <c r="O207" s="261"/>
      <c r="P207" s="354"/>
      <c r="Q207" s="355"/>
      <c r="R207" s="5"/>
    </row>
    <row r="208" spans="1:18" ht="15.6" x14ac:dyDescent="0.3">
      <c r="A208" s="351"/>
      <c r="B208" s="282" t="s">
        <v>89</v>
      </c>
      <c r="C208" s="356"/>
      <c r="D208" s="335"/>
      <c r="E208" s="335"/>
      <c r="F208" s="335"/>
      <c r="G208" s="335"/>
      <c r="H208" s="335"/>
      <c r="I208" s="335"/>
      <c r="J208" s="335"/>
      <c r="K208" s="335"/>
      <c r="L208" s="335"/>
      <c r="M208" s="335"/>
      <c r="N208" s="353">
        <v>0</v>
      </c>
      <c r="O208" s="335"/>
      <c r="P208" s="358"/>
      <c r="Q208" s="359"/>
      <c r="R208" s="5"/>
    </row>
    <row r="209" spans="1:18" ht="15.6" x14ac:dyDescent="0.3">
      <c r="A209" s="351"/>
      <c r="B209" s="282" t="s">
        <v>90</v>
      </c>
      <c r="C209" s="356"/>
      <c r="D209" s="335"/>
      <c r="E209" s="335"/>
      <c r="F209" s="335"/>
      <c r="G209" s="335"/>
      <c r="H209" s="335"/>
      <c r="I209" s="335"/>
      <c r="J209" s="335"/>
      <c r="K209" s="335"/>
      <c r="L209" s="335"/>
      <c r="M209" s="335"/>
      <c r="N209" s="369" t="s">
        <v>122</v>
      </c>
      <c r="O209" s="335"/>
      <c r="P209" s="358"/>
      <c r="Q209" s="359"/>
      <c r="R209" s="5"/>
    </row>
    <row r="210" spans="1:18" ht="15.6" x14ac:dyDescent="0.3">
      <c r="A210" s="360"/>
      <c r="B210" s="282" t="s">
        <v>91</v>
      </c>
      <c r="C210" s="361"/>
      <c r="D210" s="361"/>
      <c r="E210" s="335"/>
      <c r="F210" s="335"/>
      <c r="G210" s="335"/>
      <c r="H210" s="335"/>
      <c r="I210" s="335"/>
      <c r="J210" s="362"/>
      <c r="K210" s="335"/>
      <c r="L210" s="335"/>
      <c r="M210" s="335"/>
      <c r="N210" s="357"/>
      <c r="O210" s="335"/>
      <c r="P210" s="358"/>
      <c r="Q210" s="363"/>
      <c r="R210" s="5"/>
    </row>
    <row r="211" spans="1:18" ht="15.6" x14ac:dyDescent="0.3">
      <c r="A211" s="360"/>
      <c r="B211" s="261" t="s">
        <v>92</v>
      </c>
      <c r="C211" s="261"/>
      <c r="D211" s="261"/>
      <c r="E211" s="261"/>
      <c r="F211" s="261"/>
      <c r="G211" s="261"/>
      <c r="H211" s="261"/>
      <c r="I211" s="261"/>
      <c r="J211" s="261"/>
      <c r="K211" s="261"/>
      <c r="L211" s="261"/>
      <c r="M211" s="261"/>
      <c r="N211" s="353">
        <f>P154</f>
        <v>151</v>
      </c>
      <c r="O211" s="261"/>
      <c r="P211" s="354"/>
      <c r="Q211" s="363"/>
      <c r="R211" s="5"/>
    </row>
    <row r="212" spans="1:18" ht="15.6" x14ac:dyDescent="0.3">
      <c r="A212" s="351"/>
      <c r="B212" s="261" t="s">
        <v>93</v>
      </c>
      <c r="C212" s="330"/>
      <c r="D212" s="330"/>
      <c r="E212" s="261"/>
      <c r="F212" s="261"/>
      <c r="G212" s="261"/>
      <c r="H212" s="261"/>
      <c r="I212" s="261"/>
      <c r="J212" s="261"/>
      <c r="K212" s="261"/>
      <c r="L212" s="261"/>
      <c r="M212" s="261"/>
      <c r="N212" s="353">
        <f>'April 12'!N212+'July 12'!N211</f>
        <v>4898</v>
      </c>
      <c r="O212" s="261"/>
      <c r="P212" s="354"/>
      <c r="Q212" s="363"/>
      <c r="R212" s="5"/>
    </row>
    <row r="213" spans="1:18" ht="15.6" x14ac:dyDescent="0.3">
      <c r="A213" s="360"/>
      <c r="B213" s="282" t="s">
        <v>278</v>
      </c>
      <c r="C213" s="361"/>
      <c r="D213" s="361"/>
      <c r="E213" s="335"/>
      <c r="F213" s="335"/>
      <c r="G213" s="335"/>
      <c r="H213" s="335"/>
      <c r="I213" s="335"/>
      <c r="J213" s="335"/>
      <c r="K213" s="335"/>
      <c r="L213" s="335"/>
      <c r="M213" s="335"/>
      <c r="N213" s="357"/>
      <c r="O213" s="335"/>
      <c r="P213" s="358"/>
      <c r="Q213" s="363"/>
      <c r="R213" s="5"/>
    </row>
    <row r="214" spans="1:18" ht="15.6" x14ac:dyDescent="0.3">
      <c r="A214" s="360"/>
      <c r="B214" s="261" t="s">
        <v>276</v>
      </c>
      <c r="C214" s="261"/>
      <c r="D214" s="261"/>
      <c r="E214" s="261"/>
      <c r="F214" s="261"/>
      <c r="G214" s="261"/>
      <c r="H214" s="261"/>
      <c r="I214" s="261"/>
      <c r="J214" s="261"/>
      <c r="K214" s="261"/>
      <c r="L214" s="261"/>
      <c r="M214" s="268">
        <v>1</v>
      </c>
      <c r="N214" s="353">
        <v>8</v>
      </c>
      <c r="O214" s="261"/>
      <c r="P214" s="354"/>
      <c r="Q214" s="363"/>
      <c r="R214" s="5"/>
    </row>
    <row r="215" spans="1:18" ht="15.6" x14ac:dyDescent="0.3">
      <c r="A215" s="351"/>
      <c r="B215" s="261" t="s">
        <v>95</v>
      </c>
      <c r="C215" s="292"/>
      <c r="D215" s="368"/>
      <c r="E215" s="261"/>
      <c r="F215" s="261"/>
      <c r="G215" s="261"/>
      <c r="H215" s="261"/>
      <c r="I215" s="261"/>
      <c r="J215" s="261"/>
      <c r="K215" s="261"/>
      <c r="L215" s="261"/>
      <c r="M215" s="261"/>
      <c r="N215" s="369">
        <v>7.02</v>
      </c>
      <c r="O215" s="261"/>
      <c r="P215" s="354"/>
      <c r="Q215" s="363"/>
      <c r="R215" s="5"/>
    </row>
    <row r="216" spans="1:18" ht="15.6" x14ac:dyDescent="0.3">
      <c r="A216" s="351"/>
      <c r="B216" s="261" t="s">
        <v>96</v>
      </c>
      <c r="C216" s="292"/>
      <c r="D216" s="368"/>
      <c r="E216" s="261"/>
      <c r="F216" s="261"/>
      <c r="G216" s="261"/>
      <c r="H216" s="261"/>
      <c r="I216" s="261"/>
      <c r="J216" s="261"/>
      <c r="K216" s="261"/>
      <c r="L216" s="261"/>
      <c r="M216" s="261"/>
      <c r="N216" s="369">
        <v>2.73</v>
      </c>
      <c r="O216" s="261"/>
      <c r="P216" s="354"/>
      <c r="Q216" s="363"/>
      <c r="R216" s="5"/>
    </row>
    <row r="217" spans="1:18" ht="15.6" x14ac:dyDescent="0.3">
      <c r="A217" s="351"/>
      <c r="B217" s="282" t="s">
        <v>251</v>
      </c>
      <c r="C217" s="370"/>
      <c r="D217" s="371"/>
      <c r="E217" s="335"/>
      <c r="F217" s="335"/>
      <c r="G217" s="335"/>
      <c r="H217" s="335"/>
      <c r="I217" s="335"/>
      <c r="J217" s="335"/>
      <c r="K217" s="335"/>
      <c r="L217" s="335"/>
      <c r="M217" s="335"/>
      <c r="N217" s="372"/>
      <c r="O217" s="335"/>
      <c r="P217" s="358"/>
      <c r="Q217" s="363"/>
      <c r="R217" s="5"/>
    </row>
    <row r="218" spans="1:18" ht="15.6" x14ac:dyDescent="0.3">
      <c r="A218" s="351"/>
      <c r="B218" s="261" t="s">
        <v>276</v>
      </c>
      <c r="C218" s="292"/>
      <c r="D218" s="368"/>
      <c r="E218" s="261"/>
      <c r="F218" s="261"/>
      <c r="G218" s="261"/>
      <c r="H218" s="261"/>
      <c r="I218" s="261"/>
      <c r="J218" s="261"/>
      <c r="K218" s="261"/>
      <c r="L218" s="261"/>
      <c r="M218" s="268">
        <v>3</v>
      </c>
      <c r="N218" s="353">
        <v>374</v>
      </c>
      <c r="O218" s="261"/>
      <c r="P218" s="354"/>
      <c r="Q218" s="373"/>
      <c r="R218" s="308"/>
    </row>
    <row r="219" spans="1:18" ht="15.6" x14ac:dyDescent="0.3">
      <c r="A219" s="351"/>
      <c r="B219" s="261" t="s">
        <v>252</v>
      </c>
      <c r="C219" s="292"/>
      <c r="D219" s="368"/>
      <c r="E219" s="261"/>
      <c r="F219" s="261"/>
      <c r="G219" s="261"/>
      <c r="H219" s="261"/>
      <c r="I219" s="261"/>
      <c r="J219" s="261"/>
      <c r="K219" s="261"/>
      <c r="L219" s="261"/>
      <c r="M219" s="261"/>
      <c r="N219" s="369">
        <v>1.1299999999999999</v>
      </c>
      <c r="O219" s="261"/>
      <c r="P219" s="354"/>
      <c r="Q219" s="373"/>
      <c r="R219" s="308"/>
    </row>
    <row r="220" spans="1:18" ht="15.6" x14ac:dyDescent="0.3">
      <c r="A220" s="351"/>
      <c r="B220" s="361"/>
      <c r="C220" s="370"/>
      <c r="D220" s="371"/>
      <c r="E220" s="335"/>
      <c r="F220" s="335"/>
      <c r="G220" s="335"/>
      <c r="H220" s="335"/>
      <c r="I220" s="335"/>
      <c r="J220" s="335"/>
      <c r="K220" s="335"/>
      <c r="L220" s="335"/>
      <c r="M220" s="335"/>
      <c r="N220" s="374"/>
      <c r="O220" s="335"/>
      <c r="P220" s="358"/>
      <c r="Q220" s="363"/>
      <c r="R220" s="5"/>
    </row>
    <row r="221" spans="1:18" ht="17.399999999999999" x14ac:dyDescent="0.3">
      <c r="A221" s="351"/>
      <c r="B221" s="375" t="s">
        <v>244</v>
      </c>
      <c r="C221" s="370"/>
      <c r="D221" s="371"/>
      <c r="E221" s="335"/>
      <c r="F221" s="335"/>
      <c r="G221" s="335"/>
      <c r="H221" s="335"/>
      <c r="I221" s="376"/>
      <c r="J221" s="377" t="s">
        <v>243</v>
      </c>
      <c r="K221" s="335"/>
      <c r="L221" s="335"/>
      <c r="M221" s="335"/>
      <c r="N221" s="374"/>
      <c r="O221" s="335"/>
      <c r="P221" s="358"/>
      <c r="Q221" s="363"/>
      <c r="R221" s="5"/>
    </row>
    <row r="222" spans="1:18" ht="15.6" x14ac:dyDescent="0.3">
      <c r="A222" s="348"/>
      <c r="B222" s="222"/>
      <c r="C222" s="223"/>
      <c r="D222" s="224"/>
      <c r="E222" s="190"/>
      <c r="F222" s="190"/>
      <c r="G222" s="190"/>
      <c r="H222" s="190"/>
      <c r="I222" s="190"/>
      <c r="J222" s="190"/>
      <c r="K222" s="190"/>
      <c r="L222" s="190"/>
      <c r="M222" s="190"/>
      <c r="N222" s="349"/>
      <c r="O222" s="190"/>
      <c r="P222" s="344"/>
      <c r="Q222" s="350"/>
      <c r="R222" s="5"/>
    </row>
    <row r="223" spans="1:18" ht="15.6" x14ac:dyDescent="0.3">
      <c r="A223" s="251"/>
      <c r="B223" s="393" t="s">
        <v>290</v>
      </c>
      <c r="C223" s="395"/>
      <c r="D223" s="400"/>
      <c r="E223" s="395"/>
      <c r="F223" s="395"/>
      <c r="G223" s="395"/>
      <c r="H223" s="395"/>
      <c r="I223" s="395"/>
      <c r="J223" s="395"/>
      <c r="K223" s="395"/>
      <c r="L223" s="400" t="s">
        <v>113</v>
      </c>
      <c r="M223" s="395" t="s">
        <v>114</v>
      </c>
      <c r="N223" s="400" t="s">
        <v>123</v>
      </c>
      <c r="O223" s="395" t="s">
        <v>114</v>
      </c>
      <c r="P223" s="252"/>
      <c r="Q223" s="393"/>
      <c r="R223" s="5"/>
    </row>
    <row r="224" spans="1:18" ht="15.6" x14ac:dyDescent="0.3">
      <c r="A224" s="198"/>
      <c r="B224" s="235" t="s">
        <v>98</v>
      </c>
      <c r="C224" s="309"/>
      <c r="D224" s="230"/>
      <c r="E224" s="309"/>
      <c r="F224" s="309"/>
      <c r="G224" s="309"/>
      <c r="H224" s="309"/>
      <c r="I224" s="309"/>
      <c r="J224" s="309"/>
      <c r="K224" s="309"/>
      <c r="L224" s="330">
        <f t="shared" ref="L224:L231" si="1">+L235+L246+L257</f>
        <v>3345</v>
      </c>
      <c r="M224" s="382">
        <f t="shared" ref="M224:M231" si="2">L224/$L$232</f>
        <v>0.98209042865531415</v>
      </c>
      <c r="N224" s="331">
        <f t="shared" ref="N224:N231" si="3">+N235+N246+N257</f>
        <v>377326</v>
      </c>
      <c r="O224" s="382">
        <f t="shared" ref="O224:O231" si="4">N224/$N$232</f>
        <v>0.97971890522073968</v>
      </c>
      <c r="P224" s="306"/>
      <c r="Q224" s="233"/>
      <c r="R224" s="5"/>
    </row>
    <row r="225" spans="1:18" ht="15.6" x14ac:dyDescent="0.3">
      <c r="A225" s="260"/>
      <c r="B225" s="330" t="s">
        <v>99</v>
      </c>
      <c r="C225" s="381"/>
      <c r="D225" s="261"/>
      <c r="E225" s="382"/>
      <c r="F225" s="381"/>
      <c r="G225" s="381"/>
      <c r="H225" s="381"/>
      <c r="I225" s="381"/>
      <c r="J225" s="381"/>
      <c r="K225" s="381"/>
      <c r="L225" s="330">
        <f t="shared" si="1"/>
        <v>33</v>
      </c>
      <c r="M225" s="382">
        <f t="shared" si="2"/>
        <v>9.6887844979448041E-3</v>
      </c>
      <c r="N225" s="331">
        <f t="shared" si="3"/>
        <v>5600</v>
      </c>
      <c r="O225" s="382">
        <f t="shared" si="4"/>
        <v>1.4540280471624383E-2</v>
      </c>
      <c r="P225" s="354"/>
      <c r="Q225" s="373"/>
      <c r="R225" s="5"/>
    </row>
    <row r="226" spans="1:18" ht="15.6" x14ac:dyDescent="0.3">
      <c r="A226" s="260"/>
      <c r="B226" s="330" t="s">
        <v>100</v>
      </c>
      <c r="C226" s="381"/>
      <c r="D226" s="261"/>
      <c r="E226" s="382"/>
      <c r="F226" s="381"/>
      <c r="G226" s="381"/>
      <c r="H226" s="381"/>
      <c r="I226" s="381"/>
      <c r="J226" s="381"/>
      <c r="K226" s="381"/>
      <c r="L226" s="330">
        <f t="shared" si="1"/>
        <v>8</v>
      </c>
      <c r="M226" s="382">
        <f t="shared" si="2"/>
        <v>2.3487962419260129E-3</v>
      </c>
      <c r="N226" s="331">
        <f t="shared" si="3"/>
        <v>534</v>
      </c>
      <c r="O226" s="382">
        <f t="shared" si="4"/>
        <v>1.3865196021156107E-3</v>
      </c>
      <c r="P226" s="354"/>
      <c r="Q226" s="373"/>
      <c r="R226" s="5"/>
    </row>
    <row r="227" spans="1:18" ht="15.6" x14ac:dyDescent="0.3">
      <c r="A227" s="260"/>
      <c r="B227" s="330" t="s">
        <v>227</v>
      </c>
      <c r="C227" s="381"/>
      <c r="D227" s="261"/>
      <c r="E227" s="382"/>
      <c r="F227" s="381"/>
      <c r="G227" s="381"/>
      <c r="H227" s="381"/>
      <c r="I227" s="381"/>
      <c r="J227" s="381"/>
      <c r="K227" s="381"/>
      <c r="L227" s="330">
        <f t="shared" si="1"/>
        <v>6</v>
      </c>
      <c r="M227" s="382">
        <f t="shared" si="2"/>
        <v>1.7615971814445098E-3</v>
      </c>
      <c r="N227" s="331">
        <f t="shared" si="3"/>
        <v>356</v>
      </c>
      <c r="O227" s="382">
        <f t="shared" si="4"/>
        <v>9.2434640141040724E-4</v>
      </c>
      <c r="P227" s="354"/>
      <c r="Q227" s="373"/>
      <c r="R227" s="5"/>
    </row>
    <row r="228" spans="1:18" ht="15.6" x14ac:dyDescent="0.3">
      <c r="A228" s="260"/>
      <c r="B228" s="330" t="s">
        <v>228</v>
      </c>
      <c r="C228" s="381"/>
      <c r="D228" s="261"/>
      <c r="E228" s="382"/>
      <c r="F228" s="381"/>
      <c r="G228" s="381"/>
      <c r="H228" s="381"/>
      <c r="I228" s="381"/>
      <c r="J228" s="381"/>
      <c r="K228" s="381"/>
      <c r="L228" s="330">
        <f t="shared" si="1"/>
        <v>3</v>
      </c>
      <c r="M228" s="382">
        <f t="shared" si="2"/>
        <v>8.8079859072225488E-4</v>
      </c>
      <c r="N228" s="331">
        <f t="shared" si="3"/>
        <v>117</v>
      </c>
      <c r="O228" s="382">
        <f t="shared" si="4"/>
        <v>3.0378800271072372E-4</v>
      </c>
      <c r="P228" s="354"/>
      <c r="Q228" s="373"/>
      <c r="R228" s="5"/>
    </row>
    <row r="229" spans="1:18" ht="15.6" x14ac:dyDescent="0.3">
      <c r="A229" s="260"/>
      <c r="B229" s="330" t="s">
        <v>229</v>
      </c>
      <c r="C229" s="381"/>
      <c r="D229" s="261"/>
      <c r="E229" s="382"/>
      <c r="F229" s="381"/>
      <c r="G229" s="381"/>
      <c r="H229" s="381"/>
      <c r="I229" s="381"/>
      <c r="J229" s="381"/>
      <c r="K229" s="381"/>
      <c r="L229" s="330">
        <f t="shared" si="1"/>
        <v>1</v>
      </c>
      <c r="M229" s="382">
        <f t="shared" si="2"/>
        <v>2.9359953024075161E-4</v>
      </c>
      <c r="N229" s="331">
        <f t="shared" si="3"/>
        <v>22</v>
      </c>
      <c r="O229" s="382">
        <f t="shared" si="4"/>
        <v>5.712253042423865E-5</v>
      </c>
      <c r="P229" s="354"/>
      <c r="Q229" s="373"/>
      <c r="R229" s="5"/>
    </row>
    <row r="230" spans="1:18" ht="15.6" x14ac:dyDescent="0.3">
      <c r="A230" s="260"/>
      <c r="B230" s="330" t="s">
        <v>230</v>
      </c>
      <c r="C230" s="381"/>
      <c r="D230" s="261"/>
      <c r="E230" s="382"/>
      <c r="F230" s="381"/>
      <c r="G230" s="381"/>
      <c r="H230" s="381"/>
      <c r="I230" s="381"/>
      <c r="J230" s="381"/>
      <c r="K230" s="381"/>
      <c r="L230" s="330">
        <f t="shared" si="1"/>
        <v>4</v>
      </c>
      <c r="M230" s="382">
        <f t="shared" si="2"/>
        <v>1.1743981209630064E-3</v>
      </c>
      <c r="N230" s="331">
        <f t="shared" si="3"/>
        <v>122</v>
      </c>
      <c r="O230" s="382">
        <f t="shared" si="4"/>
        <v>3.1677039598895979E-4</v>
      </c>
      <c r="P230" s="354"/>
      <c r="Q230" s="373"/>
      <c r="R230" s="5"/>
    </row>
    <row r="231" spans="1:18" ht="15.6" x14ac:dyDescent="0.3">
      <c r="A231" s="260"/>
      <c r="B231" s="330" t="s">
        <v>231</v>
      </c>
      <c r="C231" s="381"/>
      <c r="D231" s="261"/>
      <c r="E231" s="382"/>
      <c r="F231" s="381"/>
      <c r="G231" s="381"/>
      <c r="H231" s="381"/>
      <c r="I231" s="381"/>
      <c r="J231" s="381"/>
      <c r="K231" s="381"/>
      <c r="L231" s="330">
        <f t="shared" si="1"/>
        <v>6</v>
      </c>
      <c r="M231" s="382">
        <f t="shared" si="2"/>
        <v>1.7615971814445098E-3</v>
      </c>
      <c r="N231" s="331">
        <f t="shared" si="3"/>
        <v>1060</v>
      </c>
      <c r="O231" s="382">
        <f t="shared" si="4"/>
        <v>2.752267374986044E-3</v>
      </c>
      <c r="P231" s="354"/>
      <c r="Q231" s="373"/>
      <c r="R231" s="5"/>
    </row>
    <row r="232" spans="1:18" ht="15.6" x14ac:dyDescent="0.3">
      <c r="A232" s="260"/>
      <c r="B232" s="261" t="s">
        <v>129</v>
      </c>
      <c r="C232" s="261"/>
      <c r="D232" s="261"/>
      <c r="E232" s="261"/>
      <c r="F232" s="383"/>
      <c r="G232" s="383"/>
      <c r="H232" s="383"/>
      <c r="I232" s="383"/>
      <c r="J232" s="383"/>
      <c r="K232" s="383"/>
      <c r="L232" s="330">
        <f>SUM(L224:L231)</f>
        <v>3406</v>
      </c>
      <c r="M232" s="382">
        <f>SUM(M224:M231)</f>
        <v>1</v>
      </c>
      <c r="N232" s="330">
        <f>SUM(N224:N231)</f>
        <v>385137</v>
      </c>
      <c r="O232" s="382">
        <f>SUM(O224:O231)</f>
        <v>1</v>
      </c>
      <c r="P232" s="261"/>
      <c r="Q232" s="264"/>
      <c r="R232" s="5"/>
    </row>
    <row r="233" spans="1:18" ht="15.6" x14ac:dyDescent="0.3">
      <c r="A233" s="348"/>
      <c r="B233" s="222"/>
      <c r="C233" s="223"/>
      <c r="D233" s="224"/>
      <c r="E233" s="190"/>
      <c r="F233" s="190"/>
      <c r="G233" s="190"/>
      <c r="H233" s="190"/>
      <c r="I233" s="190"/>
      <c r="J233" s="190"/>
      <c r="K233" s="190"/>
      <c r="L233" s="190"/>
      <c r="M233" s="190"/>
      <c r="N233" s="349"/>
      <c r="O233" s="190"/>
      <c r="P233" s="344"/>
      <c r="Q233" s="350"/>
      <c r="R233" s="5"/>
    </row>
    <row r="234" spans="1:18" ht="15.6" x14ac:dyDescent="0.3">
      <c r="A234" s="251"/>
      <c r="B234" s="393" t="s">
        <v>236</v>
      </c>
      <c r="C234" s="395"/>
      <c r="D234" s="400"/>
      <c r="E234" s="395"/>
      <c r="F234" s="395"/>
      <c r="G234" s="395"/>
      <c r="H234" s="395"/>
      <c r="I234" s="395"/>
      <c r="J234" s="395"/>
      <c r="K234" s="395"/>
      <c r="L234" s="400" t="s">
        <v>113</v>
      </c>
      <c r="M234" s="395" t="s">
        <v>114</v>
      </c>
      <c r="N234" s="400" t="s">
        <v>123</v>
      </c>
      <c r="O234" s="395" t="s">
        <v>114</v>
      </c>
      <c r="P234" s="252"/>
      <c r="Q234" s="393"/>
      <c r="R234" s="5"/>
    </row>
    <row r="235" spans="1:18" ht="15.6" x14ac:dyDescent="0.3">
      <c r="A235" s="198"/>
      <c r="B235" s="235" t="s">
        <v>98</v>
      </c>
      <c r="C235" s="309"/>
      <c r="D235" s="230"/>
      <c r="E235" s="309"/>
      <c r="F235" s="309"/>
      <c r="G235" s="309"/>
      <c r="H235" s="309"/>
      <c r="I235" s="309"/>
      <c r="J235" s="309"/>
      <c r="K235" s="309"/>
      <c r="L235" s="235">
        <v>3301</v>
      </c>
      <c r="M235" s="310">
        <f t="shared" ref="M235:M242" si="5">L235/$L$243</f>
        <v>0.98566736339205729</v>
      </c>
      <c r="N235" s="300">
        <v>369959</v>
      </c>
      <c r="O235" s="310">
        <f t="shared" ref="O235:O242" si="6">N235/$N$243</f>
        <v>0.98454361346259789</v>
      </c>
      <c r="P235" s="306"/>
      <c r="Q235" s="233"/>
      <c r="R235" s="5"/>
    </row>
    <row r="236" spans="1:18" ht="15.6" x14ac:dyDescent="0.3">
      <c r="A236" s="260"/>
      <c r="B236" s="330" t="s">
        <v>99</v>
      </c>
      <c r="C236" s="381"/>
      <c r="D236" s="261"/>
      <c r="E236" s="382"/>
      <c r="F236" s="381"/>
      <c r="G236" s="381"/>
      <c r="H236" s="381"/>
      <c r="I236" s="381"/>
      <c r="J236" s="381"/>
      <c r="K236" s="381"/>
      <c r="L236" s="330">
        <v>29</v>
      </c>
      <c r="M236" s="382">
        <f t="shared" si="5"/>
        <v>8.6593012839653628E-3</v>
      </c>
      <c r="N236" s="331">
        <v>5078</v>
      </c>
      <c r="O236" s="382">
        <f t="shared" si="6"/>
        <v>1.3513693325917391E-2</v>
      </c>
      <c r="P236" s="354"/>
      <c r="Q236" s="373"/>
      <c r="R236" s="5"/>
    </row>
    <row r="237" spans="1:18" ht="15.6" x14ac:dyDescent="0.3">
      <c r="A237" s="260"/>
      <c r="B237" s="330" t="s">
        <v>100</v>
      </c>
      <c r="C237" s="381"/>
      <c r="D237" s="261"/>
      <c r="E237" s="382"/>
      <c r="F237" s="381"/>
      <c r="G237" s="381"/>
      <c r="H237" s="381"/>
      <c r="I237" s="381"/>
      <c r="J237" s="381"/>
      <c r="K237" s="381"/>
      <c r="L237" s="330">
        <v>6</v>
      </c>
      <c r="M237" s="382">
        <f t="shared" si="5"/>
        <v>1.7915795759928337E-3</v>
      </c>
      <c r="N237" s="331">
        <v>268</v>
      </c>
      <c r="O237" s="382">
        <f t="shared" si="6"/>
        <v>7.1320791873687682E-4</v>
      </c>
      <c r="P237" s="354"/>
      <c r="Q237" s="373"/>
      <c r="R237" s="5"/>
    </row>
    <row r="238" spans="1:18" ht="15.6" x14ac:dyDescent="0.3">
      <c r="A238" s="260"/>
      <c r="B238" s="330" t="s">
        <v>227</v>
      </c>
      <c r="C238" s="381"/>
      <c r="D238" s="261"/>
      <c r="E238" s="382"/>
      <c r="F238" s="381"/>
      <c r="G238" s="381"/>
      <c r="H238" s="381"/>
      <c r="I238" s="381"/>
      <c r="J238" s="381"/>
      <c r="K238" s="381"/>
      <c r="L238" s="330">
        <v>4</v>
      </c>
      <c r="M238" s="382">
        <f t="shared" si="5"/>
        <v>1.1943863839952225E-3</v>
      </c>
      <c r="N238" s="331">
        <v>160</v>
      </c>
      <c r="O238" s="382">
        <f t="shared" si="6"/>
        <v>4.2579577238022496E-4</v>
      </c>
      <c r="P238" s="354"/>
      <c r="Q238" s="373"/>
      <c r="R238" s="5"/>
    </row>
    <row r="239" spans="1:18" ht="15.6" x14ac:dyDescent="0.3">
      <c r="A239" s="260"/>
      <c r="B239" s="330" t="s">
        <v>228</v>
      </c>
      <c r="C239" s="381"/>
      <c r="D239" s="261"/>
      <c r="E239" s="382"/>
      <c r="F239" s="381"/>
      <c r="G239" s="381"/>
      <c r="H239" s="381"/>
      <c r="I239" s="381"/>
      <c r="J239" s="381"/>
      <c r="K239" s="381"/>
      <c r="L239" s="330">
        <v>3</v>
      </c>
      <c r="M239" s="382">
        <f t="shared" si="5"/>
        <v>8.9578978799641684E-4</v>
      </c>
      <c r="N239" s="331">
        <v>117</v>
      </c>
      <c r="O239" s="382">
        <f t="shared" si="6"/>
        <v>3.1136315855303951E-4</v>
      </c>
      <c r="P239" s="354"/>
      <c r="Q239" s="373"/>
      <c r="R239" s="5"/>
    </row>
    <row r="240" spans="1:18" ht="15.6" x14ac:dyDescent="0.3">
      <c r="A240" s="260"/>
      <c r="B240" s="330" t="s">
        <v>229</v>
      </c>
      <c r="C240" s="381"/>
      <c r="D240" s="261"/>
      <c r="E240" s="382"/>
      <c r="F240" s="381"/>
      <c r="G240" s="381"/>
      <c r="H240" s="381"/>
      <c r="I240" s="381"/>
      <c r="J240" s="381"/>
      <c r="K240" s="381"/>
      <c r="L240" s="330">
        <v>1</v>
      </c>
      <c r="M240" s="382">
        <f t="shared" si="5"/>
        <v>2.9859659599880563E-4</v>
      </c>
      <c r="N240" s="331">
        <v>22</v>
      </c>
      <c r="O240" s="382">
        <f t="shared" si="6"/>
        <v>5.8546918702280935E-5</v>
      </c>
      <c r="P240" s="354"/>
      <c r="Q240" s="373"/>
      <c r="R240" s="5"/>
    </row>
    <row r="241" spans="1:18" ht="15.6" x14ac:dyDescent="0.3">
      <c r="A241" s="260"/>
      <c r="B241" s="330" t="s">
        <v>230</v>
      </c>
      <c r="C241" s="381"/>
      <c r="D241" s="261"/>
      <c r="E241" s="382"/>
      <c r="F241" s="381"/>
      <c r="G241" s="381"/>
      <c r="H241" s="381"/>
      <c r="I241" s="381"/>
      <c r="J241" s="381"/>
      <c r="K241" s="381"/>
      <c r="L241" s="330">
        <v>4</v>
      </c>
      <c r="M241" s="382">
        <f t="shared" si="5"/>
        <v>1.1943863839952225E-3</v>
      </c>
      <c r="N241" s="331">
        <v>122</v>
      </c>
      <c r="O241" s="382">
        <f t="shared" si="6"/>
        <v>3.2466927643992155E-4</v>
      </c>
      <c r="P241" s="354"/>
      <c r="Q241" s="373"/>
      <c r="R241" s="5"/>
    </row>
    <row r="242" spans="1:18" ht="15.6" x14ac:dyDescent="0.3">
      <c r="A242" s="260"/>
      <c r="B242" s="330" t="s">
        <v>231</v>
      </c>
      <c r="C242" s="381"/>
      <c r="D242" s="261"/>
      <c r="E242" s="382"/>
      <c r="F242" s="381"/>
      <c r="G242" s="381"/>
      <c r="H242" s="381"/>
      <c r="I242" s="381"/>
      <c r="J242" s="381"/>
      <c r="K242" s="381"/>
      <c r="L242" s="330">
        <v>1</v>
      </c>
      <c r="M242" s="382">
        <f t="shared" si="5"/>
        <v>2.9859659599880563E-4</v>
      </c>
      <c r="N242" s="331">
        <v>41</v>
      </c>
      <c r="O242" s="382">
        <f t="shared" si="6"/>
        <v>1.0911016667243265E-4</v>
      </c>
      <c r="P242" s="354"/>
      <c r="Q242" s="373"/>
      <c r="R242" s="5"/>
    </row>
    <row r="243" spans="1:18" ht="15.6" x14ac:dyDescent="0.3">
      <c r="A243" s="260"/>
      <c r="B243" s="261" t="s">
        <v>129</v>
      </c>
      <c r="C243" s="261"/>
      <c r="D243" s="261"/>
      <c r="E243" s="261"/>
      <c r="F243" s="383"/>
      <c r="G243" s="383"/>
      <c r="H243" s="383"/>
      <c r="I243" s="383"/>
      <c r="J243" s="383"/>
      <c r="K243" s="383"/>
      <c r="L243" s="330">
        <f>SUM(L235:L242)</f>
        <v>3349</v>
      </c>
      <c r="M243" s="382">
        <f>SUM(M235:M242)</f>
        <v>1.0000000000000002</v>
      </c>
      <c r="N243" s="331">
        <f>SUM(N235:N242)</f>
        <v>375767</v>
      </c>
      <c r="O243" s="382">
        <f>SUM(O235:O242)</f>
        <v>1</v>
      </c>
      <c r="P243" s="261"/>
      <c r="Q243" s="264"/>
      <c r="R243" s="5"/>
    </row>
    <row r="244" spans="1:18" ht="15.6" x14ac:dyDescent="0.3">
      <c r="A244" s="183"/>
      <c r="B244" s="257"/>
      <c r="C244" s="257"/>
      <c r="D244" s="257"/>
      <c r="E244" s="257"/>
      <c r="F244" s="378"/>
      <c r="G244" s="378"/>
      <c r="H244" s="378"/>
      <c r="I244" s="378"/>
      <c r="J244" s="378"/>
      <c r="K244" s="378"/>
      <c r="L244" s="302"/>
      <c r="M244" s="379"/>
      <c r="N244" s="380"/>
      <c r="O244" s="379"/>
      <c r="P244" s="257"/>
      <c r="Q244" s="257"/>
      <c r="R244" s="5"/>
    </row>
    <row r="245" spans="1:18" ht="15.6" x14ac:dyDescent="0.3">
      <c r="A245" s="316"/>
      <c r="B245" s="393" t="s">
        <v>238</v>
      </c>
      <c r="C245" s="395"/>
      <c r="D245" s="400"/>
      <c r="E245" s="395"/>
      <c r="F245" s="395"/>
      <c r="G245" s="395"/>
      <c r="H245" s="395"/>
      <c r="I245" s="395"/>
      <c r="J245" s="395"/>
      <c r="K245" s="395"/>
      <c r="L245" s="400" t="s">
        <v>113</v>
      </c>
      <c r="M245" s="395" t="s">
        <v>114</v>
      </c>
      <c r="N245" s="400" t="s">
        <v>123</v>
      </c>
      <c r="O245" s="395" t="s">
        <v>114</v>
      </c>
      <c r="P245" s="252"/>
      <c r="Q245" s="321"/>
      <c r="R245" s="5"/>
    </row>
    <row r="246" spans="1:18" ht="15.6" x14ac:dyDescent="0.3">
      <c r="A246" s="198"/>
      <c r="B246" s="235" t="s">
        <v>98</v>
      </c>
      <c r="C246" s="309"/>
      <c r="D246" s="230"/>
      <c r="E246" s="309"/>
      <c r="F246" s="309"/>
      <c r="G246" s="309"/>
      <c r="H246" s="309"/>
      <c r="I246" s="309"/>
      <c r="J246" s="309"/>
      <c r="K246" s="309"/>
      <c r="L246" s="235">
        <v>44</v>
      </c>
      <c r="M246" s="310">
        <f t="shared" ref="M246:M253" si="7">L246/$L$254</f>
        <v>0.77192982456140347</v>
      </c>
      <c r="N246" s="300">
        <v>7367</v>
      </c>
      <c r="O246" s="310">
        <f t="shared" ref="O246:O253" si="8">N246/$N$254</f>
        <v>0.7862326574172892</v>
      </c>
      <c r="P246" s="306"/>
      <c r="Q246" s="230"/>
      <c r="R246" s="5"/>
    </row>
    <row r="247" spans="1:18" ht="15.6" x14ac:dyDescent="0.3">
      <c r="A247" s="260"/>
      <c r="B247" s="330" t="s">
        <v>99</v>
      </c>
      <c r="C247" s="381"/>
      <c r="D247" s="261"/>
      <c r="E247" s="382"/>
      <c r="F247" s="381"/>
      <c r="G247" s="381"/>
      <c r="H247" s="381"/>
      <c r="I247" s="381"/>
      <c r="J247" s="381"/>
      <c r="K247" s="381"/>
      <c r="L247" s="330">
        <v>4</v>
      </c>
      <c r="M247" s="382">
        <f t="shared" si="7"/>
        <v>7.0175438596491224E-2</v>
      </c>
      <c r="N247" s="331">
        <v>522</v>
      </c>
      <c r="O247" s="382">
        <f t="shared" si="8"/>
        <v>5.5709711846318039E-2</v>
      </c>
      <c r="P247" s="354"/>
      <c r="Q247" s="264"/>
      <c r="R247" s="5"/>
    </row>
    <row r="248" spans="1:18" ht="15.6" x14ac:dyDescent="0.3">
      <c r="A248" s="260"/>
      <c r="B248" s="330" t="s">
        <v>100</v>
      </c>
      <c r="C248" s="381"/>
      <c r="D248" s="261"/>
      <c r="E248" s="382"/>
      <c r="F248" s="381"/>
      <c r="G248" s="381"/>
      <c r="H248" s="381"/>
      <c r="I248" s="381"/>
      <c r="J248" s="381"/>
      <c r="K248" s="381"/>
      <c r="L248" s="330">
        <v>2</v>
      </c>
      <c r="M248" s="382">
        <f t="shared" si="7"/>
        <v>3.5087719298245612E-2</v>
      </c>
      <c r="N248" s="331">
        <v>266</v>
      </c>
      <c r="O248" s="382">
        <f t="shared" si="8"/>
        <v>2.838847385272145E-2</v>
      </c>
      <c r="P248" s="354"/>
      <c r="Q248" s="264"/>
      <c r="R248" s="5"/>
    </row>
    <row r="249" spans="1:18" ht="15.6" x14ac:dyDescent="0.3">
      <c r="A249" s="260"/>
      <c r="B249" s="330" t="s">
        <v>227</v>
      </c>
      <c r="C249" s="381"/>
      <c r="D249" s="261"/>
      <c r="E249" s="382"/>
      <c r="F249" s="381"/>
      <c r="G249" s="381"/>
      <c r="H249" s="381"/>
      <c r="I249" s="381"/>
      <c r="J249" s="381"/>
      <c r="K249" s="381"/>
      <c r="L249" s="330">
        <v>2</v>
      </c>
      <c r="M249" s="382">
        <f t="shared" si="7"/>
        <v>3.5087719298245612E-2</v>
      </c>
      <c r="N249" s="331">
        <v>196</v>
      </c>
      <c r="O249" s="382">
        <f t="shared" si="8"/>
        <v>2.0917822838847386E-2</v>
      </c>
      <c r="P249" s="354"/>
      <c r="Q249" s="264"/>
      <c r="R249" s="5"/>
    </row>
    <row r="250" spans="1:18" ht="15.6" x14ac:dyDescent="0.3">
      <c r="A250" s="260"/>
      <c r="B250" s="330" t="s">
        <v>228</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229</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230</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231</v>
      </c>
      <c r="C253" s="381"/>
      <c r="D253" s="261"/>
      <c r="E253" s="382"/>
      <c r="F253" s="381"/>
      <c r="G253" s="381"/>
      <c r="H253" s="381"/>
      <c r="I253" s="381"/>
      <c r="J253" s="381"/>
      <c r="K253" s="381"/>
      <c r="L253" s="330">
        <v>5</v>
      </c>
      <c r="M253" s="382">
        <f t="shared" si="7"/>
        <v>8.771929824561403E-2</v>
      </c>
      <c r="N253" s="331">
        <v>1019</v>
      </c>
      <c r="O253" s="382">
        <f t="shared" si="8"/>
        <v>0.1087513340448239</v>
      </c>
      <c r="P253" s="354"/>
      <c r="Q253" s="264"/>
      <c r="R253" s="5"/>
    </row>
    <row r="254" spans="1:18" ht="15.6" x14ac:dyDescent="0.3">
      <c r="A254" s="260"/>
      <c r="B254" s="261" t="s">
        <v>129</v>
      </c>
      <c r="C254" s="261"/>
      <c r="D254" s="261"/>
      <c r="E254" s="261"/>
      <c r="F254" s="383"/>
      <c r="G254" s="383"/>
      <c r="H254" s="383"/>
      <c r="I254" s="383"/>
      <c r="J254" s="383"/>
      <c r="K254" s="383"/>
      <c r="L254" s="330">
        <f>SUM(L246:L253)</f>
        <v>57</v>
      </c>
      <c r="M254" s="382">
        <f>SUM(M246:M253)</f>
        <v>1</v>
      </c>
      <c r="N254" s="331">
        <f>SUM(N246:N253)</f>
        <v>9370</v>
      </c>
      <c r="O254" s="382">
        <f>SUM(O246:O253)</f>
        <v>1</v>
      </c>
      <c r="P254" s="261"/>
      <c r="Q254" s="264"/>
      <c r="R254" s="5"/>
    </row>
    <row r="255" spans="1:18" ht="15.6" x14ac:dyDescent="0.3">
      <c r="A255" s="183"/>
      <c r="B255" s="257"/>
      <c r="C255" s="257"/>
      <c r="D255" s="257"/>
      <c r="E255" s="257"/>
      <c r="F255" s="378"/>
      <c r="G255" s="378"/>
      <c r="H255" s="378"/>
      <c r="I255" s="378"/>
      <c r="J255" s="378"/>
      <c r="K255" s="378"/>
      <c r="L255" s="302"/>
      <c r="M255" s="379"/>
      <c r="N255" s="380"/>
      <c r="O255" s="379"/>
      <c r="P255" s="257"/>
      <c r="Q255" s="257"/>
      <c r="R255" s="5"/>
    </row>
    <row r="256" spans="1:18" ht="15.6" x14ac:dyDescent="0.3">
      <c r="A256" s="316"/>
      <c r="B256" s="393" t="s">
        <v>239</v>
      </c>
      <c r="C256" s="395"/>
      <c r="D256" s="400"/>
      <c r="E256" s="395"/>
      <c r="F256" s="395"/>
      <c r="G256" s="395"/>
      <c r="H256" s="395"/>
      <c r="I256" s="395"/>
      <c r="J256" s="395"/>
      <c r="K256" s="395"/>
      <c r="L256" s="400" t="s">
        <v>113</v>
      </c>
      <c r="M256" s="395" t="s">
        <v>114</v>
      </c>
      <c r="N256" s="400" t="s">
        <v>123</v>
      </c>
      <c r="O256" s="395" t="s">
        <v>114</v>
      </c>
      <c r="P256" s="320"/>
      <c r="Q256" s="321"/>
      <c r="R256" s="5"/>
    </row>
    <row r="257" spans="1:18" ht="15.6" x14ac:dyDescent="0.3">
      <c r="A257" s="198"/>
      <c r="B257" s="235" t="s">
        <v>98</v>
      </c>
      <c r="C257" s="309"/>
      <c r="D257" s="230"/>
      <c r="E257" s="309"/>
      <c r="F257" s="309"/>
      <c r="G257" s="309"/>
      <c r="H257" s="309"/>
      <c r="I257" s="309"/>
      <c r="J257" s="309"/>
      <c r="K257" s="309"/>
      <c r="L257" s="235">
        <v>0</v>
      </c>
      <c r="M257" s="310">
        <v>0</v>
      </c>
      <c r="N257" s="300">
        <v>0</v>
      </c>
      <c r="O257" s="310">
        <v>0</v>
      </c>
      <c r="P257" s="230"/>
      <c r="Q257" s="230"/>
      <c r="R257" s="5"/>
    </row>
    <row r="258" spans="1:18" ht="15.6" x14ac:dyDescent="0.3">
      <c r="A258" s="260"/>
      <c r="B258" s="330" t="s">
        <v>99</v>
      </c>
      <c r="C258" s="381"/>
      <c r="D258" s="261"/>
      <c r="E258" s="382"/>
      <c r="F258" s="381"/>
      <c r="G258" s="381"/>
      <c r="H258" s="381"/>
      <c r="I258" s="381"/>
      <c r="J258" s="381"/>
      <c r="K258" s="381"/>
      <c r="L258" s="330">
        <v>0</v>
      </c>
      <c r="M258" s="382">
        <v>0</v>
      </c>
      <c r="N258" s="331">
        <v>0</v>
      </c>
      <c r="O258" s="382">
        <v>0</v>
      </c>
      <c r="P258" s="261"/>
      <c r="Q258" s="264"/>
      <c r="R258" s="5"/>
    </row>
    <row r="259" spans="1:18" ht="15.6" x14ac:dyDescent="0.3">
      <c r="A259" s="260"/>
      <c r="B259" s="330" t="s">
        <v>100</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227</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228</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229</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230</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231</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261" t="s">
        <v>129</v>
      </c>
      <c r="C265" s="261"/>
      <c r="D265" s="261"/>
      <c r="E265" s="261"/>
      <c r="F265" s="383"/>
      <c r="G265" s="383"/>
      <c r="H265" s="383"/>
      <c r="I265" s="383"/>
      <c r="J265" s="383"/>
      <c r="K265" s="383"/>
      <c r="L265" s="330">
        <f>SUM(L257:L264)</f>
        <v>0</v>
      </c>
      <c r="M265" s="382">
        <v>0</v>
      </c>
      <c r="N265" s="331">
        <f>SUM(N257:N264)</f>
        <v>0</v>
      </c>
      <c r="O265" s="382">
        <v>0</v>
      </c>
      <c r="P265" s="261"/>
      <c r="Q265" s="264"/>
      <c r="R265" s="5"/>
    </row>
    <row r="266" spans="1:18" ht="15.6" x14ac:dyDescent="0.3">
      <c r="A266" s="260"/>
      <c r="B266" s="261"/>
      <c r="C266" s="261"/>
      <c r="D266" s="261"/>
      <c r="E266" s="261"/>
      <c r="F266" s="383"/>
      <c r="G266" s="383"/>
      <c r="H266" s="383"/>
      <c r="I266" s="383"/>
      <c r="J266" s="383"/>
      <c r="K266" s="383"/>
      <c r="L266" s="330"/>
      <c r="M266" s="382"/>
      <c r="N266" s="331"/>
      <c r="O266" s="382"/>
      <c r="P266" s="261"/>
      <c r="Q266" s="264"/>
      <c r="R266" s="5"/>
    </row>
    <row r="267" spans="1:18" ht="15.6" x14ac:dyDescent="0.3">
      <c r="A267" s="260"/>
      <c r="B267" s="266" t="s">
        <v>240</v>
      </c>
      <c r="C267" s="261"/>
      <c r="D267" s="261"/>
      <c r="E267" s="261"/>
      <c r="F267" s="383"/>
      <c r="G267" s="383"/>
      <c r="H267" s="383"/>
      <c r="I267" s="383"/>
      <c r="J267" s="383"/>
      <c r="K267" s="383"/>
      <c r="L267" s="401">
        <f>+L243+L254+L265</f>
        <v>3406</v>
      </c>
      <c r="M267" s="382"/>
      <c r="N267" s="386">
        <f>+N265+N254+N243</f>
        <v>385137</v>
      </c>
      <c r="O267" s="382"/>
      <c r="P267" s="261"/>
      <c r="Q267" s="264"/>
      <c r="R267" s="5"/>
    </row>
    <row r="268" spans="1:18" ht="15.6" x14ac:dyDescent="0.3">
      <c r="A268" s="183"/>
      <c r="B268" s="257"/>
      <c r="C268" s="257"/>
      <c r="D268" s="257"/>
      <c r="E268" s="257"/>
      <c r="F268" s="378"/>
      <c r="G268" s="378"/>
      <c r="H268" s="378"/>
      <c r="I268" s="378"/>
      <c r="J268" s="378"/>
      <c r="K268" s="378"/>
      <c r="L268" s="378"/>
      <c r="M268" s="378"/>
      <c r="N268" s="380"/>
      <c r="O268" s="378"/>
      <c r="P268" s="257"/>
      <c r="Q268" s="257"/>
      <c r="R268" s="5"/>
    </row>
    <row r="269" spans="1:18" ht="15.6" x14ac:dyDescent="0.3">
      <c r="A269" s="183"/>
      <c r="B269" s="236"/>
      <c r="C269" s="236"/>
      <c r="D269" s="236"/>
      <c r="E269" s="236"/>
      <c r="F269" s="311"/>
      <c r="G269" s="311"/>
      <c r="H269" s="311"/>
      <c r="I269" s="311"/>
      <c r="J269" s="311"/>
      <c r="K269" s="311"/>
      <c r="L269" s="311"/>
      <c r="M269" s="311"/>
      <c r="N269" s="312"/>
      <c r="O269" s="311"/>
      <c r="P269" s="236"/>
      <c r="Q269" s="236"/>
      <c r="R269" s="5"/>
    </row>
    <row r="270" spans="1:18" ht="15.6" x14ac:dyDescent="0.3">
      <c r="A270" s="225"/>
      <c r="B270" s="228" t="s">
        <v>102</v>
      </c>
      <c r="C270" s="236"/>
      <c r="D270" s="236"/>
      <c r="E270" s="236"/>
      <c r="F270" s="246" t="s">
        <v>108</v>
      </c>
      <c r="G270" s="236"/>
      <c r="H270" s="228" t="s">
        <v>110</v>
      </c>
      <c r="I270" s="249"/>
      <c r="J270" s="249"/>
      <c r="K270" s="249"/>
      <c r="L270" s="249"/>
      <c r="M270" s="249"/>
      <c r="N270" s="249"/>
      <c r="O270" s="249"/>
      <c r="P270" s="249"/>
      <c r="Q270" s="249"/>
      <c r="R270" s="5"/>
    </row>
    <row r="271" spans="1:18" ht="15.6" x14ac:dyDescent="0.3">
      <c r="A271" s="225"/>
      <c r="B271" s="249"/>
      <c r="C271" s="236"/>
      <c r="D271" s="236"/>
      <c r="E271" s="236"/>
      <c r="F271" s="236"/>
      <c r="G271" s="236"/>
      <c r="H271" s="236"/>
      <c r="I271" s="249"/>
      <c r="J271" s="249"/>
      <c r="K271" s="249"/>
      <c r="L271" s="249"/>
      <c r="M271" s="249"/>
      <c r="N271" s="249"/>
      <c r="O271" s="249"/>
      <c r="P271" s="249"/>
      <c r="Q271" s="249"/>
      <c r="R271" s="5"/>
    </row>
    <row r="272" spans="1:18" ht="15.6" x14ac:dyDescent="0.3">
      <c r="A272" s="225"/>
      <c r="B272" s="228" t="s">
        <v>103</v>
      </c>
      <c r="C272" s="228"/>
      <c r="D272" s="228"/>
      <c r="E272" s="228"/>
      <c r="F272" s="313" t="s">
        <v>212</v>
      </c>
      <c r="G272" s="228"/>
      <c r="H272" s="228" t="s">
        <v>222</v>
      </c>
      <c r="I272" s="249"/>
      <c r="J272" s="249"/>
      <c r="K272" s="249"/>
      <c r="L272" s="249"/>
      <c r="M272" s="249"/>
      <c r="N272" s="249"/>
      <c r="O272" s="249"/>
      <c r="P272" s="249"/>
      <c r="Q272" s="249"/>
      <c r="R272" s="5"/>
    </row>
    <row r="273" spans="1:18" ht="15.6" x14ac:dyDescent="0.3">
      <c r="A273" s="225"/>
      <c r="B273" s="228" t="s">
        <v>263</v>
      </c>
      <c r="C273" s="228"/>
      <c r="D273" s="228"/>
      <c r="E273" s="228"/>
      <c r="F273" s="313" t="s">
        <v>264</v>
      </c>
      <c r="G273" s="228"/>
      <c r="H273" s="228" t="s">
        <v>265</v>
      </c>
      <c r="I273" s="249"/>
      <c r="J273" s="249"/>
      <c r="K273" s="249"/>
      <c r="L273" s="249"/>
      <c r="M273" s="249"/>
      <c r="N273" s="249"/>
      <c r="O273" s="249"/>
      <c r="P273" s="249"/>
      <c r="Q273" s="249"/>
      <c r="R273" s="5"/>
    </row>
    <row r="274" spans="1:18" ht="15.6" x14ac:dyDescent="0.3">
      <c r="A274" s="225"/>
      <c r="B274" s="228" t="s">
        <v>104</v>
      </c>
      <c r="C274" s="228"/>
      <c r="D274" s="228"/>
      <c r="E274" s="228"/>
      <c r="F274" s="313" t="s">
        <v>211</v>
      </c>
      <c r="G274" s="228"/>
      <c r="H274" s="228" t="s">
        <v>223</v>
      </c>
      <c r="I274" s="249"/>
      <c r="J274" s="249"/>
      <c r="K274" s="249"/>
      <c r="L274" s="249"/>
      <c r="M274" s="249"/>
      <c r="N274" s="249"/>
      <c r="O274" s="249"/>
      <c r="P274" s="249"/>
      <c r="Q274" s="249"/>
      <c r="R274" s="5"/>
    </row>
    <row r="275" spans="1:18" ht="15.6" x14ac:dyDescent="0.3">
      <c r="A275" s="225"/>
      <c r="B275" s="228"/>
      <c r="C275" s="228"/>
      <c r="D275" s="228"/>
      <c r="E275" s="314"/>
      <c r="F275" s="249"/>
      <c r="G275" s="249"/>
      <c r="H275" s="249"/>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8" thickBot="1" x14ac:dyDescent="0.35">
      <c r="A277" s="225"/>
      <c r="B277" s="315" t="str">
        <f>B184</f>
        <v>PM7 INVESTOR REPORT QUARTER ENDING JULY 2012</v>
      </c>
      <c r="C277" s="228"/>
      <c r="D277" s="228"/>
      <c r="E277" s="314"/>
      <c r="F277" s="249"/>
      <c r="G277" s="249"/>
      <c r="H277" s="249"/>
      <c r="I277" s="249"/>
      <c r="J277" s="249"/>
      <c r="K277" s="249"/>
      <c r="L277" s="249"/>
      <c r="M277" s="249"/>
      <c r="N277" s="249"/>
      <c r="O277" s="249"/>
      <c r="P277" s="249"/>
      <c r="Q277" s="24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7" man="1"/>
    <brk id="132" max="14" man="1"/>
    <brk id="184" max="14"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0.95860000000000001</v>
      </c>
      <c r="N17" s="246" t="s">
        <v>173</v>
      </c>
      <c r="O17" s="245">
        <v>4.1399999999999999E-2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41235</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301</v>
      </c>
      <c r="E28" s="392"/>
      <c r="F28" s="392" t="s">
        <v>301</v>
      </c>
      <c r="G28" s="392"/>
      <c r="H28" s="392" t="s">
        <v>301</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171000.09</v>
      </c>
      <c r="E34" s="271"/>
      <c r="F34" s="272">
        <f>+F33*F40</f>
        <v>83575.8</v>
      </c>
      <c r="G34" s="271"/>
      <c r="H34" s="273">
        <f>+H33*H40</f>
        <v>190012.15</v>
      </c>
      <c r="I34" s="271"/>
      <c r="J34" s="270">
        <f>J33*J40</f>
        <v>70554.090750000003</v>
      </c>
      <c r="K34" s="271"/>
      <c r="L34" s="273">
        <f>L33*L40</f>
        <v>55588.038999999997</v>
      </c>
      <c r="M34" s="271"/>
      <c r="N34" s="271"/>
      <c r="O34" s="274"/>
      <c r="P34" s="271"/>
      <c r="Q34" s="275"/>
      <c r="R34" s="5"/>
    </row>
    <row r="35" spans="1:19" ht="15.6" x14ac:dyDescent="0.3">
      <c r="A35" s="265"/>
      <c r="B35" s="266" t="s">
        <v>158</v>
      </c>
      <c r="C35" s="276"/>
      <c r="D35" s="277">
        <f>+D33*D39</f>
        <v>169874.23500000002</v>
      </c>
      <c r="E35" s="278"/>
      <c r="F35" s="279">
        <f>+F33*F39</f>
        <v>83025.579999999987</v>
      </c>
      <c r="G35" s="278"/>
      <c r="H35" s="280">
        <f>+H33*H39</f>
        <v>188761.09999999998</v>
      </c>
      <c r="I35" s="278"/>
      <c r="J35" s="277">
        <f>J33*J39</f>
        <v>70089.566250000003</v>
      </c>
      <c r="K35" s="278"/>
      <c r="L35" s="280">
        <f>L33*L39</f>
        <v>55222.0435</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96121.467116357511</v>
      </c>
      <c r="E37" s="271"/>
      <c r="F37" s="271">
        <f>+F34</f>
        <v>83575.8</v>
      </c>
      <c r="G37" s="271"/>
      <c r="H37" s="271">
        <f>+H34/1.481481</f>
        <v>128258.24293392895</v>
      </c>
      <c r="I37" s="271"/>
      <c r="J37" s="271">
        <f>J36*J40</f>
        <v>39659.095811400002</v>
      </c>
      <c r="K37" s="271"/>
      <c r="L37" s="271">
        <f>L36*L40</f>
        <v>37521.926325</v>
      </c>
      <c r="M37" s="271"/>
      <c r="N37" s="271"/>
      <c r="O37" s="274"/>
      <c r="P37" s="271">
        <f>SUM(C37:L37)</f>
        <v>385136.53218668647</v>
      </c>
      <c r="Q37" s="275"/>
      <c r="R37" s="5"/>
      <c r="S37" s="154"/>
    </row>
    <row r="38" spans="1:19" ht="15.6" x14ac:dyDescent="0.3">
      <c r="A38" s="265"/>
      <c r="B38" s="266" t="s">
        <v>281</v>
      </c>
      <c r="C38" s="276"/>
      <c r="D38" s="278">
        <f>D35/1.779</f>
        <v>95488.608768971346</v>
      </c>
      <c r="E38" s="278"/>
      <c r="F38" s="278">
        <f>+F35</f>
        <v>83025.579999999987</v>
      </c>
      <c r="G38" s="278"/>
      <c r="H38" s="278">
        <f>H35/1.481481</f>
        <v>127413.78390947975</v>
      </c>
      <c r="I38" s="278"/>
      <c r="J38" s="278">
        <f>J36*J39</f>
        <v>39397.982366999997</v>
      </c>
      <c r="K38" s="278"/>
      <c r="L38" s="278">
        <f>L36*L39</f>
        <v>37274.879362499996</v>
      </c>
      <c r="M38" s="278"/>
      <c r="N38" s="278"/>
      <c r="O38" s="281"/>
      <c r="P38" s="278">
        <f>SUM(D38:L38)</f>
        <v>382600.8344079511</v>
      </c>
      <c r="Q38" s="275"/>
      <c r="R38" s="5"/>
      <c r="S38" s="176"/>
    </row>
    <row r="39" spans="1:19" ht="15.6" x14ac:dyDescent="0.3">
      <c r="A39" s="265"/>
      <c r="B39" s="282" t="s">
        <v>154</v>
      </c>
      <c r="C39" s="283"/>
      <c r="D39" s="284">
        <v>0.37749830000000001</v>
      </c>
      <c r="E39" s="284"/>
      <c r="F39" s="284">
        <v>0.37738899999999997</v>
      </c>
      <c r="G39" s="284"/>
      <c r="H39" s="284">
        <v>0.37752219999999997</v>
      </c>
      <c r="I39" s="284"/>
      <c r="J39" s="284">
        <v>0.84957050000000001</v>
      </c>
      <c r="K39" s="284"/>
      <c r="L39" s="284">
        <v>0.84956989999999999</v>
      </c>
      <c r="M39" s="285"/>
      <c r="N39" s="285"/>
      <c r="O39" s="286"/>
      <c r="P39" s="285"/>
      <c r="Q39" s="287"/>
      <c r="R39" s="5"/>
    </row>
    <row r="40" spans="1:19" ht="15.6" x14ac:dyDescent="0.3">
      <c r="A40" s="265"/>
      <c r="B40" s="282" t="s">
        <v>155</v>
      </c>
      <c r="C40" s="283"/>
      <c r="D40" s="284">
        <v>0.38000020000000001</v>
      </c>
      <c r="E40" s="284"/>
      <c r="F40" s="284">
        <v>0.37989000000000001</v>
      </c>
      <c r="G40" s="284"/>
      <c r="H40" s="284">
        <v>0.38002429999999998</v>
      </c>
      <c r="I40" s="284"/>
      <c r="J40" s="284">
        <v>0.85520110000000005</v>
      </c>
      <c r="K40" s="284"/>
      <c r="L40" s="284">
        <v>0.85520059999999998</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8.5450000000000005E-3</v>
      </c>
      <c r="E42" s="290"/>
      <c r="F42" s="289">
        <v>1.12438E-2</v>
      </c>
      <c r="G42" s="290"/>
      <c r="H42" s="289">
        <v>7.6899999999999998E-3</v>
      </c>
      <c r="I42" s="290"/>
      <c r="J42" s="289">
        <v>1.9345000000000001E-2</v>
      </c>
      <c r="K42" s="290"/>
      <c r="L42" s="289">
        <v>1.8489999999999999E-2</v>
      </c>
      <c r="M42" s="290"/>
      <c r="N42" s="289"/>
      <c r="O42" s="263"/>
      <c r="P42" s="290"/>
      <c r="Q42" s="264"/>
      <c r="R42" s="5"/>
    </row>
    <row r="43" spans="1:19" ht="15.6" x14ac:dyDescent="0.3">
      <c r="A43" s="260"/>
      <c r="B43" s="261" t="s">
        <v>14</v>
      </c>
      <c r="C43" s="261"/>
      <c r="D43" s="289">
        <v>8.8684999999999996E-3</v>
      </c>
      <c r="E43" s="290"/>
      <c r="F43" s="289">
        <v>1.4274999999999999E-2</v>
      </c>
      <c r="G43" s="290"/>
      <c r="H43" s="289">
        <v>1.11E-2</v>
      </c>
      <c r="I43" s="290"/>
      <c r="J43" s="289">
        <v>1.9668499999999998E-2</v>
      </c>
      <c r="K43" s="290"/>
      <c r="L43" s="289">
        <v>2.1899999999999999E-2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1.3133799999999999E-2</v>
      </c>
      <c r="E45" s="290"/>
      <c r="F45" s="289">
        <f>+F42</f>
        <v>1.12438E-2</v>
      </c>
      <c r="G45" s="290"/>
      <c r="H45" s="289">
        <v>1.28938E-2</v>
      </c>
      <c r="I45" s="290"/>
      <c r="J45" s="289">
        <v>2.5393800000000001E-2</v>
      </c>
      <c r="K45" s="290"/>
      <c r="L45" s="289">
        <v>2.5393800000000001E-2</v>
      </c>
      <c r="M45" s="290"/>
      <c r="N45" s="289"/>
      <c r="O45" s="263"/>
      <c r="P45" s="290">
        <f>SUMPRODUCT(D45:L45,D37:L37)/P37</f>
        <v>1.5100632610729693E-2</v>
      </c>
      <c r="Q45" s="264"/>
      <c r="R45" s="5"/>
    </row>
    <row r="46" spans="1:19" ht="15.6" x14ac:dyDescent="0.3">
      <c r="A46" s="260"/>
      <c r="B46" s="261" t="s">
        <v>283</v>
      </c>
      <c r="C46" s="261"/>
      <c r="D46" s="289">
        <v>1.6164999999999999E-2</v>
      </c>
      <c r="E46" s="290"/>
      <c r="F46" s="289">
        <f>+F43</f>
        <v>1.4274999999999999E-2</v>
      </c>
      <c r="G46" s="290"/>
      <c r="H46" s="289">
        <v>1.5925000000000002E-2</v>
      </c>
      <c r="I46" s="290"/>
      <c r="J46" s="289">
        <v>2.8424999999999999E-2</v>
      </c>
      <c r="K46" s="290"/>
      <c r="L46" s="289">
        <v>2.8424999999999999E-2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0.25062390031946452</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41228</v>
      </c>
      <c r="Q57" s="264"/>
      <c r="R57" s="5"/>
    </row>
    <row r="58" spans="1:18" ht="15.6" x14ac:dyDescent="0.3">
      <c r="A58" s="260"/>
      <c r="B58" s="261" t="s">
        <v>142</v>
      </c>
      <c r="C58" s="261"/>
      <c r="D58" s="261"/>
      <c r="E58" s="261"/>
      <c r="F58" s="297"/>
      <c r="G58" s="297"/>
      <c r="H58" s="297"/>
      <c r="I58" s="297"/>
      <c r="J58" s="297"/>
      <c r="K58" s="297"/>
      <c r="L58" s="261">
        <f>+P58-N58+1</f>
        <v>92</v>
      </c>
      <c r="M58" s="297"/>
      <c r="N58" s="298">
        <v>41044</v>
      </c>
      <c r="O58" s="299"/>
      <c r="P58" s="298">
        <v>41135</v>
      </c>
      <c r="Q58" s="264"/>
      <c r="R58" s="5"/>
    </row>
    <row r="59" spans="1:18" ht="15.6" x14ac:dyDescent="0.3">
      <c r="A59" s="260"/>
      <c r="B59" s="261" t="s">
        <v>143</v>
      </c>
      <c r="C59" s="261"/>
      <c r="D59" s="261"/>
      <c r="E59" s="261"/>
      <c r="F59" s="261"/>
      <c r="G59" s="261"/>
      <c r="H59" s="261"/>
      <c r="I59" s="261"/>
      <c r="J59" s="261"/>
      <c r="K59" s="261"/>
      <c r="L59" s="261">
        <f>+P59-N59+1</f>
        <v>92</v>
      </c>
      <c r="M59" s="261"/>
      <c r="N59" s="298">
        <v>41136</v>
      </c>
      <c r="O59" s="299"/>
      <c r="P59" s="298">
        <v>41227</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41214</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302</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385137</v>
      </c>
      <c r="I69" s="330"/>
      <c r="J69" s="330">
        <f>2536+24+3</f>
        <v>2563</v>
      </c>
      <c r="K69" s="330"/>
      <c r="L69" s="330">
        <v>27</v>
      </c>
      <c r="M69" s="330"/>
      <c r="N69" s="330">
        <v>0</v>
      </c>
      <c r="O69" s="330"/>
      <c r="P69" s="331">
        <f>+H69-J69+L69-N69</f>
        <v>382601</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385137</v>
      </c>
      <c r="I72" s="330"/>
      <c r="J72" s="330">
        <f>SUM(J69:J71)</f>
        <v>2563</v>
      </c>
      <c r="K72" s="330"/>
      <c r="L72" s="330">
        <f>SUM(L69:L71)</f>
        <v>27</v>
      </c>
      <c r="M72" s="330"/>
      <c r="N72" s="330">
        <f>SUM(N69:N71)</f>
        <v>0</v>
      </c>
      <c r="O72" s="330"/>
      <c r="P72" s="330">
        <f>SUM(P69:P71)</f>
        <v>382601</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+N129</f>
        <v>0</v>
      </c>
      <c r="Q85" s="264"/>
      <c r="R85" s="5"/>
    </row>
    <row r="86" spans="1:18" ht="15.6" x14ac:dyDescent="0.3">
      <c r="A86" s="260"/>
      <c r="B86" s="261" t="s">
        <v>30</v>
      </c>
      <c r="C86" s="330"/>
      <c r="D86" s="330"/>
      <c r="E86" s="330"/>
      <c r="F86" s="330">
        <f>SUM(F72:F85)</f>
        <v>900700</v>
      </c>
      <c r="G86" s="330"/>
      <c r="H86" s="330">
        <f>SUM(H72:H85)</f>
        <v>385137</v>
      </c>
      <c r="I86" s="330"/>
      <c r="J86" s="330">
        <f>SUM(J72:J85)</f>
        <v>2563</v>
      </c>
      <c r="K86" s="330"/>
      <c r="L86" s="330">
        <f>SUM(L72:L85)</f>
        <v>27</v>
      </c>
      <c r="M86" s="330"/>
      <c r="N86" s="330"/>
      <c r="O86" s="330"/>
      <c r="P86" s="330">
        <f>SUM(P72:P85)</f>
        <v>382601</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41213</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2563-38</f>
        <v>2525</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3132+142-1013-38</f>
        <v>2223</v>
      </c>
      <c r="Q92" s="264"/>
      <c r="R92" s="5"/>
    </row>
    <row r="93" spans="1:18" ht="15.6" x14ac:dyDescent="0.3">
      <c r="A93" s="260"/>
      <c r="B93" s="261" t="s">
        <v>249</v>
      </c>
      <c r="C93" s="261"/>
      <c r="D93" s="261"/>
      <c r="E93" s="261"/>
      <c r="F93" s="292"/>
      <c r="G93" s="332"/>
      <c r="H93" s="333"/>
      <c r="I93" s="261"/>
      <c r="J93" s="261"/>
      <c r="K93" s="261"/>
      <c r="L93" s="261"/>
      <c r="M93" s="261"/>
      <c r="N93" s="330"/>
      <c r="O93" s="261"/>
      <c r="P93" s="331">
        <f>28+1</f>
        <v>29</v>
      </c>
      <c r="Q93" s="264"/>
      <c r="R93" s="5"/>
    </row>
    <row r="94" spans="1:18" ht="15.6" x14ac:dyDescent="0.3">
      <c r="A94" s="260"/>
      <c r="B94" s="261" t="s">
        <v>250</v>
      </c>
      <c r="C94" s="261"/>
      <c r="D94" s="261"/>
      <c r="E94" s="261"/>
      <c r="F94" s="292"/>
      <c r="G94" s="332"/>
      <c r="H94" s="333"/>
      <c r="I94" s="261"/>
      <c r="J94" s="261"/>
      <c r="K94" s="261"/>
      <c r="L94" s="261"/>
      <c r="M94" s="261"/>
      <c r="N94" s="330"/>
      <c r="O94" s="261"/>
      <c r="P94" s="331">
        <v>17</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190</v>
      </c>
      <c r="Q97" s="264"/>
      <c r="R97" s="5"/>
    </row>
    <row r="98" spans="1:19" ht="15.6" x14ac:dyDescent="0.3">
      <c r="A98" s="260"/>
      <c r="B98" s="261" t="s">
        <v>35</v>
      </c>
      <c r="C98" s="261"/>
      <c r="D98" s="261"/>
      <c r="E98" s="261"/>
      <c r="F98" s="261"/>
      <c r="G98" s="261"/>
      <c r="H98" s="261"/>
      <c r="I98" s="261"/>
      <c r="J98" s="261"/>
      <c r="K98" s="261"/>
      <c r="L98" s="261"/>
      <c r="M98" s="261"/>
      <c r="N98" s="330">
        <f>SUM(N90:N97)</f>
        <v>2525</v>
      </c>
      <c r="O98" s="261"/>
      <c r="P98" s="330">
        <f>SUM(P90:P97)</f>
        <v>2459</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-112</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2525</v>
      </c>
      <c r="O102" s="261"/>
      <c r="P102" s="330">
        <f>P98+P100+P99+P101</f>
        <v>2347</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40</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226</v>
      </c>
      <c r="C106" s="261"/>
      <c r="D106" s="261"/>
      <c r="E106" s="261"/>
      <c r="F106" s="261"/>
      <c r="G106" s="261"/>
      <c r="H106" s="261"/>
      <c r="I106" s="261"/>
      <c r="J106" s="261"/>
      <c r="K106" s="261"/>
      <c r="L106" s="261"/>
      <c r="M106" s="261"/>
      <c r="N106" s="261"/>
      <c r="O106" s="261"/>
      <c r="P106" s="331">
        <f>-97-94-5</f>
        <v>-196</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-47</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-317</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-236</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-416</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-253</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-240</v>
      </c>
      <c r="Q112" s="264"/>
      <c r="R112" s="5"/>
      <c r="S112" s="109"/>
    </row>
    <row r="113" spans="1:18" ht="15.6" x14ac:dyDescent="0.3">
      <c r="A113" s="339">
        <v>6</v>
      </c>
      <c r="B113" s="261" t="s">
        <v>41</v>
      </c>
      <c r="C113" s="261"/>
      <c r="D113" s="261"/>
      <c r="E113" s="261"/>
      <c r="F113" s="261"/>
      <c r="G113" s="261"/>
      <c r="H113" s="261"/>
      <c r="I113" s="261"/>
      <c r="J113" s="261"/>
      <c r="K113" s="261"/>
      <c r="L113" s="261"/>
      <c r="M113" s="261"/>
      <c r="N113" s="261"/>
      <c r="O113" s="261"/>
      <c r="P113" s="331">
        <v>-8</v>
      </c>
      <c r="Q113" s="264"/>
      <c r="R113" s="5"/>
    </row>
    <row r="114" spans="1:18" ht="15.6" x14ac:dyDescent="0.3">
      <c r="A114" s="339">
        <f t="shared" ref="A114:A119" si="0">+A113+1</f>
        <v>7</v>
      </c>
      <c r="B114" s="261" t="s">
        <v>53</v>
      </c>
      <c r="C114" s="261"/>
      <c r="D114" s="261"/>
      <c r="E114" s="261"/>
      <c r="F114" s="261"/>
      <c r="G114" s="261"/>
      <c r="H114" s="261"/>
      <c r="I114" s="261"/>
      <c r="J114" s="261"/>
      <c r="K114" s="261"/>
      <c r="L114" s="261"/>
      <c r="M114" s="261"/>
      <c r="N114" s="330">
        <f>-P114</f>
        <v>38</v>
      </c>
      <c r="O114" s="261"/>
      <c r="P114" s="331">
        <v>-38</v>
      </c>
      <c r="Q114" s="264"/>
      <c r="R114" s="5"/>
    </row>
    <row r="115" spans="1:18" ht="15.6" x14ac:dyDescent="0.3">
      <c r="A115" s="339">
        <f t="shared" si="0"/>
        <v>8</v>
      </c>
      <c r="B115" s="261" t="s">
        <v>149</v>
      </c>
      <c r="C115" s="261"/>
      <c r="D115" s="261"/>
      <c r="E115" s="261"/>
      <c r="F115" s="261"/>
      <c r="G115" s="261"/>
      <c r="H115" s="261"/>
      <c r="I115" s="261"/>
      <c r="J115" s="261"/>
      <c r="K115" s="261"/>
      <c r="L115" s="261"/>
      <c r="M115" s="261"/>
      <c r="N115" s="261"/>
      <c r="O115" s="261"/>
      <c r="P115" s="331">
        <v>0</v>
      </c>
      <c r="Q115" s="264"/>
      <c r="R115" s="5"/>
    </row>
    <row r="116" spans="1:18" ht="15.6" x14ac:dyDescent="0.3">
      <c r="A116" s="339">
        <f t="shared" si="0"/>
        <v>9</v>
      </c>
      <c r="B116" s="261" t="s">
        <v>42</v>
      </c>
      <c r="C116" s="261"/>
      <c r="D116" s="261"/>
      <c r="E116" s="261"/>
      <c r="F116" s="261"/>
      <c r="G116" s="261"/>
      <c r="H116" s="261"/>
      <c r="I116" s="261"/>
      <c r="J116" s="261"/>
      <c r="K116" s="261"/>
      <c r="L116" s="261"/>
      <c r="M116" s="261"/>
      <c r="N116" s="261"/>
      <c r="O116" s="261"/>
      <c r="P116" s="331">
        <v>0</v>
      </c>
      <c r="Q116" s="264"/>
      <c r="R116" s="5"/>
    </row>
    <row r="117" spans="1:18" ht="15.6" x14ac:dyDescent="0.3">
      <c r="A117" s="339">
        <f t="shared" si="0"/>
        <v>10</v>
      </c>
      <c r="B117" s="261" t="s">
        <v>43</v>
      </c>
      <c r="C117" s="261"/>
      <c r="D117" s="261"/>
      <c r="E117" s="261"/>
      <c r="F117" s="261"/>
      <c r="G117" s="261"/>
      <c r="H117" s="261"/>
      <c r="I117" s="261"/>
      <c r="J117" s="261"/>
      <c r="K117" s="261"/>
      <c r="L117" s="261"/>
      <c r="M117" s="261"/>
      <c r="N117" s="261"/>
      <c r="O117" s="261"/>
      <c r="P117" s="331">
        <v>0</v>
      </c>
      <c r="Q117" s="264"/>
      <c r="R117" s="5"/>
    </row>
    <row r="118" spans="1:18" ht="15.6" x14ac:dyDescent="0.3">
      <c r="A118" s="339">
        <f t="shared" si="0"/>
        <v>11</v>
      </c>
      <c r="B118" s="261" t="s">
        <v>215</v>
      </c>
      <c r="C118" s="261"/>
      <c r="D118" s="261"/>
      <c r="E118" s="261"/>
      <c r="F118" s="261"/>
      <c r="G118" s="261"/>
      <c r="H118" s="261"/>
      <c r="I118" s="261"/>
      <c r="J118" s="261"/>
      <c r="K118" s="261"/>
      <c r="L118" s="261"/>
      <c r="M118" s="261"/>
      <c r="N118" s="261"/>
      <c r="O118" s="261"/>
      <c r="P118" s="331">
        <v>-197</v>
      </c>
      <c r="Q118" s="264"/>
      <c r="R118" s="5"/>
    </row>
    <row r="119" spans="1:18" ht="15.6" x14ac:dyDescent="0.3">
      <c r="A119" s="339">
        <f t="shared" si="0"/>
        <v>12</v>
      </c>
      <c r="B119" s="261" t="s">
        <v>150</v>
      </c>
      <c r="C119" s="261"/>
      <c r="D119" s="261"/>
      <c r="E119" s="261"/>
      <c r="F119" s="261"/>
      <c r="G119" s="261"/>
      <c r="H119" s="261"/>
      <c r="I119" s="261"/>
      <c r="J119" s="261"/>
      <c r="K119" s="261"/>
      <c r="L119" s="261"/>
      <c r="M119" s="261"/>
      <c r="N119" s="261"/>
      <c r="O119" s="261"/>
      <c r="P119" s="331">
        <f>-P102-SUM(P104:P118)</f>
        <v>-397</v>
      </c>
      <c r="Q119" s="264"/>
      <c r="R119" s="5"/>
    </row>
    <row r="120" spans="1:18" ht="15.6" x14ac:dyDescent="0.3">
      <c r="A120" s="260"/>
      <c r="B120" s="334" t="s">
        <v>44</v>
      </c>
      <c r="C120" s="335"/>
      <c r="D120" s="335"/>
      <c r="E120" s="335"/>
      <c r="F120" s="335"/>
      <c r="G120" s="335"/>
      <c r="H120" s="335"/>
      <c r="I120" s="335"/>
      <c r="J120" s="335"/>
      <c r="K120" s="335"/>
      <c r="L120" s="335"/>
      <c r="M120" s="335"/>
      <c r="N120" s="335"/>
      <c r="O120" s="335"/>
      <c r="P120" s="340"/>
      <c r="Q120" s="338"/>
      <c r="R120" s="5"/>
    </row>
    <row r="121" spans="1:18" ht="15.6" x14ac:dyDescent="0.3">
      <c r="A121" s="339"/>
      <c r="B121" s="261" t="s">
        <v>45</v>
      </c>
      <c r="C121" s="261"/>
      <c r="D121" s="261"/>
      <c r="E121" s="261"/>
      <c r="F121" s="261"/>
      <c r="G121" s="261"/>
      <c r="H121" s="261"/>
      <c r="I121" s="261"/>
      <c r="J121" s="261"/>
      <c r="K121" s="261"/>
      <c r="L121" s="261"/>
      <c r="M121" s="261"/>
      <c r="N121" s="330">
        <v>0</v>
      </c>
      <c r="O121" s="330"/>
      <c r="P121" s="331"/>
      <c r="Q121" s="264"/>
      <c r="R121" s="5"/>
    </row>
    <row r="122" spans="1:18" ht="15.6" x14ac:dyDescent="0.3">
      <c r="A122" s="339"/>
      <c r="B122" s="261" t="s">
        <v>46</v>
      </c>
      <c r="C122" s="261"/>
      <c r="D122" s="261"/>
      <c r="E122" s="261"/>
      <c r="F122" s="261"/>
      <c r="G122" s="261"/>
      <c r="H122" s="261"/>
      <c r="I122" s="261"/>
      <c r="J122" s="261"/>
      <c r="K122" s="261"/>
      <c r="L122" s="261"/>
      <c r="M122" s="261"/>
      <c r="N122" s="330">
        <f>-M171</f>
        <v>-27</v>
      </c>
      <c r="O122" s="330"/>
      <c r="P122" s="331"/>
      <c r="Q122" s="264"/>
      <c r="R122" s="5"/>
    </row>
    <row r="123" spans="1:18" ht="15.6" x14ac:dyDescent="0.3">
      <c r="A123" s="339"/>
      <c r="B123" s="261" t="s">
        <v>199</v>
      </c>
      <c r="C123" s="261"/>
      <c r="D123" s="261"/>
      <c r="E123" s="261"/>
      <c r="F123" s="261"/>
      <c r="G123" s="261"/>
      <c r="H123" s="261"/>
      <c r="I123" s="261"/>
      <c r="J123" s="261"/>
      <c r="K123" s="261"/>
      <c r="L123" s="261"/>
      <c r="M123" s="261"/>
      <c r="N123" s="330">
        <v>-633</v>
      </c>
      <c r="O123" s="330"/>
      <c r="P123" s="331"/>
      <c r="Q123" s="264"/>
      <c r="R123" s="5"/>
    </row>
    <row r="124" spans="1:18" ht="15.6" x14ac:dyDescent="0.3">
      <c r="A124" s="339"/>
      <c r="B124" s="261" t="s">
        <v>200</v>
      </c>
      <c r="C124" s="261"/>
      <c r="D124" s="261"/>
      <c r="E124" s="261"/>
      <c r="F124" s="261"/>
      <c r="G124" s="261"/>
      <c r="H124" s="261"/>
      <c r="I124" s="261"/>
      <c r="J124" s="261"/>
      <c r="K124" s="261"/>
      <c r="L124" s="261"/>
      <c r="M124" s="261"/>
      <c r="N124" s="330">
        <v>-550</v>
      </c>
      <c r="O124" s="330"/>
      <c r="P124" s="331"/>
      <c r="Q124" s="264"/>
      <c r="R124" s="5"/>
    </row>
    <row r="125" spans="1:18" ht="15.6" x14ac:dyDescent="0.3">
      <c r="A125" s="339"/>
      <c r="B125" s="261" t="s">
        <v>201</v>
      </c>
      <c r="C125" s="261"/>
      <c r="D125" s="261"/>
      <c r="E125" s="261"/>
      <c r="F125" s="261"/>
      <c r="G125" s="261"/>
      <c r="H125" s="261"/>
      <c r="I125" s="261"/>
      <c r="J125" s="261"/>
      <c r="K125" s="261"/>
      <c r="L125" s="261"/>
      <c r="M125" s="261"/>
      <c r="N125" s="330">
        <v>-845</v>
      </c>
      <c r="O125" s="330"/>
      <c r="P125" s="331"/>
      <c r="Q125" s="264"/>
      <c r="R125" s="5"/>
    </row>
    <row r="126" spans="1:18" ht="15.6" x14ac:dyDescent="0.3">
      <c r="A126" s="339"/>
      <c r="B126" s="261" t="s">
        <v>159</v>
      </c>
      <c r="C126" s="261"/>
      <c r="D126" s="261"/>
      <c r="E126" s="261"/>
      <c r="F126" s="261"/>
      <c r="G126" s="261"/>
      <c r="H126" s="261"/>
      <c r="I126" s="261"/>
      <c r="J126" s="261"/>
      <c r="K126" s="261"/>
      <c r="L126" s="261"/>
      <c r="M126" s="261"/>
      <c r="N126" s="330">
        <v>-261</v>
      </c>
      <c r="O126" s="330"/>
      <c r="P126" s="331"/>
      <c r="Q126" s="264"/>
      <c r="R126" s="5"/>
    </row>
    <row r="127" spans="1:18" ht="15.6" x14ac:dyDescent="0.3">
      <c r="A127" s="339"/>
      <c r="B127" s="261" t="s">
        <v>214</v>
      </c>
      <c r="C127" s="261"/>
      <c r="D127" s="261"/>
      <c r="E127" s="261"/>
      <c r="F127" s="261"/>
      <c r="G127" s="261"/>
      <c r="H127" s="261"/>
      <c r="I127" s="261"/>
      <c r="J127" s="261"/>
      <c r="K127" s="261"/>
      <c r="L127" s="261"/>
      <c r="M127" s="261"/>
      <c r="N127" s="330">
        <v>-247</v>
      </c>
      <c r="O127" s="330"/>
      <c r="P127" s="331"/>
      <c r="Q127" s="264"/>
      <c r="R127" s="5"/>
    </row>
    <row r="128" spans="1:18" ht="15.6" x14ac:dyDescent="0.3">
      <c r="A128" s="339"/>
      <c r="B128" s="261" t="s">
        <v>47</v>
      </c>
      <c r="C128" s="261"/>
      <c r="D128" s="261"/>
      <c r="E128" s="261"/>
      <c r="F128" s="261"/>
      <c r="G128" s="261"/>
      <c r="H128" s="261"/>
      <c r="I128" s="261"/>
      <c r="J128" s="261"/>
      <c r="K128" s="261"/>
      <c r="L128" s="261"/>
      <c r="M128" s="261"/>
      <c r="N128" s="330">
        <f>SUM(N121:N127)</f>
        <v>-2563</v>
      </c>
      <c r="O128" s="330"/>
      <c r="P128" s="330">
        <f>SUM(P103:P127)</f>
        <v>-2347</v>
      </c>
      <c r="Q128" s="264"/>
      <c r="R128" s="5"/>
    </row>
    <row r="129" spans="1:19" ht="15.6" x14ac:dyDescent="0.3">
      <c r="A129" s="339"/>
      <c r="B129" s="261" t="s">
        <v>48</v>
      </c>
      <c r="C129" s="261"/>
      <c r="D129" s="261"/>
      <c r="E129" s="261"/>
      <c r="F129" s="261"/>
      <c r="G129" s="261"/>
      <c r="H129" s="261"/>
      <c r="I129" s="261"/>
      <c r="J129" s="261"/>
      <c r="K129" s="261"/>
      <c r="L129" s="261"/>
      <c r="M129" s="261"/>
      <c r="N129" s="330">
        <f>N102+N128+N114</f>
        <v>0</v>
      </c>
      <c r="O129" s="330"/>
      <c r="P129" s="330">
        <f>P102+P128</f>
        <v>0</v>
      </c>
      <c r="Q129" s="264"/>
      <c r="R129" s="5"/>
    </row>
    <row r="130" spans="1:19" ht="15.6" x14ac:dyDescent="0.3">
      <c r="A130" s="301"/>
      <c r="B130" s="257"/>
      <c r="C130" s="257"/>
      <c r="D130" s="257"/>
      <c r="E130" s="257"/>
      <c r="F130" s="257"/>
      <c r="G130" s="257"/>
      <c r="H130" s="257"/>
      <c r="I130" s="257"/>
      <c r="J130" s="257"/>
      <c r="K130" s="257"/>
      <c r="L130" s="257"/>
      <c r="M130" s="257"/>
      <c r="N130" s="302"/>
      <c r="O130" s="302"/>
      <c r="P130" s="302"/>
      <c r="Q130" s="257"/>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8" thickBot="1" x14ac:dyDescent="0.35">
      <c r="A132" s="303"/>
      <c r="B132" s="239" t="str">
        <f>B65</f>
        <v>PM7 INVESTOR REPORT QUARTER ENDING OCTOBER 2012</v>
      </c>
      <c r="C132" s="240"/>
      <c r="D132" s="240"/>
      <c r="E132" s="240"/>
      <c r="F132" s="240"/>
      <c r="G132" s="240"/>
      <c r="H132" s="240"/>
      <c r="I132" s="240"/>
      <c r="J132" s="240"/>
      <c r="K132" s="240"/>
      <c r="L132" s="240"/>
      <c r="M132" s="240"/>
      <c r="N132" s="240"/>
      <c r="O132" s="240"/>
      <c r="P132" s="304"/>
      <c r="Q132" s="242"/>
      <c r="R132" s="5"/>
    </row>
    <row r="133" spans="1:19" ht="15.6" x14ac:dyDescent="0.3">
      <c r="A133" s="323"/>
      <c r="B133" s="397" t="s">
        <v>49</v>
      </c>
      <c r="C133" s="326"/>
      <c r="D133" s="326"/>
      <c r="E133" s="326"/>
      <c r="F133" s="326"/>
      <c r="G133" s="326"/>
      <c r="H133" s="326"/>
      <c r="I133" s="326"/>
      <c r="J133" s="326"/>
      <c r="K133" s="326"/>
      <c r="L133" s="326"/>
      <c r="M133" s="326"/>
      <c r="N133" s="326"/>
      <c r="O133" s="326"/>
      <c r="P133" s="328"/>
      <c r="Q133" s="326"/>
      <c r="R133" s="5"/>
    </row>
    <row r="134" spans="1:19" ht="15.6" x14ac:dyDescent="0.3">
      <c r="A134" s="183"/>
      <c r="B134" s="196"/>
      <c r="C134" s="185"/>
      <c r="D134" s="185"/>
      <c r="E134" s="185"/>
      <c r="F134" s="185"/>
      <c r="G134" s="185"/>
      <c r="H134" s="185"/>
      <c r="I134" s="185"/>
      <c r="J134" s="185"/>
      <c r="K134" s="185"/>
      <c r="L134" s="185"/>
      <c r="M134" s="185"/>
      <c r="N134" s="185"/>
      <c r="O134" s="185"/>
      <c r="P134" s="201"/>
      <c r="Q134" s="185"/>
      <c r="R134" s="5"/>
    </row>
    <row r="135" spans="1:19" ht="15.6" x14ac:dyDescent="0.3">
      <c r="A135" s="183"/>
      <c r="B135" s="209" t="s">
        <v>50</v>
      </c>
      <c r="C135" s="185"/>
      <c r="D135" s="185"/>
      <c r="E135" s="185"/>
      <c r="F135" s="185"/>
      <c r="G135" s="185"/>
      <c r="H135" s="185"/>
      <c r="I135" s="185"/>
      <c r="J135" s="185"/>
      <c r="K135" s="185"/>
      <c r="L135" s="185"/>
      <c r="M135" s="185"/>
      <c r="N135" s="185"/>
      <c r="O135" s="185"/>
      <c r="P135" s="201"/>
      <c r="Q135" s="185"/>
      <c r="R135" s="5"/>
    </row>
    <row r="136" spans="1:19" ht="15.6" x14ac:dyDescent="0.3">
      <c r="A136" s="260"/>
      <c r="B136" s="261" t="s">
        <v>51</v>
      </c>
      <c r="C136" s="261"/>
      <c r="D136" s="261"/>
      <c r="E136" s="261"/>
      <c r="F136" s="261"/>
      <c r="G136" s="261"/>
      <c r="H136" s="261"/>
      <c r="I136" s="261"/>
      <c r="J136" s="261"/>
      <c r="K136" s="261"/>
      <c r="L136" s="261"/>
      <c r="M136" s="261"/>
      <c r="N136" s="261"/>
      <c r="O136" s="261"/>
      <c r="P136" s="331">
        <f>+P36*0.022</f>
        <v>19815.399999999998</v>
      </c>
      <c r="Q136" s="264"/>
      <c r="R136" s="5"/>
    </row>
    <row r="137" spans="1:19" ht="15.6" x14ac:dyDescent="0.3">
      <c r="A137" s="260"/>
      <c r="B137" s="261" t="s">
        <v>52</v>
      </c>
      <c r="C137" s="261"/>
      <c r="D137" s="261"/>
      <c r="E137" s="261"/>
      <c r="F137" s="261"/>
      <c r="G137" s="261"/>
      <c r="H137" s="261"/>
      <c r="I137" s="261"/>
      <c r="J137" s="261"/>
      <c r="K137" s="261"/>
      <c r="L137" s="261"/>
      <c r="M137" s="261"/>
      <c r="N137" s="261"/>
      <c r="O137" s="261"/>
      <c r="P137" s="331">
        <v>19815</v>
      </c>
      <c r="Q137" s="264"/>
      <c r="R137" s="5"/>
    </row>
    <row r="138" spans="1:19" ht="15.6" x14ac:dyDescent="0.3">
      <c r="A138" s="260"/>
      <c r="B138" s="261" t="s">
        <v>161</v>
      </c>
      <c r="C138" s="261"/>
      <c r="D138" s="261"/>
      <c r="E138" s="261"/>
      <c r="F138" s="261"/>
      <c r="G138" s="261"/>
      <c r="H138" s="261"/>
      <c r="I138" s="261"/>
      <c r="J138" s="261"/>
      <c r="K138" s="261"/>
      <c r="L138" s="261"/>
      <c r="M138" s="261"/>
      <c r="N138" s="261"/>
      <c r="O138" s="261"/>
      <c r="P138" s="331">
        <v>0</v>
      </c>
      <c r="Q138" s="264"/>
      <c r="R138" s="5"/>
    </row>
    <row r="139" spans="1:19" ht="15.6" x14ac:dyDescent="0.3">
      <c r="A139" s="260"/>
      <c r="B139" s="261" t="s">
        <v>144</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145</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53</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153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202</v>
      </c>
      <c r="C143" s="261"/>
      <c r="D143" s="261"/>
      <c r="E143" s="261"/>
      <c r="F143" s="261"/>
      <c r="G143" s="261"/>
      <c r="H143" s="261"/>
      <c r="I143" s="261"/>
      <c r="J143" s="261"/>
      <c r="K143" s="261"/>
      <c r="L143" s="261"/>
      <c r="M143" s="261"/>
      <c r="N143" s="261"/>
      <c r="O143" s="261"/>
      <c r="P143" s="331">
        <v>0</v>
      </c>
      <c r="Q143" s="264"/>
      <c r="R143" s="5"/>
      <c r="S143" s="109"/>
    </row>
    <row r="144" spans="1:19" ht="15.6" x14ac:dyDescent="0.3">
      <c r="A144" s="260"/>
      <c r="B144" s="261" t="s">
        <v>54</v>
      </c>
      <c r="C144" s="261"/>
      <c r="D144" s="261"/>
      <c r="E144" s="261"/>
      <c r="F144" s="261"/>
      <c r="G144" s="261"/>
      <c r="H144" s="261"/>
      <c r="I144" s="261"/>
      <c r="J144" s="261"/>
      <c r="K144" s="261"/>
      <c r="L144" s="261"/>
      <c r="M144" s="261"/>
      <c r="N144" s="261"/>
      <c r="O144" s="261"/>
      <c r="P144" s="331">
        <f>SUM(P137:P143)</f>
        <v>19815</v>
      </c>
      <c r="Q144" s="264"/>
      <c r="R144" s="5"/>
    </row>
    <row r="145" spans="1:18" ht="15.6" x14ac:dyDescent="0.3">
      <c r="A145" s="183"/>
      <c r="B145" s="190"/>
      <c r="C145" s="190"/>
      <c r="D145" s="190"/>
      <c r="E145" s="190"/>
      <c r="F145" s="190"/>
      <c r="G145" s="190"/>
      <c r="H145" s="190"/>
      <c r="I145" s="190"/>
      <c r="J145" s="190"/>
      <c r="K145" s="190"/>
      <c r="L145" s="190"/>
      <c r="M145" s="190"/>
      <c r="N145" s="190"/>
      <c r="O145" s="190"/>
      <c r="P145" s="341"/>
      <c r="Q145" s="190"/>
      <c r="R145" s="5"/>
    </row>
    <row r="146" spans="1:18" ht="15.6" x14ac:dyDescent="0.3">
      <c r="A146" s="183"/>
      <c r="B146" s="209" t="s">
        <v>28</v>
      </c>
      <c r="C146" s="185"/>
      <c r="D146" s="185"/>
      <c r="E146" s="185"/>
      <c r="F146" s="185"/>
      <c r="G146" s="185"/>
      <c r="H146" s="185"/>
      <c r="I146" s="185"/>
      <c r="J146" s="185"/>
      <c r="K146" s="185"/>
      <c r="L146" s="185"/>
      <c r="M146" s="185"/>
      <c r="N146" s="185"/>
      <c r="O146" s="185"/>
      <c r="P146" s="201"/>
      <c r="Q146" s="185"/>
      <c r="R146" s="5"/>
    </row>
    <row r="147" spans="1:18" ht="15.6" x14ac:dyDescent="0.3">
      <c r="A147" s="260"/>
      <c r="B147" s="261" t="s">
        <v>55</v>
      </c>
      <c r="C147" s="261"/>
      <c r="D147" s="261"/>
      <c r="E147" s="261"/>
      <c r="F147" s="261"/>
      <c r="G147" s="261"/>
      <c r="H147" s="261"/>
      <c r="I147" s="261"/>
      <c r="J147" s="261"/>
      <c r="K147" s="261"/>
      <c r="L147" s="261"/>
      <c r="M147" s="261"/>
      <c r="N147" s="261"/>
      <c r="O147" s="261"/>
      <c r="P147" s="342" t="s">
        <v>137</v>
      </c>
      <c r="Q147" s="338"/>
      <c r="R147" s="5"/>
    </row>
    <row r="148" spans="1:18" ht="15.6" x14ac:dyDescent="0.3">
      <c r="A148" s="260"/>
      <c r="B148" s="261" t="s">
        <v>56</v>
      </c>
      <c r="C148" s="263"/>
      <c r="D148" s="263"/>
      <c r="E148" s="263"/>
      <c r="F148" s="263"/>
      <c r="G148" s="263"/>
      <c r="H148" s="263"/>
      <c r="I148" s="263"/>
      <c r="J148" s="263"/>
      <c r="K148" s="263"/>
      <c r="L148" s="263"/>
      <c r="M148" s="263"/>
      <c r="N148" s="263"/>
      <c r="O148" s="263"/>
      <c r="P148" s="342" t="s">
        <v>137</v>
      </c>
      <c r="Q148" s="338"/>
      <c r="R148" s="5"/>
    </row>
    <row r="149" spans="1:18" ht="15.6" x14ac:dyDescent="0.3">
      <c r="A149" s="260"/>
      <c r="B149" s="261" t="s">
        <v>57</v>
      </c>
      <c r="C149" s="261"/>
      <c r="D149" s="261"/>
      <c r="E149" s="261"/>
      <c r="F149" s="261"/>
      <c r="G149" s="261"/>
      <c r="H149" s="261"/>
      <c r="I149" s="261"/>
      <c r="J149" s="261"/>
      <c r="K149" s="261"/>
      <c r="L149" s="261"/>
      <c r="M149" s="261"/>
      <c r="N149" s="261"/>
      <c r="O149" s="261"/>
      <c r="P149" s="342" t="s">
        <v>137</v>
      </c>
      <c r="Q149" s="338"/>
      <c r="R149" s="5"/>
    </row>
    <row r="150" spans="1:18" ht="15.6" x14ac:dyDescent="0.3">
      <c r="A150" s="260"/>
      <c r="B150" s="261" t="s">
        <v>58</v>
      </c>
      <c r="C150" s="261"/>
      <c r="D150" s="261"/>
      <c r="E150" s="261"/>
      <c r="F150" s="261"/>
      <c r="G150" s="261"/>
      <c r="H150" s="261"/>
      <c r="I150" s="261"/>
      <c r="J150" s="261"/>
      <c r="K150" s="261"/>
      <c r="L150" s="261"/>
      <c r="M150" s="261"/>
      <c r="N150" s="261"/>
      <c r="O150" s="261"/>
      <c r="P150" s="342" t="s">
        <v>137</v>
      </c>
      <c r="Q150" s="338"/>
      <c r="R150" s="5"/>
    </row>
    <row r="151" spans="1:18" ht="15.6" x14ac:dyDescent="0.3">
      <c r="A151" s="183"/>
      <c r="B151" s="190"/>
      <c r="C151" s="190"/>
      <c r="D151" s="190"/>
      <c r="E151" s="190"/>
      <c r="F151" s="190"/>
      <c r="G151" s="190"/>
      <c r="H151" s="190"/>
      <c r="I151" s="190"/>
      <c r="J151" s="190"/>
      <c r="K151" s="190"/>
      <c r="L151" s="190"/>
      <c r="M151" s="190"/>
      <c r="N151" s="190"/>
      <c r="O151" s="190"/>
      <c r="P151" s="341"/>
      <c r="Q151" s="190"/>
      <c r="R151" s="5"/>
    </row>
    <row r="152" spans="1:18" ht="15.6" x14ac:dyDescent="0.3">
      <c r="A152" s="183"/>
      <c r="B152" s="209" t="s">
        <v>59</v>
      </c>
      <c r="C152" s="185"/>
      <c r="D152" s="185"/>
      <c r="E152" s="185"/>
      <c r="F152" s="185"/>
      <c r="G152" s="185"/>
      <c r="H152" s="185"/>
      <c r="I152" s="185"/>
      <c r="J152" s="185"/>
      <c r="K152" s="185"/>
      <c r="L152" s="185"/>
      <c r="M152" s="185"/>
      <c r="N152" s="185"/>
      <c r="O152" s="185"/>
      <c r="P152" s="210"/>
      <c r="Q152" s="185"/>
      <c r="R152" s="5"/>
    </row>
    <row r="153" spans="1:18" ht="15.6" x14ac:dyDescent="0.3">
      <c r="A153" s="260"/>
      <c r="B153" s="261" t="s">
        <v>60</v>
      </c>
      <c r="C153" s="261"/>
      <c r="D153" s="261"/>
      <c r="E153" s="261"/>
      <c r="F153" s="261"/>
      <c r="G153" s="261"/>
      <c r="H153" s="261"/>
      <c r="I153" s="261"/>
      <c r="J153" s="261"/>
      <c r="K153" s="261"/>
      <c r="L153" s="261"/>
      <c r="M153" s="261"/>
      <c r="N153" s="261"/>
      <c r="O153" s="261"/>
      <c r="P153" s="331">
        <v>0</v>
      </c>
      <c r="Q153" s="264"/>
      <c r="R153" s="5"/>
    </row>
    <row r="154" spans="1:18" ht="15.6" x14ac:dyDescent="0.3">
      <c r="A154" s="260"/>
      <c r="B154" s="261" t="s">
        <v>61</v>
      </c>
      <c r="C154" s="261"/>
      <c r="D154" s="261"/>
      <c r="E154" s="261"/>
      <c r="F154" s="261"/>
      <c r="G154" s="261"/>
      <c r="H154" s="261"/>
      <c r="I154" s="261"/>
      <c r="J154" s="261"/>
      <c r="K154" s="261"/>
      <c r="L154" s="261"/>
      <c r="M154" s="261"/>
      <c r="N154" s="261"/>
      <c r="O154" s="261"/>
      <c r="P154" s="331">
        <f>-P114</f>
        <v>38</v>
      </c>
      <c r="Q154" s="264"/>
      <c r="R154" s="5"/>
    </row>
    <row r="155" spans="1:18" ht="15.6" x14ac:dyDescent="0.3">
      <c r="A155" s="260"/>
      <c r="B155" s="261" t="s">
        <v>62</v>
      </c>
      <c r="C155" s="261"/>
      <c r="D155" s="261"/>
      <c r="E155" s="261"/>
      <c r="F155" s="261"/>
      <c r="G155" s="261"/>
      <c r="H155" s="261"/>
      <c r="I155" s="261"/>
      <c r="J155" s="261"/>
      <c r="K155" s="261"/>
      <c r="L155" s="261"/>
      <c r="M155" s="261"/>
      <c r="N155" s="261"/>
      <c r="O155" s="261"/>
      <c r="P155" s="331">
        <f>P154+P153</f>
        <v>38</v>
      </c>
      <c r="Q155" s="264"/>
      <c r="R155" s="5"/>
    </row>
    <row r="156" spans="1:18" ht="15.6" x14ac:dyDescent="0.3">
      <c r="A156" s="260"/>
      <c r="B156" s="402" t="s">
        <v>297</v>
      </c>
      <c r="C156" s="261"/>
      <c r="D156" s="261"/>
      <c r="E156" s="261"/>
      <c r="F156" s="261"/>
      <c r="G156" s="261"/>
      <c r="H156" s="261"/>
      <c r="I156" s="261"/>
      <c r="J156" s="261"/>
      <c r="K156" s="261"/>
      <c r="L156" s="261"/>
      <c r="M156" s="261"/>
      <c r="N156" s="261"/>
      <c r="O156" s="261"/>
      <c r="P156" s="331">
        <f>P114</f>
        <v>-38</v>
      </c>
      <c r="Q156" s="264"/>
      <c r="R156" s="5"/>
    </row>
    <row r="157" spans="1:18" ht="15.6" x14ac:dyDescent="0.3">
      <c r="A157" s="260"/>
      <c r="B157" s="261" t="s">
        <v>63</v>
      </c>
      <c r="C157" s="261"/>
      <c r="D157" s="261"/>
      <c r="E157" s="261"/>
      <c r="F157" s="261"/>
      <c r="G157" s="261"/>
      <c r="H157" s="261"/>
      <c r="I157" s="261"/>
      <c r="J157" s="261"/>
      <c r="K157" s="261"/>
      <c r="L157" s="261"/>
      <c r="M157" s="261"/>
      <c r="N157" s="261"/>
      <c r="O157" s="261"/>
      <c r="P157" s="331">
        <f>P155+P156</f>
        <v>0</v>
      </c>
      <c r="Q157" s="264"/>
      <c r="R157" s="5"/>
    </row>
    <row r="158" spans="1:18" ht="15.6" x14ac:dyDescent="0.3">
      <c r="A158" s="260"/>
      <c r="B158" s="261" t="s">
        <v>268</v>
      </c>
      <c r="C158" s="261"/>
      <c r="D158" s="261"/>
      <c r="E158" s="261"/>
      <c r="F158" s="261"/>
      <c r="G158" s="261"/>
      <c r="H158" s="261"/>
      <c r="I158" s="261"/>
      <c r="J158" s="261"/>
      <c r="K158" s="261"/>
      <c r="L158" s="261"/>
      <c r="M158" s="261"/>
      <c r="N158" s="261"/>
      <c r="O158" s="261"/>
      <c r="P158" s="331">
        <f>-P101</f>
        <v>112</v>
      </c>
      <c r="Q158" s="264"/>
      <c r="R158" s="5"/>
    </row>
    <row r="159" spans="1:18" ht="16.2" thickBot="1" x14ac:dyDescent="0.35">
      <c r="A159" s="183"/>
      <c r="B159" s="190"/>
      <c r="C159" s="190"/>
      <c r="D159" s="190"/>
      <c r="E159" s="190"/>
      <c r="F159" s="190"/>
      <c r="G159" s="190"/>
      <c r="H159" s="190"/>
      <c r="I159" s="190"/>
      <c r="J159" s="190"/>
      <c r="K159" s="190"/>
      <c r="L159" s="190"/>
      <c r="M159" s="190"/>
      <c r="N159" s="190"/>
      <c r="O159" s="190"/>
      <c r="P159" s="341"/>
      <c r="Q159" s="190"/>
      <c r="R159" s="5"/>
    </row>
    <row r="160" spans="1:18" ht="15.6" x14ac:dyDescent="0.3">
      <c r="A160" s="180"/>
      <c r="B160" s="181"/>
      <c r="C160" s="181"/>
      <c r="D160" s="181"/>
      <c r="E160" s="181"/>
      <c r="F160" s="181"/>
      <c r="G160" s="181"/>
      <c r="H160" s="181"/>
      <c r="I160" s="181"/>
      <c r="J160" s="181"/>
      <c r="K160" s="181"/>
      <c r="L160" s="181"/>
      <c r="M160" s="181"/>
      <c r="N160" s="181"/>
      <c r="O160" s="181"/>
      <c r="P160" s="200"/>
      <c r="Q160" s="181"/>
      <c r="R160" s="5"/>
    </row>
    <row r="161" spans="1:19" ht="15.6" x14ac:dyDescent="0.3">
      <c r="A161" s="183"/>
      <c r="B161" s="209" t="s">
        <v>64</v>
      </c>
      <c r="C161" s="185"/>
      <c r="D161" s="185"/>
      <c r="E161" s="185"/>
      <c r="F161" s="185"/>
      <c r="G161" s="185"/>
      <c r="H161" s="185"/>
      <c r="I161" s="185"/>
      <c r="J161" s="185"/>
      <c r="K161" s="185"/>
      <c r="L161" s="185"/>
      <c r="M161" s="185"/>
      <c r="N161" s="185"/>
      <c r="O161" s="185"/>
      <c r="P161" s="201"/>
      <c r="Q161" s="185"/>
      <c r="R161" s="5"/>
    </row>
    <row r="162" spans="1:19" ht="15.6" x14ac:dyDescent="0.3">
      <c r="A162" s="183"/>
      <c r="B162" s="196"/>
      <c r="C162" s="185"/>
      <c r="D162" s="185"/>
      <c r="E162" s="185"/>
      <c r="F162" s="185"/>
      <c r="G162" s="185"/>
      <c r="H162" s="185"/>
      <c r="I162" s="185"/>
      <c r="J162" s="185"/>
      <c r="K162" s="185"/>
      <c r="L162" s="185"/>
      <c r="M162" s="185"/>
      <c r="N162" s="185"/>
      <c r="O162" s="185"/>
      <c r="P162" s="201"/>
      <c r="Q162" s="185"/>
      <c r="R162" s="5"/>
    </row>
    <row r="163" spans="1:19" ht="15.6" x14ac:dyDescent="0.3">
      <c r="A163" s="260"/>
      <c r="B163" s="261" t="s">
        <v>221</v>
      </c>
      <c r="C163" s="261"/>
      <c r="D163" s="261"/>
      <c r="E163" s="261"/>
      <c r="F163" s="261"/>
      <c r="G163" s="261"/>
      <c r="H163" s="261"/>
      <c r="I163" s="261"/>
      <c r="J163" s="261"/>
      <c r="K163" s="261"/>
      <c r="L163" s="261"/>
      <c r="M163" s="261"/>
      <c r="N163" s="261"/>
      <c r="O163" s="261"/>
      <c r="P163" s="331">
        <f>P72</f>
        <v>382601</v>
      </c>
      <c r="Q163" s="264"/>
      <c r="R163" s="5"/>
    </row>
    <row r="164" spans="1:19" ht="15.6" x14ac:dyDescent="0.3">
      <c r="A164" s="260"/>
      <c r="B164" s="261" t="s">
        <v>273</v>
      </c>
      <c r="C164" s="261"/>
      <c r="D164" s="261"/>
      <c r="E164" s="261"/>
      <c r="F164" s="261"/>
      <c r="G164" s="261"/>
      <c r="H164" s="261"/>
      <c r="I164" s="261"/>
      <c r="J164" s="261"/>
      <c r="K164" s="261"/>
      <c r="L164" s="261"/>
      <c r="M164" s="261"/>
      <c r="N164" s="261"/>
      <c r="O164" s="261"/>
      <c r="P164" s="331">
        <f>+P85</f>
        <v>0</v>
      </c>
      <c r="Q164" s="264"/>
      <c r="R164" s="5"/>
    </row>
    <row r="165" spans="1:19" ht="15.6" x14ac:dyDescent="0.3">
      <c r="A165" s="260"/>
      <c r="B165" s="261" t="s">
        <v>65</v>
      </c>
      <c r="C165" s="261"/>
      <c r="D165" s="261"/>
      <c r="E165" s="261"/>
      <c r="F165" s="261"/>
      <c r="G165" s="261"/>
      <c r="H165" s="261"/>
      <c r="I165" s="261"/>
      <c r="J165" s="261"/>
      <c r="K165" s="261"/>
      <c r="L165" s="261"/>
      <c r="M165" s="261"/>
      <c r="N165" s="261"/>
      <c r="O165" s="261"/>
      <c r="P165" s="331">
        <f>P38</f>
        <v>382600.8344079511</v>
      </c>
      <c r="Q165" s="264"/>
      <c r="R165" s="5"/>
      <c r="S165" s="109"/>
    </row>
    <row r="166" spans="1:19" ht="16.2" thickBot="1" x14ac:dyDescent="0.35">
      <c r="A166" s="183"/>
      <c r="B166" s="190"/>
      <c r="C166" s="190"/>
      <c r="D166" s="190"/>
      <c r="E166" s="190"/>
      <c r="F166" s="190"/>
      <c r="G166" s="190"/>
      <c r="H166" s="190"/>
      <c r="I166" s="190"/>
      <c r="J166" s="190"/>
      <c r="K166" s="190"/>
      <c r="L166" s="190"/>
      <c r="M166" s="190"/>
      <c r="N166" s="190"/>
      <c r="O166" s="190"/>
      <c r="P166" s="341"/>
      <c r="Q166" s="190"/>
      <c r="R166" s="5"/>
    </row>
    <row r="167" spans="1:19" ht="15.6" x14ac:dyDescent="0.3">
      <c r="A167" s="180"/>
      <c r="B167" s="181"/>
      <c r="C167" s="181"/>
      <c r="D167" s="181"/>
      <c r="E167" s="181"/>
      <c r="F167" s="181"/>
      <c r="G167" s="181"/>
      <c r="H167" s="181"/>
      <c r="I167" s="181"/>
      <c r="J167" s="181"/>
      <c r="K167" s="181"/>
      <c r="L167" s="181"/>
      <c r="M167" s="181"/>
      <c r="N167" s="181"/>
      <c r="O167" s="181"/>
      <c r="P167" s="200"/>
      <c r="Q167" s="181"/>
      <c r="R167" s="5"/>
    </row>
    <row r="168" spans="1:19" ht="15.6" x14ac:dyDescent="0.3">
      <c r="A168" s="183"/>
      <c r="B168" s="209" t="s">
        <v>66</v>
      </c>
      <c r="C168" s="205"/>
      <c r="D168" s="205"/>
      <c r="E168" s="205"/>
      <c r="F168" s="211"/>
      <c r="G168" s="211"/>
      <c r="H168" s="211"/>
      <c r="I168" s="211"/>
      <c r="J168" s="211"/>
      <c r="K168" s="211"/>
      <c r="L168" s="211"/>
      <c r="M168" s="211" t="s">
        <v>112</v>
      </c>
      <c r="N168" s="211" t="s">
        <v>120</v>
      </c>
      <c r="O168" s="187"/>
      <c r="P168" s="212" t="s">
        <v>129</v>
      </c>
      <c r="Q168" s="213"/>
      <c r="R168" s="5"/>
    </row>
    <row r="169" spans="1:19" ht="15.6" x14ac:dyDescent="0.3">
      <c r="A169" s="260"/>
      <c r="B169" s="261" t="s">
        <v>67</v>
      </c>
      <c r="C169" s="261"/>
      <c r="D169" s="261"/>
      <c r="E169" s="261"/>
      <c r="F169" s="261"/>
      <c r="G169" s="261"/>
      <c r="H169" s="261"/>
      <c r="I169" s="261"/>
      <c r="J169" s="261"/>
      <c r="K169" s="261"/>
      <c r="L169" s="261"/>
      <c r="M169" s="331">
        <v>144000</v>
      </c>
      <c r="N169" s="292">
        <v>0</v>
      </c>
      <c r="O169" s="261"/>
      <c r="P169" s="331"/>
      <c r="Q169" s="264"/>
      <c r="R169" s="5"/>
    </row>
    <row r="170" spans="1:19" ht="15.6" x14ac:dyDescent="0.3">
      <c r="A170" s="260"/>
      <c r="B170" s="261" t="s">
        <v>68</v>
      </c>
      <c r="C170" s="261"/>
      <c r="D170" s="261"/>
      <c r="E170" s="261"/>
      <c r="F170" s="261"/>
      <c r="G170" s="261"/>
      <c r="H170" s="261"/>
      <c r="I170" s="261"/>
      <c r="J170" s="261"/>
      <c r="K170" s="261"/>
      <c r="L170" s="261"/>
      <c r="M170" s="331">
        <f>+'July 12'!M172</f>
        <v>87939</v>
      </c>
      <c r="N170" s="331">
        <f>+'July 12'!N172</f>
        <v>10217</v>
      </c>
      <c r="O170" s="261"/>
      <c r="P170" s="331">
        <f>M170+N170</f>
        <v>98156</v>
      </c>
      <c r="Q170" s="264"/>
      <c r="R170" s="5"/>
    </row>
    <row r="171" spans="1:19" ht="15.6" x14ac:dyDescent="0.3">
      <c r="A171" s="260"/>
      <c r="B171" s="261" t="s">
        <v>69</v>
      </c>
      <c r="C171" s="261"/>
      <c r="D171" s="261"/>
      <c r="E171" s="261"/>
      <c r="F171" s="261"/>
      <c r="G171" s="261"/>
      <c r="H171" s="261"/>
      <c r="I171" s="261"/>
      <c r="J171" s="261"/>
      <c r="K171" s="261"/>
      <c r="L171" s="261"/>
      <c r="M171" s="330">
        <v>27</v>
      </c>
      <c r="N171" s="330">
        <v>0</v>
      </c>
      <c r="O171" s="261"/>
      <c r="P171" s="331">
        <f>M171+N171</f>
        <v>27</v>
      </c>
      <c r="Q171" s="264"/>
      <c r="R171" s="5"/>
    </row>
    <row r="172" spans="1:19" ht="15.6" x14ac:dyDescent="0.3">
      <c r="A172" s="260"/>
      <c r="B172" s="261" t="s">
        <v>70</v>
      </c>
      <c r="C172" s="261"/>
      <c r="D172" s="261"/>
      <c r="E172" s="261"/>
      <c r="F172" s="261"/>
      <c r="G172" s="261"/>
      <c r="H172" s="261"/>
      <c r="I172" s="261"/>
      <c r="J172" s="261"/>
      <c r="K172" s="261"/>
      <c r="L172" s="261"/>
      <c r="M172" s="331">
        <f>M170+M171</f>
        <v>87966</v>
      </c>
      <c r="N172" s="331">
        <f>N171+N170</f>
        <v>10217</v>
      </c>
      <c r="O172" s="261"/>
      <c r="P172" s="331">
        <f>M172+N172</f>
        <v>98183</v>
      </c>
      <c r="Q172" s="264"/>
      <c r="R172" s="5"/>
    </row>
    <row r="173" spans="1:19" ht="15.6" x14ac:dyDescent="0.3">
      <c r="A173" s="260"/>
      <c r="B173" s="261" t="s">
        <v>71</v>
      </c>
      <c r="C173" s="261"/>
      <c r="D173" s="261"/>
      <c r="E173" s="261"/>
      <c r="F173" s="261"/>
      <c r="G173" s="261"/>
      <c r="H173" s="261"/>
      <c r="I173" s="261"/>
      <c r="J173" s="261"/>
      <c r="K173" s="261"/>
      <c r="L173" s="261"/>
      <c r="M173" s="331">
        <f>M169-M172-N172</f>
        <v>45817</v>
      </c>
      <c r="N173" s="292"/>
      <c r="O173" s="261"/>
      <c r="P173" s="331"/>
      <c r="Q173" s="264"/>
      <c r="R173" s="5"/>
    </row>
    <row r="174" spans="1:19" ht="16.2" thickBot="1" x14ac:dyDescent="0.35">
      <c r="A174" s="183"/>
      <c r="B174" s="190"/>
      <c r="C174" s="190"/>
      <c r="D174" s="190"/>
      <c r="E174" s="190"/>
      <c r="F174" s="190"/>
      <c r="G174" s="190"/>
      <c r="H174" s="190"/>
      <c r="I174" s="190"/>
      <c r="J174" s="190"/>
      <c r="K174" s="190"/>
      <c r="L174" s="190"/>
      <c r="M174" s="190"/>
      <c r="N174" s="190"/>
      <c r="O174" s="190"/>
      <c r="P174" s="341"/>
      <c r="Q174" s="190"/>
      <c r="R174" s="5"/>
    </row>
    <row r="175" spans="1:19" ht="15.6" x14ac:dyDescent="0.3">
      <c r="A175" s="180"/>
      <c r="B175" s="181"/>
      <c r="C175" s="181"/>
      <c r="D175" s="181"/>
      <c r="E175" s="181"/>
      <c r="F175" s="181"/>
      <c r="G175" s="181"/>
      <c r="H175" s="181"/>
      <c r="I175" s="181"/>
      <c r="J175" s="181"/>
      <c r="K175" s="181"/>
      <c r="L175" s="181"/>
      <c r="M175" s="181"/>
      <c r="N175" s="181"/>
      <c r="O175" s="181"/>
      <c r="P175" s="200"/>
      <c r="Q175" s="181"/>
      <c r="R175" s="5"/>
    </row>
    <row r="176" spans="1:19" ht="15.6" x14ac:dyDescent="0.3">
      <c r="A176" s="183"/>
      <c r="B176" s="209" t="s">
        <v>72</v>
      </c>
      <c r="C176" s="185"/>
      <c r="D176" s="185"/>
      <c r="E176" s="185"/>
      <c r="F176" s="185"/>
      <c r="G176" s="185"/>
      <c r="H176" s="185"/>
      <c r="I176" s="185"/>
      <c r="J176" s="185"/>
      <c r="K176" s="185"/>
      <c r="L176" s="185"/>
      <c r="M176" s="185"/>
      <c r="N176" s="185"/>
      <c r="O176" s="185"/>
      <c r="P176" s="214"/>
      <c r="Q176" s="185"/>
      <c r="R176" s="5"/>
    </row>
    <row r="177" spans="1:18" ht="15.6" x14ac:dyDescent="0.3">
      <c r="A177" s="260"/>
      <c r="B177" s="261" t="s">
        <v>73</v>
      </c>
      <c r="C177" s="261"/>
      <c r="D177" s="261"/>
      <c r="E177" s="261"/>
      <c r="F177" s="261"/>
      <c r="G177" s="261"/>
      <c r="H177" s="261"/>
      <c r="I177" s="261"/>
      <c r="J177" s="261"/>
      <c r="K177" s="261"/>
      <c r="L177" s="261"/>
      <c r="M177" s="261"/>
      <c r="N177" s="261"/>
      <c r="O177" s="261"/>
      <c r="P177" s="343">
        <f>(P102+P104+P105+P106+P107)/-(P108+P109+P110)</f>
        <v>2.1692466460268318</v>
      </c>
      <c r="Q177" s="264" t="s">
        <v>130</v>
      </c>
      <c r="R177" s="5"/>
    </row>
    <row r="178" spans="1:18" ht="15.6" x14ac:dyDescent="0.3">
      <c r="A178" s="260"/>
      <c r="B178" s="261" t="s">
        <v>74</v>
      </c>
      <c r="C178" s="261"/>
      <c r="D178" s="261"/>
      <c r="E178" s="261"/>
      <c r="F178" s="261"/>
      <c r="G178" s="261"/>
      <c r="H178" s="261"/>
      <c r="I178" s="261"/>
      <c r="J178" s="261"/>
      <c r="K178" s="261"/>
      <c r="L178" s="261"/>
      <c r="M178" s="261"/>
      <c r="N178" s="261"/>
      <c r="O178" s="261"/>
      <c r="P178" s="343">
        <v>1.5</v>
      </c>
      <c r="Q178" s="264" t="s">
        <v>130</v>
      </c>
      <c r="R178" s="5"/>
    </row>
    <row r="179" spans="1:18" ht="15.6" x14ac:dyDescent="0.3">
      <c r="A179" s="260"/>
      <c r="B179" s="261" t="s">
        <v>75</v>
      </c>
      <c r="C179" s="261"/>
      <c r="D179" s="261"/>
      <c r="E179" s="261"/>
      <c r="F179" s="261"/>
      <c r="G179" s="261"/>
      <c r="H179" s="261"/>
      <c r="I179" s="261"/>
      <c r="J179" s="261"/>
      <c r="K179" s="261"/>
      <c r="L179" s="261"/>
      <c r="M179" s="261"/>
      <c r="N179" s="261"/>
      <c r="O179" s="261"/>
      <c r="P179" s="342">
        <f>(P102+P104+P105+P106+P107+P108+P109+P110)/-(P111+P112)</f>
        <v>2.2981744421906694</v>
      </c>
      <c r="Q179" s="264" t="s">
        <v>130</v>
      </c>
      <c r="R179" s="5"/>
    </row>
    <row r="180" spans="1:18" ht="15.6" x14ac:dyDescent="0.3">
      <c r="A180" s="260"/>
      <c r="B180" s="261" t="s">
        <v>76</v>
      </c>
      <c r="C180" s="261"/>
      <c r="D180" s="261"/>
      <c r="E180" s="261"/>
      <c r="F180" s="261"/>
      <c r="G180" s="261"/>
      <c r="H180" s="261"/>
      <c r="I180" s="261"/>
      <c r="J180" s="261"/>
      <c r="K180" s="261"/>
      <c r="L180" s="261"/>
      <c r="M180" s="261"/>
      <c r="N180" s="261"/>
      <c r="O180" s="261"/>
      <c r="P180" s="343">
        <v>2.48</v>
      </c>
      <c r="Q180" s="264" t="s">
        <v>130</v>
      </c>
      <c r="R180" s="5"/>
    </row>
    <row r="181" spans="1:18" ht="15.6" x14ac:dyDescent="0.3">
      <c r="A181" s="260"/>
      <c r="B181" s="335"/>
      <c r="C181" s="335"/>
      <c r="D181" s="335"/>
      <c r="E181" s="335"/>
      <c r="F181" s="335"/>
      <c r="G181" s="335"/>
      <c r="H181" s="335"/>
      <c r="I181" s="335"/>
      <c r="J181" s="335"/>
      <c r="K181" s="335"/>
      <c r="L181" s="335"/>
      <c r="M181" s="335"/>
      <c r="N181" s="335"/>
      <c r="O181" s="335"/>
      <c r="P181" s="335"/>
      <c r="Q181" s="338"/>
      <c r="R181" s="5"/>
    </row>
    <row r="182" spans="1:18" ht="15.6" x14ac:dyDescent="0.3">
      <c r="A182" s="183"/>
      <c r="B182" s="190"/>
      <c r="C182" s="190"/>
      <c r="D182" s="190"/>
      <c r="E182" s="190"/>
      <c r="F182" s="190"/>
      <c r="G182" s="190"/>
      <c r="H182" s="190"/>
      <c r="I182" s="190"/>
      <c r="J182" s="190"/>
      <c r="K182" s="190"/>
      <c r="L182" s="190"/>
      <c r="M182" s="190"/>
      <c r="N182" s="190"/>
      <c r="O182" s="190"/>
      <c r="P182" s="190"/>
      <c r="Q182" s="190"/>
      <c r="R182" s="5"/>
    </row>
    <row r="183" spans="1:18" ht="15.6" x14ac:dyDescent="0.3">
      <c r="A183" s="183"/>
      <c r="B183" s="185"/>
      <c r="C183" s="185"/>
      <c r="D183" s="185"/>
      <c r="E183" s="185"/>
      <c r="F183" s="185"/>
      <c r="G183" s="185"/>
      <c r="H183" s="185"/>
      <c r="I183" s="185"/>
      <c r="J183" s="185"/>
      <c r="K183" s="185"/>
      <c r="L183" s="185"/>
      <c r="M183" s="185"/>
      <c r="N183" s="185"/>
      <c r="O183" s="185"/>
      <c r="P183" s="185"/>
      <c r="Q183" s="185"/>
      <c r="R183" s="5"/>
    </row>
    <row r="184" spans="1:18" ht="18" thickBot="1" x14ac:dyDescent="0.35">
      <c r="A184" s="199"/>
      <c r="B184" s="239" t="str">
        <f>B132</f>
        <v>PM7 INVESTOR REPORT QUARTER ENDING OCTOBER 2012</v>
      </c>
      <c r="C184" s="215"/>
      <c r="D184" s="215"/>
      <c r="E184" s="215"/>
      <c r="F184" s="215"/>
      <c r="G184" s="215"/>
      <c r="H184" s="215"/>
      <c r="I184" s="215"/>
      <c r="J184" s="215"/>
      <c r="K184" s="215"/>
      <c r="L184" s="215"/>
      <c r="M184" s="215"/>
      <c r="N184" s="215"/>
      <c r="O184" s="215"/>
      <c r="P184" s="215"/>
      <c r="Q184" s="216"/>
      <c r="R184" s="5"/>
    </row>
    <row r="185" spans="1:18" ht="15.6" x14ac:dyDescent="0.3">
      <c r="A185" s="323"/>
      <c r="B185" s="397" t="s">
        <v>77</v>
      </c>
      <c r="C185" s="398"/>
      <c r="D185" s="398"/>
      <c r="E185" s="399"/>
      <c r="F185" s="399"/>
      <c r="G185" s="399"/>
      <c r="H185" s="399"/>
      <c r="I185" s="399"/>
      <c r="J185" s="399"/>
      <c r="K185" s="399"/>
      <c r="L185" s="399"/>
      <c r="M185" s="399"/>
      <c r="N185" s="399">
        <v>41213</v>
      </c>
      <c r="O185" s="326"/>
      <c r="P185" s="326"/>
      <c r="Q185" s="326"/>
      <c r="R185" s="5"/>
    </row>
    <row r="186" spans="1:18" ht="15.6" x14ac:dyDescent="0.3">
      <c r="A186" s="217"/>
      <c r="B186" s="218"/>
      <c r="C186" s="219"/>
      <c r="D186" s="219"/>
      <c r="E186" s="220"/>
      <c r="F186" s="220"/>
      <c r="G186" s="220"/>
      <c r="H186" s="220"/>
      <c r="I186" s="220"/>
      <c r="J186" s="220"/>
      <c r="K186" s="220"/>
      <c r="L186" s="220"/>
      <c r="M186" s="220"/>
      <c r="N186" s="220"/>
      <c r="O186" s="185"/>
      <c r="P186" s="185"/>
      <c r="Q186" s="185"/>
      <c r="R186" s="5"/>
    </row>
    <row r="187" spans="1:18" ht="15.6" x14ac:dyDescent="0.3">
      <c r="A187" s="345"/>
      <c r="B187" s="261" t="s">
        <v>78</v>
      </c>
      <c r="C187" s="346"/>
      <c r="D187" s="346"/>
      <c r="E187" s="295"/>
      <c r="F187" s="295"/>
      <c r="G187" s="295"/>
      <c r="H187" s="295"/>
      <c r="I187" s="295"/>
      <c r="J187" s="295"/>
      <c r="K187" s="295"/>
      <c r="L187" s="295"/>
      <c r="M187" s="295"/>
      <c r="N187" s="290">
        <v>5.8069999999999997E-2</v>
      </c>
      <c r="O187" s="261"/>
      <c r="P187" s="261"/>
      <c r="Q187" s="264"/>
      <c r="R187" s="5"/>
    </row>
    <row r="188" spans="1:18" ht="15.6" x14ac:dyDescent="0.3">
      <c r="A188" s="345"/>
      <c r="B188" s="261" t="s">
        <v>219</v>
      </c>
      <c r="C188" s="346"/>
      <c r="D188" s="346"/>
      <c r="E188" s="295"/>
      <c r="F188" s="295"/>
      <c r="G188" s="295"/>
      <c r="H188" s="295"/>
      <c r="I188" s="295"/>
      <c r="J188" s="295"/>
      <c r="K188" s="295"/>
      <c r="L188" s="295"/>
      <c r="M188" s="295"/>
      <c r="N188" s="290">
        <v>5.1499999999999997E-2</v>
      </c>
      <c r="O188" s="261"/>
      <c r="P188" s="261"/>
      <c r="Q188" s="264"/>
      <c r="R188" s="5"/>
    </row>
    <row r="189" spans="1:18" ht="15.6" x14ac:dyDescent="0.3">
      <c r="A189" s="345"/>
      <c r="B189" s="261" t="s">
        <v>79</v>
      </c>
      <c r="C189" s="346"/>
      <c r="D189" s="346"/>
      <c r="E189" s="295"/>
      <c r="F189" s="295"/>
      <c r="G189" s="295"/>
      <c r="H189" s="295"/>
      <c r="I189" s="295"/>
      <c r="J189" s="295"/>
      <c r="K189" s="295"/>
      <c r="L189" s="295"/>
      <c r="M189" s="295"/>
      <c r="N189" s="290">
        <f>N187-N188</f>
        <v>6.5699999999999995E-3</v>
      </c>
      <c r="O189" s="261"/>
      <c r="P189" s="261"/>
      <c r="Q189" s="264"/>
      <c r="R189" s="5"/>
    </row>
    <row r="190" spans="1:18" ht="15.6" x14ac:dyDescent="0.3">
      <c r="A190" s="345"/>
      <c r="B190" s="261" t="s">
        <v>80</v>
      </c>
      <c r="C190" s="346"/>
      <c r="D190" s="346"/>
      <c r="E190" s="295"/>
      <c r="F190" s="295"/>
      <c r="G190" s="295"/>
      <c r="H190" s="295"/>
      <c r="I190" s="295"/>
      <c r="J190" s="295"/>
      <c r="K190" s="295"/>
      <c r="L190" s="295"/>
      <c r="M190" s="295"/>
      <c r="N190" s="290">
        <v>2.3859999999999999E-2</v>
      </c>
      <c r="O190" s="261"/>
      <c r="P190" s="261"/>
      <c r="Q190" s="264"/>
      <c r="R190" s="5"/>
    </row>
    <row r="191" spans="1:18" ht="15.6" x14ac:dyDescent="0.3">
      <c r="A191" s="345"/>
      <c r="B191" s="261" t="s">
        <v>241</v>
      </c>
      <c r="C191" s="346"/>
      <c r="D191" s="346"/>
      <c r="E191" s="295"/>
      <c r="F191" s="295"/>
      <c r="G191" s="295"/>
      <c r="H191" s="295"/>
      <c r="I191" s="295"/>
      <c r="J191" s="295"/>
      <c r="K191" s="295"/>
      <c r="L191" s="295"/>
      <c r="M191" s="295"/>
      <c r="N191" s="290">
        <f>+P45</f>
        <v>1.5100632610729693E-2</v>
      </c>
      <c r="O191" s="261"/>
      <c r="P191" s="261"/>
      <c r="Q191" s="264"/>
      <c r="R191" s="5"/>
    </row>
    <row r="192" spans="1:18" ht="15.6" x14ac:dyDescent="0.3">
      <c r="A192" s="345"/>
      <c r="B192" s="261" t="s">
        <v>81</v>
      </c>
      <c r="C192" s="346"/>
      <c r="D192" s="346"/>
      <c r="E192" s="295"/>
      <c r="F192" s="295"/>
      <c r="G192" s="295"/>
      <c r="H192" s="295"/>
      <c r="I192" s="295"/>
      <c r="J192" s="295"/>
      <c r="K192" s="295"/>
      <c r="L192" s="295"/>
      <c r="M192" s="295"/>
      <c r="N192" s="290">
        <f>N190-N191</f>
        <v>8.7593673892703058E-3</v>
      </c>
      <c r="O192" s="261"/>
      <c r="P192" s="261"/>
      <c r="Q192" s="264"/>
      <c r="R192" s="5"/>
    </row>
    <row r="193" spans="1:18" ht="15.6" x14ac:dyDescent="0.3">
      <c r="A193" s="345"/>
      <c r="B193" s="261" t="s">
        <v>257</v>
      </c>
      <c r="C193" s="346"/>
      <c r="D193" s="346"/>
      <c r="E193" s="295"/>
      <c r="F193" s="295"/>
      <c r="G193" s="295"/>
      <c r="H193" s="295"/>
      <c r="I193" s="295"/>
      <c r="J193" s="295"/>
      <c r="K193" s="295"/>
      <c r="L193" s="295"/>
      <c r="M193" s="295"/>
      <c r="N193" s="290">
        <f>+P102/H72</f>
        <v>6.0939354048040045E-3</v>
      </c>
      <c r="O193" s="261"/>
      <c r="P193" s="261"/>
      <c r="Q193" s="264"/>
      <c r="R193" s="5"/>
    </row>
    <row r="194" spans="1:18" ht="15.6" x14ac:dyDescent="0.3">
      <c r="A194" s="345"/>
      <c r="B194" s="261" t="s">
        <v>170</v>
      </c>
      <c r="C194" s="346"/>
      <c r="D194" s="346"/>
      <c r="E194" s="295"/>
      <c r="F194" s="295"/>
      <c r="G194" s="295"/>
      <c r="H194" s="295"/>
      <c r="I194" s="295"/>
      <c r="J194" s="295"/>
      <c r="K194" s="295"/>
      <c r="L194" s="295"/>
      <c r="M194" s="295"/>
      <c r="N194" s="347">
        <v>49065</v>
      </c>
      <c r="O194" s="261"/>
      <c r="P194" s="261"/>
      <c r="Q194" s="264"/>
      <c r="R194" s="5"/>
    </row>
    <row r="195" spans="1:18" ht="15.6" x14ac:dyDescent="0.3">
      <c r="A195" s="345"/>
      <c r="B195" s="261" t="s">
        <v>171</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172</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138</v>
      </c>
      <c r="C197" s="346"/>
      <c r="D197" s="346"/>
      <c r="E197" s="295"/>
      <c r="F197" s="295"/>
      <c r="G197" s="295"/>
      <c r="H197" s="295"/>
      <c r="I197" s="295"/>
      <c r="J197" s="295"/>
      <c r="K197" s="295"/>
      <c r="L197" s="295"/>
      <c r="M197" s="295"/>
      <c r="N197" s="347">
        <v>52352</v>
      </c>
      <c r="O197" s="261"/>
      <c r="P197" s="261"/>
      <c r="Q197" s="264"/>
      <c r="R197" s="5"/>
    </row>
    <row r="198" spans="1:18" ht="15.6" x14ac:dyDescent="0.3">
      <c r="A198" s="345"/>
      <c r="B198" s="261" t="s">
        <v>139</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82</v>
      </c>
      <c r="C199" s="346"/>
      <c r="D199" s="346"/>
      <c r="E199" s="295"/>
      <c r="F199" s="295"/>
      <c r="G199" s="295"/>
      <c r="H199" s="295"/>
      <c r="I199" s="295"/>
      <c r="J199" s="295"/>
      <c r="K199" s="295"/>
      <c r="L199" s="295"/>
      <c r="M199" s="295"/>
      <c r="N199" s="294">
        <v>20.45</v>
      </c>
      <c r="O199" s="261" t="s">
        <v>125</v>
      </c>
      <c r="P199" s="261"/>
      <c r="Q199" s="264"/>
      <c r="R199" s="5"/>
    </row>
    <row r="200" spans="1:18" ht="15.6" x14ac:dyDescent="0.3">
      <c r="A200" s="345"/>
      <c r="B200" s="261" t="s">
        <v>83</v>
      </c>
      <c r="C200" s="346"/>
      <c r="D200" s="346"/>
      <c r="E200" s="295"/>
      <c r="F200" s="295"/>
      <c r="G200" s="295"/>
      <c r="H200" s="295"/>
      <c r="I200" s="295"/>
      <c r="J200" s="295"/>
      <c r="K200" s="295"/>
      <c r="L200" s="295"/>
      <c r="M200" s="295"/>
      <c r="N200" s="294">
        <v>13.82</v>
      </c>
      <c r="O200" s="261" t="s">
        <v>125</v>
      </c>
      <c r="P200" s="261"/>
      <c r="Q200" s="264"/>
      <c r="R200" s="5"/>
    </row>
    <row r="201" spans="1:18" ht="15.6" x14ac:dyDescent="0.3">
      <c r="A201" s="345"/>
      <c r="B201" s="261" t="s">
        <v>84</v>
      </c>
      <c r="C201" s="346"/>
      <c r="D201" s="346"/>
      <c r="E201" s="295"/>
      <c r="F201" s="295"/>
      <c r="G201" s="295"/>
      <c r="H201" s="295"/>
      <c r="I201" s="295"/>
      <c r="J201" s="295"/>
      <c r="K201" s="295"/>
      <c r="L201" s="295"/>
      <c r="M201" s="295"/>
      <c r="N201" s="290">
        <f>J69/H69</f>
        <v>6.6547747944238024E-3</v>
      </c>
      <c r="O201" s="261"/>
      <c r="P201" s="261"/>
      <c r="Q201" s="264"/>
      <c r="R201" s="5"/>
    </row>
    <row r="202" spans="1:18" ht="15.6" x14ac:dyDescent="0.3">
      <c r="A202" s="345"/>
      <c r="B202" s="261" t="s">
        <v>85</v>
      </c>
      <c r="C202" s="346"/>
      <c r="D202" s="346"/>
      <c r="E202" s="295"/>
      <c r="F202" s="295"/>
      <c r="G202" s="295"/>
      <c r="H202" s="295"/>
      <c r="I202" s="295"/>
      <c r="J202" s="295"/>
      <c r="K202" s="295"/>
      <c r="L202" s="295"/>
      <c r="M202" s="295"/>
      <c r="N202" s="290">
        <v>0.1137</v>
      </c>
      <c r="O202" s="261"/>
      <c r="P202" s="261"/>
      <c r="Q202" s="264"/>
      <c r="R202" s="5"/>
    </row>
    <row r="203" spans="1:18" ht="15.6" x14ac:dyDescent="0.3">
      <c r="A203" s="217"/>
      <c r="B203" s="222"/>
      <c r="C203" s="222"/>
      <c r="D203" s="222"/>
      <c r="E203" s="190"/>
      <c r="F203" s="190"/>
      <c r="G203" s="190"/>
      <c r="H203" s="190"/>
      <c r="I203" s="190"/>
      <c r="J203" s="190"/>
      <c r="K203" s="190"/>
      <c r="L203" s="190"/>
      <c r="M203" s="190"/>
      <c r="N203" s="341"/>
      <c r="O203" s="190"/>
      <c r="P203" s="344"/>
      <c r="Q203" s="190"/>
      <c r="R203" s="5"/>
    </row>
    <row r="204" spans="1:18" ht="15.6" x14ac:dyDescent="0.3">
      <c r="A204" s="322"/>
      <c r="B204" s="393" t="s">
        <v>86</v>
      </c>
      <c r="C204" s="395"/>
      <c r="D204" s="400"/>
      <c r="E204" s="395"/>
      <c r="F204" s="395"/>
      <c r="G204" s="395"/>
      <c r="H204" s="395"/>
      <c r="I204" s="395"/>
      <c r="J204" s="395"/>
      <c r="K204" s="395"/>
      <c r="L204" s="395"/>
      <c r="M204" s="395" t="s">
        <v>113</v>
      </c>
      <c r="N204" s="400" t="s">
        <v>121</v>
      </c>
      <c r="O204" s="252"/>
      <c r="P204" s="252"/>
      <c r="Q204" s="252"/>
      <c r="R204" s="5"/>
    </row>
    <row r="205" spans="1:18" ht="15.6" x14ac:dyDescent="0.3">
      <c r="A205" s="221"/>
      <c r="B205" s="230" t="s">
        <v>87</v>
      </c>
      <c r="C205" s="235"/>
      <c r="D205" s="230"/>
      <c r="E205" s="230"/>
      <c r="F205" s="234"/>
      <c r="G205" s="234"/>
      <c r="H205" s="234"/>
      <c r="I205" s="234"/>
      <c r="J205" s="234"/>
      <c r="K205" s="234"/>
      <c r="L205" s="234"/>
      <c r="M205" s="234">
        <v>0</v>
      </c>
      <c r="N205" s="305">
        <v>0</v>
      </c>
      <c r="O205" s="230"/>
      <c r="P205" s="306"/>
      <c r="Q205" s="307"/>
      <c r="R205" s="5"/>
    </row>
    <row r="206" spans="1:18" ht="15.6" x14ac:dyDescent="0.3">
      <c r="A206" s="351"/>
      <c r="B206" s="261" t="s">
        <v>203</v>
      </c>
      <c r="C206" s="330"/>
      <c r="D206" s="261"/>
      <c r="E206" s="261"/>
      <c r="F206" s="268"/>
      <c r="G206" s="268"/>
      <c r="H206" s="268"/>
      <c r="I206" s="268"/>
      <c r="J206" s="268"/>
      <c r="K206" s="268"/>
      <c r="L206" s="268"/>
      <c r="M206" s="352">
        <f>+L254</f>
        <v>55</v>
      </c>
      <c r="N206" s="353">
        <f>+N254</f>
        <v>9075</v>
      </c>
      <c r="O206" s="261"/>
      <c r="P206" s="354"/>
      <c r="Q206" s="355"/>
      <c r="R206" s="5"/>
    </row>
    <row r="207" spans="1:18" ht="15.6" x14ac:dyDescent="0.3">
      <c r="A207" s="351"/>
      <c r="B207" s="261" t="s">
        <v>88</v>
      </c>
      <c r="C207" s="330"/>
      <c r="D207" s="261"/>
      <c r="E207" s="261"/>
      <c r="F207" s="268"/>
      <c r="G207" s="268"/>
      <c r="H207" s="268"/>
      <c r="I207" s="268"/>
      <c r="J207" s="268"/>
      <c r="K207" s="268"/>
      <c r="L207" s="268"/>
      <c r="M207" s="352">
        <f>+L265</f>
        <v>0</v>
      </c>
      <c r="N207" s="353">
        <f>+N265</f>
        <v>0</v>
      </c>
      <c r="O207" s="261"/>
      <c r="P207" s="354"/>
      <c r="Q207" s="355"/>
      <c r="R207" s="5"/>
    </row>
    <row r="208" spans="1:18" ht="15.6" x14ac:dyDescent="0.3">
      <c r="A208" s="351"/>
      <c r="B208" s="282" t="s">
        <v>89</v>
      </c>
      <c r="C208" s="356"/>
      <c r="D208" s="335"/>
      <c r="E208" s="335"/>
      <c r="F208" s="335"/>
      <c r="G208" s="335"/>
      <c r="H208" s="335"/>
      <c r="I208" s="335"/>
      <c r="J208" s="335"/>
      <c r="K208" s="335"/>
      <c r="L208" s="335"/>
      <c r="M208" s="335"/>
      <c r="N208" s="353">
        <v>0</v>
      </c>
      <c r="O208" s="335"/>
      <c r="P208" s="358"/>
      <c r="Q208" s="359"/>
      <c r="R208" s="5"/>
    </row>
    <row r="209" spans="1:18" ht="15.6" x14ac:dyDescent="0.3">
      <c r="A209" s="351"/>
      <c r="B209" s="282" t="s">
        <v>90</v>
      </c>
      <c r="C209" s="356"/>
      <c r="D209" s="335"/>
      <c r="E209" s="335"/>
      <c r="F209" s="335"/>
      <c r="G209" s="335"/>
      <c r="H209" s="335"/>
      <c r="I209" s="335"/>
      <c r="J209" s="335"/>
      <c r="K209" s="335"/>
      <c r="L209" s="335"/>
      <c r="M209" s="335"/>
      <c r="N209" s="369" t="s">
        <v>122</v>
      </c>
      <c r="O209" s="335"/>
      <c r="P209" s="358"/>
      <c r="Q209" s="359"/>
      <c r="R209" s="5"/>
    </row>
    <row r="210" spans="1:18" ht="15.6" x14ac:dyDescent="0.3">
      <c r="A210" s="360"/>
      <c r="B210" s="282" t="s">
        <v>91</v>
      </c>
      <c r="C210" s="361"/>
      <c r="D210" s="361"/>
      <c r="E210" s="335"/>
      <c r="F210" s="335"/>
      <c r="G210" s="335"/>
      <c r="H210" s="335"/>
      <c r="I210" s="335"/>
      <c r="J210" s="362"/>
      <c r="K210" s="335"/>
      <c r="L210" s="335"/>
      <c r="M210" s="335"/>
      <c r="N210" s="357"/>
      <c r="O210" s="335"/>
      <c r="P210" s="358"/>
      <c r="Q210" s="363"/>
      <c r="R210" s="5"/>
    </row>
    <row r="211" spans="1:18" ht="15.6" x14ac:dyDescent="0.3">
      <c r="A211" s="360"/>
      <c r="B211" s="261" t="s">
        <v>92</v>
      </c>
      <c r="C211" s="261"/>
      <c r="D211" s="261"/>
      <c r="E211" s="261"/>
      <c r="F211" s="261"/>
      <c r="G211" s="261"/>
      <c r="H211" s="261"/>
      <c r="I211" s="261"/>
      <c r="J211" s="261"/>
      <c r="K211" s="261"/>
      <c r="L211" s="261"/>
      <c r="M211" s="261"/>
      <c r="N211" s="353">
        <f>P154</f>
        <v>38</v>
      </c>
      <c r="O211" s="261"/>
      <c r="P211" s="354"/>
      <c r="Q211" s="363"/>
      <c r="R211" s="5"/>
    </row>
    <row r="212" spans="1:18" ht="15.6" x14ac:dyDescent="0.3">
      <c r="A212" s="351"/>
      <c r="B212" s="261" t="s">
        <v>93</v>
      </c>
      <c r="C212" s="330"/>
      <c r="D212" s="330"/>
      <c r="E212" s="261"/>
      <c r="F212" s="261"/>
      <c r="G212" s="261"/>
      <c r="H212" s="261"/>
      <c r="I212" s="261"/>
      <c r="J212" s="261"/>
      <c r="K212" s="261"/>
      <c r="L212" s="261"/>
      <c r="M212" s="261"/>
      <c r="N212" s="353">
        <f>'July 12'!N212+'Oct 12'!N211</f>
        <v>4936</v>
      </c>
      <c r="O212" s="261"/>
      <c r="P212" s="354"/>
      <c r="Q212" s="363"/>
      <c r="R212" s="5"/>
    </row>
    <row r="213" spans="1:18" ht="15.6" x14ac:dyDescent="0.3">
      <c r="A213" s="360"/>
      <c r="B213" s="282" t="s">
        <v>278</v>
      </c>
      <c r="C213" s="361"/>
      <c r="D213" s="361"/>
      <c r="E213" s="335"/>
      <c r="F213" s="335"/>
      <c r="G213" s="335"/>
      <c r="H213" s="335"/>
      <c r="I213" s="335"/>
      <c r="J213" s="335"/>
      <c r="K213" s="335"/>
      <c r="L213" s="335"/>
      <c r="M213" s="335"/>
      <c r="N213" s="357"/>
      <c r="O213" s="335"/>
      <c r="P213" s="358"/>
      <c r="Q213" s="363"/>
      <c r="R213" s="5"/>
    </row>
    <row r="214" spans="1:18" ht="15.6" x14ac:dyDescent="0.3">
      <c r="A214" s="360"/>
      <c r="B214" s="261" t="s">
        <v>276</v>
      </c>
      <c r="C214" s="261"/>
      <c r="D214" s="261"/>
      <c r="E214" s="261"/>
      <c r="F214" s="261"/>
      <c r="G214" s="261"/>
      <c r="H214" s="261"/>
      <c r="I214" s="261"/>
      <c r="J214" s="261"/>
      <c r="K214" s="261"/>
      <c r="L214" s="261"/>
      <c r="M214" s="268">
        <v>0</v>
      </c>
      <c r="N214" s="353">
        <v>0</v>
      </c>
      <c r="O214" s="261"/>
      <c r="P214" s="354"/>
      <c r="Q214" s="363"/>
      <c r="R214" s="5"/>
    </row>
    <row r="215" spans="1:18" ht="15.6" x14ac:dyDescent="0.3">
      <c r="A215" s="351"/>
      <c r="B215" s="261" t="s">
        <v>95</v>
      </c>
      <c r="C215" s="292"/>
      <c r="D215" s="368"/>
      <c r="E215" s="261"/>
      <c r="F215" s="261"/>
      <c r="G215" s="261"/>
      <c r="H215" s="261"/>
      <c r="I215" s="261"/>
      <c r="J215" s="261"/>
      <c r="K215" s="261"/>
      <c r="L215" s="261"/>
      <c r="M215" s="261"/>
      <c r="N215" s="369">
        <v>0</v>
      </c>
      <c r="O215" s="261"/>
      <c r="P215" s="354"/>
      <c r="Q215" s="363"/>
      <c r="R215" s="5"/>
    </row>
    <row r="216" spans="1:18" ht="15.6" x14ac:dyDescent="0.3">
      <c r="A216" s="351"/>
      <c r="B216" s="261" t="s">
        <v>96</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82" t="s">
        <v>251</v>
      </c>
      <c r="C217" s="370"/>
      <c r="D217" s="371"/>
      <c r="E217" s="335"/>
      <c r="F217" s="335"/>
      <c r="G217" s="335"/>
      <c r="H217" s="335"/>
      <c r="I217" s="335"/>
      <c r="J217" s="335"/>
      <c r="K217" s="335"/>
      <c r="L217" s="335"/>
      <c r="M217" s="335"/>
      <c r="N217" s="372"/>
      <c r="O217" s="335"/>
      <c r="P217" s="358"/>
      <c r="Q217" s="363"/>
      <c r="R217" s="5"/>
    </row>
    <row r="218" spans="1:18" ht="15.6" x14ac:dyDescent="0.3">
      <c r="A218" s="351"/>
      <c r="B218" s="261" t="s">
        <v>276</v>
      </c>
      <c r="C218" s="292"/>
      <c r="D218" s="368"/>
      <c r="E218" s="261"/>
      <c r="F218" s="261"/>
      <c r="G218" s="261"/>
      <c r="H218" s="261"/>
      <c r="I218" s="261"/>
      <c r="J218" s="261"/>
      <c r="K218" s="261"/>
      <c r="L218" s="261"/>
      <c r="M218" s="268">
        <v>2</v>
      </c>
      <c r="N218" s="353">
        <v>274</v>
      </c>
      <c r="O218" s="261"/>
      <c r="P218" s="354"/>
      <c r="Q218" s="373"/>
      <c r="R218" s="308"/>
    </row>
    <row r="219" spans="1:18" ht="15.6" x14ac:dyDescent="0.3">
      <c r="A219" s="351"/>
      <c r="B219" s="261" t="s">
        <v>252</v>
      </c>
      <c r="C219" s="292"/>
      <c r="D219" s="368"/>
      <c r="E219" s="261"/>
      <c r="F219" s="261"/>
      <c r="G219" s="261"/>
      <c r="H219" s="261"/>
      <c r="I219" s="261"/>
      <c r="J219" s="261"/>
      <c r="K219" s="261"/>
      <c r="L219" s="261"/>
      <c r="M219" s="261"/>
      <c r="N219" s="369">
        <v>0.97</v>
      </c>
      <c r="O219" s="261"/>
      <c r="P219" s="354"/>
      <c r="Q219" s="373"/>
      <c r="R219" s="308"/>
    </row>
    <row r="220" spans="1:18" ht="15.6" x14ac:dyDescent="0.3">
      <c r="A220" s="351"/>
      <c r="B220" s="361"/>
      <c r="C220" s="370"/>
      <c r="D220" s="371"/>
      <c r="E220" s="335"/>
      <c r="F220" s="335"/>
      <c r="G220" s="335"/>
      <c r="H220" s="335"/>
      <c r="I220" s="335"/>
      <c r="J220" s="335"/>
      <c r="K220" s="335"/>
      <c r="L220" s="335"/>
      <c r="M220" s="335"/>
      <c r="N220" s="374"/>
      <c r="O220" s="335"/>
      <c r="P220" s="358"/>
      <c r="Q220" s="363"/>
      <c r="R220" s="5"/>
    </row>
    <row r="221" spans="1:18" ht="17.399999999999999" x14ac:dyDescent="0.3">
      <c r="A221" s="351"/>
      <c r="B221" s="375" t="s">
        <v>244</v>
      </c>
      <c r="C221" s="370"/>
      <c r="D221" s="371"/>
      <c r="E221" s="335"/>
      <c r="F221" s="335"/>
      <c r="G221" s="335"/>
      <c r="H221" s="335"/>
      <c r="I221" s="376"/>
      <c r="J221" s="377" t="s">
        <v>243</v>
      </c>
      <c r="K221" s="335"/>
      <c r="L221" s="335"/>
      <c r="M221" s="335"/>
      <c r="N221" s="374"/>
      <c r="O221" s="335"/>
      <c r="P221" s="358"/>
      <c r="Q221" s="363"/>
      <c r="R221" s="5"/>
    </row>
    <row r="222" spans="1:18" ht="15.6" x14ac:dyDescent="0.3">
      <c r="A222" s="348"/>
      <c r="B222" s="222"/>
      <c r="C222" s="223"/>
      <c r="D222" s="224"/>
      <c r="E222" s="190"/>
      <c r="F222" s="190"/>
      <c r="G222" s="190"/>
      <c r="H222" s="190"/>
      <c r="I222" s="190"/>
      <c r="J222" s="190"/>
      <c r="K222" s="190"/>
      <c r="L222" s="190"/>
      <c r="M222" s="190"/>
      <c r="N222" s="349"/>
      <c r="O222" s="190"/>
      <c r="P222" s="344"/>
      <c r="Q222" s="350"/>
      <c r="R222" s="5"/>
    </row>
    <row r="223" spans="1:18" ht="15.6" x14ac:dyDescent="0.3">
      <c r="A223" s="251"/>
      <c r="B223" s="393" t="s">
        <v>290</v>
      </c>
      <c r="C223" s="395"/>
      <c r="D223" s="400"/>
      <c r="E223" s="395"/>
      <c r="F223" s="395"/>
      <c r="G223" s="395"/>
      <c r="H223" s="395"/>
      <c r="I223" s="395"/>
      <c r="J223" s="395"/>
      <c r="K223" s="395"/>
      <c r="L223" s="400" t="s">
        <v>113</v>
      </c>
      <c r="M223" s="395" t="s">
        <v>114</v>
      </c>
      <c r="N223" s="400" t="s">
        <v>123</v>
      </c>
      <c r="O223" s="395" t="s">
        <v>114</v>
      </c>
      <c r="P223" s="252"/>
      <c r="Q223" s="393"/>
      <c r="R223" s="5"/>
    </row>
    <row r="224" spans="1:18" ht="15.6" x14ac:dyDescent="0.3">
      <c r="A224" s="198"/>
      <c r="B224" s="235" t="s">
        <v>98</v>
      </c>
      <c r="C224" s="309"/>
      <c r="D224" s="230"/>
      <c r="E224" s="309"/>
      <c r="F224" s="309"/>
      <c r="G224" s="309"/>
      <c r="H224" s="309"/>
      <c r="I224" s="309"/>
      <c r="J224" s="309"/>
      <c r="K224" s="309"/>
      <c r="L224" s="330">
        <f t="shared" ref="L224:L231" si="1">+L235+L246+L257</f>
        <v>3347</v>
      </c>
      <c r="M224" s="382">
        <f t="shared" ref="M224:M231" si="2">L224/$L$232</f>
        <v>0.98819013876586947</v>
      </c>
      <c r="N224" s="331">
        <f t="shared" ref="N224:N231" si="3">+N235+N246+N257</f>
        <v>378050</v>
      </c>
      <c r="O224" s="382">
        <f t="shared" ref="O224:O231" si="4">N224/$N$232</f>
        <v>0.98810510165943111</v>
      </c>
      <c r="P224" s="306"/>
      <c r="Q224" s="233"/>
      <c r="R224" s="5"/>
    </row>
    <row r="225" spans="1:18" ht="15.6" x14ac:dyDescent="0.3">
      <c r="A225" s="260"/>
      <c r="B225" s="330" t="s">
        <v>99</v>
      </c>
      <c r="C225" s="381"/>
      <c r="D225" s="261"/>
      <c r="E225" s="382"/>
      <c r="F225" s="381"/>
      <c r="G225" s="381"/>
      <c r="H225" s="381"/>
      <c r="I225" s="381"/>
      <c r="J225" s="381"/>
      <c r="K225" s="381"/>
      <c r="L225" s="330">
        <f t="shared" si="1"/>
        <v>21</v>
      </c>
      <c r="M225" s="382">
        <f t="shared" si="2"/>
        <v>6.2001771479185119E-3</v>
      </c>
      <c r="N225" s="331">
        <f t="shared" si="3"/>
        <v>2885</v>
      </c>
      <c r="O225" s="382">
        <f t="shared" si="4"/>
        <v>7.5404925758165821E-3</v>
      </c>
      <c r="P225" s="354"/>
      <c r="Q225" s="373"/>
      <c r="R225" s="5"/>
    </row>
    <row r="226" spans="1:18" ht="15.6" x14ac:dyDescent="0.3">
      <c r="A226" s="260"/>
      <c r="B226" s="330" t="s">
        <v>100</v>
      </c>
      <c r="C226" s="381"/>
      <c r="D226" s="261"/>
      <c r="E226" s="382"/>
      <c r="F226" s="381"/>
      <c r="G226" s="381"/>
      <c r="H226" s="381"/>
      <c r="I226" s="381"/>
      <c r="J226" s="381"/>
      <c r="K226" s="381"/>
      <c r="L226" s="330">
        <f t="shared" si="1"/>
        <v>4</v>
      </c>
      <c r="M226" s="382">
        <f t="shared" si="2"/>
        <v>1.1809861234130499E-3</v>
      </c>
      <c r="N226" s="331">
        <f t="shared" si="3"/>
        <v>147</v>
      </c>
      <c r="O226" s="382">
        <f t="shared" si="4"/>
        <v>3.8421227336049829E-4</v>
      </c>
      <c r="P226" s="354"/>
      <c r="Q226" s="373"/>
      <c r="R226" s="5"/>
    </row>
    <row r="227" spans="1:18" ht="15.6" x14ac:dyDescent="0.3">
      <c r="A227" s="260"/>
      <c r="B227" s="330" t="s">
        <v>227</v>
      </c>
      <c r="C227" s="381"/>
      <c r="D227" s="261"/>
      <c r="E227" s="382"/>
      <c r="F227" s="381"/>
      <c r="G227" s="381"/>
      <c r="H227" s="381"/>
      <c r="I227" s="381"/>
      <c r="J227" s="381"/>
      <c r="K227" s="381"/>
      <c r="L227" s="330">
        <f t="shared" si="1"/>
        <v>2</v>
      </c>
      <c r="M227" s="382">
        <f t="shared" si="2"/>
        <v>5.9049306170652497E-4</v>
      </c>
      <c r="N227" s="331">
        <f t="shared" si="3"/>
        <v>98</v>
      </c>
      <c r="O227" s="382">
        <f t="shared" si="4"/>
        <v>2.5614151557366551E-4</v>
      </c>
      <c r="P227" s="354"/>
      <c r="Q227" s="373"/>
      <c r="R227" s="5"/>
    </row>
    <row r="228" spans="1:18" ht="15.6" x14ac:dyDescent="0.3">
      <c r="A228" s="260"/>
      <c r="B228" s="330" t="s">
        <v>228</v>
      </c>
      <c r="C228" s="381"/>
      <c r="D228" s="261"/>
      <c r="E228" s="382"/>
      <c r="F228" s="381"/>
      <c r="G228" s="381"/>
      <c r="H228" s="381"/>
      <c r="I228" s="381"/>
      <c r="J228" s="381"/>
      <c r="K228" s="381"/>
      <c r="L228" s="330">
        <f t="shared" si="1"/>
        <v>2</v>
      </c>
      <c r="M228" s="382">
        <f t="shared" si="2"/>
        <v>5.9049306170652497E-4</v>
      </c>
      <c r="N228" s="331">
        <f t="shared" si="3"/>
        <v>217</v>
      </c>
      <c r="O228" s="382">
        <f t="shared" si="4"/>
        <v>5.6717049877025934E-4</v>
      </c>
      <c r="P228" s="354"/>
      <c r="Q228" s="373"/>
      <c r="R228" s="5"/>
    </row>
    <row r="229" spans="1:18" ht="15.6" x14ac:dyDescent="0.3">
      <c r="A229" s="260"/>
      <c r="B229" s="330" t="s">
        <v>229</v>
      </c>
      <c r="C229" s="381"/>
      <c r="D229" s="261"/>
      <c r="E229" s="382"/>
      <c r="F229" s="381"/>
      <c r="G229" s="381"/>
      <c r="H229" s="381"/>
      <c r="I229" s="381"/>
      <c r="J229" s="381"/>
      <c r="K229" s="381"/>
      <c r="L229" s="330">
        <f t="shared" si="1"/>
        <v>1</v>
      </c>
      <c r="M229" s="382">
        <f t="shared" si="2"/>
        <v>2.9524653085326248E-4</v>
      </c>
      <c r="N229" s="331">
        <f t="shared" si="3"/>
        <v>22</v>
      </c>
      <c r="O229" s="382">
        <f t="shared" si="4"/>
        <v>5.7501156557353484E-5</v>
      </c>
      <c r="P229" s="354"/>
      <c r="Q229" s="373"/>
      <c r="R229" s="5"/>
    </row>
    <row r="230" spans="1:18" ht="15.6" x14ac:dyDescent="0.3">
      <c r="A230" s="260"/>
      <c r="B230" s="330" t="s">
        <v>230</v>
      </c>
      <c r="C230" s="381"/>
      <c r="D230" s="261"/>
      <c r="E230" s="382"/>
      <c r="F230" s="381"/>
      <c r="G230" s="381"/>
      <c r="H230" s="381"/>
      <c r="I230" s="381"/>
      <c r="J230" s="381"/>
      <c r="K230" s="381"/>
      <c r="L230" s="330">
        <f t="shared" si="1"/>
        <v>5</v>
      </c>
      <c r="M230" s="382">
        <f t="shared" si="2"/>
        <v>1.4762326542663124E-3</v>
      </c>
      <c r="N230" s="331">
        <f t="shared" si="3"/>
        <v>163</v>
      </c>
      <c r="O230" s="382">
        <f t="shared" si="4"/>
        <v>4.260312963113008E-4</v>
      </c>
      <c r="P230" s="354"/>
      <c r="Q230" s="373"/>
      <c r="R230" s="5"/>
    </row>
    <row r="231" spans="1:18" ht="15.6" x14ac:dyDescent="0.3">
      <c r="A231" s="260"/>
      <c r="B231" s="330" t="s">
        <v>231</v>
      </c>
      <c r="C231" s="381"/>
      <c r="D231" s="261"/>
      <c r="E231" s="382"/>
      <c r="F231" s="381"/>
      <c r="G231" s="381"/>
      <c r="H231" s="381"/>
      <c r="I231" s="381"/>
      <c r="J231" s="381"/>
      <c r="K231" s="381"/>
      <c r="L231" s="330">
        <f t="shared" si="1"/>
        <v>5</v>
      </c>
      <c r="M231" s="382">
        <f t="shared" si="2"/>
        <v>1.4762326542663124E-3</v>
      </c>
      <c r="N231" s="331">
        <f t="shared" si="3"/>
        <v>1019</v>
      </c>
      <c r="O231" s="382">
        <f t="shared" si="4"/>
        <v>2.6633490241792365E-3</v>
      </c>
      <c r="P231" s="354"/>
      <c r="Q231" s="373"/>
      <c r="R231" s="5"/>
    </row>
    <row r="232" spans="1:18" ht="15.6" x14ac:dyDescent="0.3">
      <c r="A232" s="260"/>
      <c r="B232" s="261" t="s">
        <v>129</v>
      </c>
      <c r="C232" s="261"/>
      <c r="D232" s="261"/>
      <c r="E232" s="261"/>
      <c r="F232" s="383"/>
      <c r="G232" s="383"/>
      <c r="H232" s="383"/>
      <c r="I232" s="383"/>
      <c r="J232" s="383"/>
      <c r="K232" s="383"/>
      <c r="L232" s="330">
        <f>SUM(L224:L231)</f>
        <v>3387</v>
      </c>
      <c r="M232" s="382">
        <f>SUM(M224:M231)</f>
        <v>1</v>
      </c>
      <c r="N232" s="330">
        <f>SUM(N224:N231)</f>
        <v>382601</v>
      </c>
      <c r="O232" s="382">
        <f>SUM(O224:O231)</f>
        <v>0.99999999999999989</v>
      </c>
      <c r="P232" s="261"/>
      <c r="Q232" s="264"/>
      <c r="R232" s="5"/>
    </row>
    <row r="233" spans="1:18" ht="15.6" x14ac:dyDescent="0.3">
      <c r="A233" s="348"/>
      <c r="B233" s="222"/>
      <c r="C233" s="223"/>
      <c r="D233" s="224"/>
      <c r="E233" s="190"/>
      <c r="F233" s="190"/>
      <c r="G233" s="190"/>
      <c r="H233" s="190"/>
      <c r="I233" s="190"/>
      <c r="J233" s="190"/>
      <c r="K233" s="190"/>
      <c r="L233" s="190"/>
      <c r="M233" s="190"/>
      <c r="N233" s="349"/>
      <c r="O233" s="190"/>
      <c r="P233" s="344"/>
      <c r="Q233" s="350"/>
      <c r="R233" s="5"/>
    </row>
    <row r="234" spans="1:18" ht="15.6" x14ac:dyDescent="0.3">
      <c r="A234" s="251"/>
      <c r="B234" s="393" t="s">
        <v>236</v>
      </c>
      <c r="C234" s="395"/>
      <c r="D234" s="400"/>
      <c r="E234" s="395"/>
      <c r="F234" s="395"/>
      <c r="G234" s="395"/>
      <c r="H234" s="395"/>
      <c r="I234" s="395"/>
      <c r="J234" s="395"/>
      <c r="K234" s="395"/>
      <c r="L234" s="400" t="s">
        <v>113</v>
      </c>
      <c r="M234" s="395" t="s">
        <v>114</v>
      </c>
      <c r="N234" s="400" t="s">
        <v>123</v>
      </c>
      <c r="O234" s="395" t="s">
        <v>114</v>
      </c>
      <c r="P234" s="252"/>
      <c r="Q234" s="393"/>
      <c r="R234" s="5"/>
    </row>
    <row r="235" spans="1:18" ht="15.6" x14ac:dyDescent="0.3">
      <c r="A235" s="198"/>
      <c r="B235" s="235" t="s">
        <v>98</v>
      </c>
      <c r="C235" s="309"/>
      <c r="D235" s="230"/>
      <c r="E235" s="309"/>
      <c r="F235" s="309"/>
      <c r="G235" s="309"/>
      <c r="H235" s="309"/>
      <c r="I235" s="309"/>
      <c r="J235" s="309"/>
      <c r="K235" s="309"/>
      <c r="L235" s="235">
        <v>3298</v>
      </c>
      <c r="M235" s="310">
        <f t="shared" ref="M235:M242" si="5">L235/$L$243</f>
        <v>0.98979591836734693</v>
      </c>
      <c r="N235" s="300">
        <v>370177</v>
      </c>
      <c r="O235" s="310">
        <f t="shared" ref="O235:O242" si="6">N235/$N$243</f>
        <v>0.99103409133500742</v>
      </c>
      <c r="P235" s="306"/>
      <c r="Q235" s="233"/>
      <c r="R235" s="5"/>
    </row>
    <row r="236" spans="1:18" ht="15.6" x14ac:dyDescent="0.3">
      <c r="A236" s="260"/>
      <c r="B236" s="330" t="s">
        <v>99</v>
      </c>
      <c r="C236" s="381"/>
      <c r="D236" s="261"/>
      <c r="E236" s="382"/>
      <c r="F236" s="381"/>
      <c r="G236" s="381"/>
      <c r="H236" s="381"/>
      <c r="I236" s="381"/>
      <c r="J236" s="381"/>
      <c r="K236" s="381"/>
      <c r="L236" s="330">
        <v>21</v>
      </c>
      <c r="M236" s="382">
        <f t="shared" si="5"/>
        <v>6.3025210084033615E-3</v>
      </c>
      <c r="N236" s="331">
        <v>2885</v>
      </c>
      <c r="O236" s="382">
        <f t="shared" si="6"/>
        <v>7.7236925943575544E-3</v>
      </c>
      <c r="P236" s="354"/>
      <c r="Q236" s="373"/>
      <c r="R236" s="5"/>
    </row>
    <row r="237" spans="1:18" ht="15.6" x14ac:dyDescent="0.3">
      <c r="A237" s="260"/>
      <c r="B237" s="330" t="s">
        <v>100</v>
      </c>
      <c r="C237" s="381"/>
      <c r="D237" s="261"/>
      <c r="E237" s="382"/>
      <c r="F237" s="381"/>
      <c r="G237" s="381"/>
      <c r="H237" s="381"/>
      <c r="I237" s="381"/>
      <c r="J237" s="381"/>
      <c r="K237" s="381"/>
      <c r="L237" s="330">
        <v>4</v>
      </c>
      <c r="M237" s="382">
        <f t="shared" si="5"/>
        <v>1.2004801920768306E-3</v>
      </c>
      <c r="N237" s="331">
        <v>147</v>
      </c>
      <c r="O237" s="382">
        <f t="shared" si="6"/>
        <v>3.9354690168823589E-4</v>
      </c>
      <c r="P237" s="354"/>
      <c r="Q237" s="373"/>
      <c r="R237" s="5"/>
    </row>
    <row r="238" spans="1:18" ht="15.6" x14ac:dyDescent="0.3">
      <c r="A238" s="260"/>
      <c r="B238" s="330" t="s">
        <v>227</v>
      </c>
      <c r="C238" s="381"/>
      <c r="D238" s="261"/>
      <c r="E238" s="382"/>
      <c r="F238" s="381"/>
      <c r="G238" s="381"/>
      <c r="H238" s="381"/>
      <c r="I238" s="381"/>
      <c r="J238" s="381"/>
      <c r="K238" s="381"/>
      <c r="L238" s="330">
        <v>2</v>
      </c>
      <c r="M238" s="382">
        <f t="shared" si="5"/>
        <v>6.0024009603841532E-4</v>
      </c>
      <c r="N238" s="331">
        <v>98</v>
      </c>
      <c r="O238" s="382">
        <f t="shared" si="6"/>
        <v>2.623646011254906E-4</v>
      </c>
      <c r="P238" s="354"/>
      <c r="Q238" s="373"/>
      <c r="R238" s="5"/>
    </row>
    <row r="239" spans="1:18" ht="15.6" x14ac:dyDescent="0.3">
      <c r="A239" s="260"/>
      <c r="B239" s="330" t="s">
        <v>228</v>
      </c>
      <c r="C239" s="381"/>
      <c r="D239" s="261"/>
      <c r="E239" s="382"/>
      <c r="F239" s="381"/>
      <c r="G239" s="381"/>
      <c r="H239" s="381"/>
      <c r="I239" s="381"/>
      <c r="J239" s="381"/>
      <c r="K239" s="381"/>
      <c r="L239" s="330">
        <v>1</v>
      </c>
      <c r="M239" s="382">
        <f t="shared" si="5"/>
        <v>3.0012004801920766E-4</v>
      </c>
      <c r="N239" s="331">
        <v>34</v>
      </c>
      <c r="O239" s="382">
        <f t="shared" si="6"/>
        <v>9.1024453451700818E-5</v>
      </c>
      <c r="P239" s="354"/>
      <c r="Q239" s="373"/>
      <c r="R239" s="5"/>
    </row>
    <row r="240" spans="1:18" ht="15.6" x14ac:dyDescent="0.3">
      <c r="A240" s="260"/>
      <c r="B240" s="330" t="s">
        <v>229</v>
      </c>
      <c r="C240" s="381"/>
      <c r="D240" s="261"/>
      <c r="E240" s="382"/>
      <c r="F240" s="381"/>
      <c r="G240" s="381"/>
      <c r="H240" s="381"/>
      <c r="I240" s="381"/>
      <c r="J240" s="381"/>
      <c r="K240" s="381"/>
      <c r="L240" s="330">
        <v>1</v>
      </c>
      <c r="M240" s="382">
        <f t="shared" si="5"/>
        <v>3.0012004801920766E-4</v>
      </c>
      <c r="N240" s="331">
        <v>22</v>
      </c>
      <c r="O240" s="382">
        <f t="shared" si="6"/>
        <v>5.8898175762865238E-5</v>
      </c>
      <c r="P240" s="354"/>
      <c r="Q240" s="373"/>
      <c r="R240" s="5"/>
    </row>
    <row r="241" spans="1:18" ht="15.6" x14ac:dyDescent="0.3">
      <c r="A241" s="260"/>
      <c r="B241" s="330" t="s">
        <v>230</v>
      </c>
      <c r="C241" s="381"/>
      <c r="D241" s="261"/>
      <c r="E241" s="382"/>
      <c r="F241" s="381"/>
      <c r="G241" s="381"/>
      <c r="H241" s="381"/>
      <c r="I241" s="381"/>
      <c r="J241" s="381"/>
      <c r="K241" s="381"/>
      <c r="L241" s="330">
        <v>5</v>
      </c>
      <c r="M241" s="382">
        <f t="shared" si="5"/>
        <v>1.5006002400960385E-3</v>
      </c>
      <c r="N241" s="331">
        <v>163</v>
      </c>
      <c r="O241" s="382">
        <f t="shared" si="6"/>
        <v>4.3638193860668332E-4</v>
      </c>
      <c r="P241" s="354"/>
      <c r="Q241" s="373"/>
      <c r="R241" s="5"/>
    </row>
    <row r="242" spans="1:18" ht="15.6" x14ac:dyDescent="0.3">
      <c r="A242" s="260"/>
      <c r="B242" s="330" t="s">
        <v>231</v>
      </c>
      <c r="C242" s="381"/>
      <c r="D242" s="261"/>
      <c r="E242" s="382"/>
      <c r="F242" s="381"/>
      <c r="G242" s="381"/>
      <c r="H242" s="381"/>
      <c r="I242" s="381"/>
      <c r="J242" s="381"/>
      <c r="K242" s="381"/>
      <c r="L242" s="330">
        <v>0</v>
      </c>
      <c r="M242" s="382">
        <f t="shared" si="5"/>
        <v>0</v>
      </c>
      <c r="N242" s="331">
        <v>0</v>
      </c>
      <c r="O242" s="382">
        <f t="shared" si="6"/>
        <v>0</v>
      </c>
      <c r="P242" s="354"/>
      <c r="Q242" s="373"/>
      <c r="R242" s="5"/>
    </row>
    <row r="243" spans="1:18" ht="15.6" x14ac:dyDescent="0.3">
      <c r="A243" s="260"/>
      <c r="B243" s="261" t="s">
        <v>129</v>
      </c>
      <c r="C243" s="261"/>
      <c r="D243" s="261"/>
      <c r="E243" s="261"/>
      <c r="F243" s="383"/>
      <c r="G243" s="383"/>
      <c r="H243" s="383"/>
      <c r="I243" s="383"/>
      <c r="J243" s="383"/>
      <c r="K243" s="383"/>
      <c r="L243" s="330">
        <f>SUM(L235:L242)</f>
        <v>3332</v>
      </c>
      <c r="M243" s="382">
        <f>SUM(M235:M242)</f>
        <v>0.99999999999999989</v>
      </c>
      <c r="N243" s="331">
        <f>SUM(N235:N242)</f>
        <v>373526</v>
      </c>
      <c r="O243" s="382">
        <f>SUM(O235:O242)</f>
        <v>1</v>
      </c>
      <c r="P243" s="261"/>
      <c r="Q243" s="264"/>
      <c r="R243" s="5"/>
    </row>
    <row r="244" spans="1:18" ht="15.6" x14ac:dyDescent="0.3">
      <c r="A244" s="183"/>
      <c r="B244" s="257"/>
      <c r="C244" s="257"/>
      <c r="D244" s="257"/>
      <c r="E244" s="257"/>
      <c r="F244" s="378"/>
      <c r="G244" s="378"/>
      <c r="H244" s="378"/>
      <c r="I244" s="378"/>
      <c r="J244" s="378"/>
      <c r="K244" s="378"/>
      <c r="L244" s="302"/>
      <c r="M244" s="379"/>
      <c r="N244" s="380"/>
      <c r="O244" s="379"/>
      <c r="P244" s="257"/>
      <c r="Q244" s="257"/>
      <c r="R244" s="5"/>
    </row>
    <row r="245" spans="1:18" ht="15.6" x14ac:dyDescent="0.3">
      <c r="A245" s="316"/>
      <c r="B245" s="393" t="s">
        <v>238</v>
      </c>
      <c r="C245" s="395"/>
      <c r="D245" s="400"/>
      <c r="E245" s="395"/>
      <c r="F245" s="395"/>
      <c r="G245" s="395"/>
      <c r="H245" s="395"/>
      <c r="I245" s="395"/>
      <c r="J245" s="395"/>
      <c r="K245" s="395"/>
      <c r="L245" s="400" t="s">
        <v>113</v>
      </c>
      <c r="M245" s="395" t="s">
        <v>114</v>
      </c>
      <c r="N245" s="400" t="s">
        <v>123</v>
      </c>
      <c r="O245" s="395" t="s">
        <v>114</v>
      </c>
      <c r="P245" s="252"/>
      <c r="Q245" s="321"/>
      <c r="R245" s="5"/>
    </row>
    <row r="246" spans="1:18" ht="15.6" x14ac:dyDescent="0.3">
      <c r="A246" s="198"/>
      <c r="B246" s="235" t="s">
        <v>98</v>
      </c>
      <c r="C246" s="309"/>
      <c r="D246" s="230"/>
      <c r="E246" s="309"/>
      <c r="F246" s="309"/>
      <c r="G246" s="309"/>
      <c r="H246" s="309"/>
      <c r="I246" s="309"/>
      <c r="J246" s="309"/>
      <c r="K246" s="309"/>
      <c r="L246" s="235">
        <v>49</v>
      </c>
      <c r="M246" s="310">
        <f t="shared" ref="M246:M253" si="7">L246/$L$254</f>
        <v>0.89090909090909087</v>
      </c>
      <c r="N246" s="300">
        <v>7873</v>
      </c>
      <c r="O246" s="310">
        <f t="shared" ref="O246:O253" si="8">N246/$N$254</f>
        <v>0.86754820936639121</v>
      </c>
      <c r="P246" s="306"/>
      <c r="Q246" s="230"/>
      <c r="R246" s="5"/>
    </row>
    <row r="247" spans="1:18" ht="15.6" x14ac:dyDescent="0.3">
      <c r="A247" s="260"/>
      <c r="B247" s="330" t="s">
        <v>99</v>
      </c>
      <c r="C247" s="381"/>
      <c r="D247" s="261"/>
      <c r="E247" s="382"/>
      <c r="F247" s="381"/>
      <c r="G247" s="381"/>
      <c r="H247" s="381"/>
      <c r="I247" s="381"/>
      <c r="J247" s="381"/>
      <c r="K247" s="381"/>
      <c r="L247" s="330">
        <v>0</v>
      </c>
      <c r="M247" s="382">
        <f t="shared" si="7"/>
        <v>0</v>
      </c>
      <c r="N247" s="331">
        <v>0</v>
      </c>
      <c r="O247" s="382">
        <f t="shared" si="8"/>
        <v>0</v>
      </c>
      <c r="P247" s="354"/>
      <c r="Q247" s="264"/>
      <c r="R247" s="5"/>
    </row>
    <row r="248" spans="1:18" ht="15.6" x14ac:dyDescent="0.3">
      <c r="A248" s="260"/>
      <c r="B248" s="330" t="s">
        <v>100</v>
      </c>
      <c r="C248" s="381"/>
      <c r="D248" s="261"/>
      <c r="E248" s="382"/>
      <c r="F248" s="381"/>
      <c r="G248" s="381"/>
      <c r="H248" s="381"/>
      <c r="I248" s="381"/>
      <c r="J248" s="381"/>
      <c r="K248" s="381"/>
      <c r="L248" s="330">
        <v>0</v>
      </c>
      <c r="M248" s="382">
        <f t="shared" si="7"/>
        <v>0</v>
      </c>
      <c r="N248" s="331">
        <v>0</v>
      </c>
      <c r="O248" s="382">
        <f t="shared" si="8"/>
        <v>0</v>
      </c>
      <c r="P248" s="354"/>
      <c r="Q248" s="264"/>
      <c r="R248" s="5"/>
    </row>
    <row r="249" spans="1:18" ht="15.6" x14ac:dyDescent="0.3">
      <c r="A249" s="260"/>
      <c r="B249" s="330" t="s">
        <v>227</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228</v>
      </c>
      <c r="C250" s="381"/>
      <c r="D250" s="261"/>
      <c r="E250" s="382"/>
      <c r="F250" s="381"/>
      <c r="G250" s="381"/>
      <c r="H250" s="381"/>
      <c r="I250" s="381"/>
      <c r="J250" s="381"/>
      <c r="K250" s="381"/>
      <c r="L250" s="330">
        <v>1</v>
      </c>
      <c r="M250" s="382">
        <f t="shared" si="7"/>
        <v>1.8181818181818181E-2</v>
      </c>
      <c r="N250" s="331">
        <v>183</v>
      </c>
      <c r="O250" s="382">
        <f t="shared" si="8"/>
        <v>2.0165289256198347E-2</v>
      </c>
      <c r="P250" s="354"/>
      <c r="Q250" s="264"/>
      <c r="R250" s="5"/>
    </row>
    <row r="251" spans="1:18" ht="15.6" x14ac:dyDescent="0.3">
      <c r="A251" s="260"/>
      <c r="B251" s="330" t="s">
        <v>229</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230</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231</v>
      </c>
      <c r="C253" s="381"/>
      <c r="D253" s="261"/>
      <c r="E253" s="382"/>
      <c r="F253" s="381"/>
      <c r="G253" s="381"/>
      <c r="H253" s="381"/>
      <c r="I253" s="381"/>
      <c r="J253" s="381"/>
      <c r="K253" s="381"/>
      <c r="L253" s="330">
        <v>5</v>
      </c>
      <c r="M253" s="382">
        <f t="shared" si="7"/>
        <v>9.0909090909090912E-2</v>
      </c>
      <c r="N253" s="331">
        <v>1019</v>
      </c>
      <c r="O253" s="382">
        <f t="shared" si="8"/>
        <v>0.11228650137741047</v>
      </c>
      <c r="P253" s="354"/>
      <c r="Q253" s="264"/>
      <c r="R253" s="5"/>
    </row>
    <row r="254" spans="1:18" ht="15.6" x14ac:dyDescent="0.3">
      <c r="A254" s="260"/>
      <c r="B254" s="261" t="s">
        <v>129</v>
      </c>
      <c r="C254" s="261"/>
      <c r="D254" s="261"/>
      <c r="E254" s="261"/>
      <c r="F254" s="383"/>
      <c r="G254" s="383"/>
      <c r="H254" s="383"/>
      <c r="I254" s="383"/>
      <c r="J254" s="383"/>
      <c r="K254" s="383"/>
      <c r="L254" s="330">
        <f>SUM(L246:L253)</f>
        <v>55</v>
      </c>
      <c r="M254" s="382">
        <f>SUM(M246:M253)</f>
        <v>1</v>
      </c>
      <c r="N254" s="331">
        <f>SUM(N246:N253)</f>
        <v>9075</v>
      </c>
      <c r="O254" s="382">
        <f>SUM(O246:O253)</f>
        <v>1</v>
      </c>
      <c r="P254" s="261"/>
      <c r="Q254" s="264"/>
      <c r="R254" s="5"/>
    </row>
    <row r="255" spans="1:18" ht="15.6" x14ac:dyDescent="0.3">
      <c r="A255" s="183"/>
      <c r="B255" s="257"/>
      <c r="C255" s="257"/>
      <c r="D255" s="257"/>
      <c r="E255" s="257"/>
      <c r="F255" s="378"/>
      <c r="G255" s="378"/>
      <c r="H255" s="378"/>
      <c r="I255" s="378"/>
      <c r="J255" s="378"/>
      <c r="K255" s="378"/>
      <c r="L255" s="302"/>
      <c r="M255" s="379"/>
      <c r="N255" s="380"/>
      <c r="O255" s="379"/>
      <c r="P255" s="257"/>
      <c r="Q255" s="257"/>
      <c r="R255" s="5"/>
    </row>
    <row r="256" spans="1:18" ht="15.6" x14ac:dyDescent="0.3">
      <c r="A256" s="316"/>
      <c r="B256" s="393" t="s">
        <v>239</v>
      </c>
      <c r="C256" s="395"/>
      <c r="D256" s="400"/>
      <c r="E256" s="395"/>
      <c r="F256" s="395"/>
      <c r="G256" s="395"/>
      <c r="H256" s="395"/>
      <c r="I256" s="395"/>
      <c r="J256" s="395"/>
      <c r="K256" s="395"/>
      <c r="L256" s="400" t="s">
        <v>113</v>
      </c>
      <c r="M256" s="395" t="s">
        <v>114</v>
      </c>
      <c r="N256" s="400" t="s">
        <v>123</v>
      </c>
      <c r="O256" s="395" t="s">
        <v>114</v>
      </c>
      <c r="P256" s="320"/>
      <c r="Q256" s="321"/>
      <c r="R256" s="5"/>
    </row>
    <row r="257" spans="1:18" ht="15.6" x14ac:dyDescent="0.3">
      <c r="A257" s="198"/>
      <c r="B257" s="235" t="s">
        <v>98</v>
      </c>
      <c r="C257" s="309"/>
      <c r="D257" s="230"/>
      <c r="E257" s="309"/>
      <c r="F257" s="309"/>
      <c r="G257" s="309"/>
      <c r="H257" s="309"/>
      <c r="I257" s="309"/>
      <c r="J257" s="309"/>
      <c r="K257" s="309"/>
      <c r="L257" s="235">
        <v>0</v>
      </c>
      <c r="M257" s="310">
        <v>0</v>
      </c>
      <c r="N257" s="300">
        <v>0</v>
      </c>
      <c r="O257" s="310">
        <v>0</v>
      </c>
      <c r="P257" s="230"/>
      <c r="Q257" s="230"/>
      <c r="R257" s="5"/>
    </row>
    <row r="258" spans="1:18" ht="15.6" x14ac:dyDescent="0.3">
      <c r="A258" s="260"/>
      <c r="B258" s="330" t="s">
        <v>99</v>
      </c>
      <c r="C258" s="381"/>
      <c r="D258" s="261"/>
      <c r="E258" s="382"/>
      <c r="F258" s="381"/>
      <c r="G258" s="381"/>
      <c r="H258" s="381"/>
      <c r="I258" s="381"/>
      <c r="J258" s="381"/>
      <c r="K258" s="381"/>
      <c r="L258" s="330">
        <v>0</v>
      </c>
      <c r="M258" s="382">
        <v>0</v>
      </c>
      <c r="N258" s="331">
        <v>0</v>
      </c>
      <c r="O258" s="382">
        <v>0</v>
      </c>
      <c r="P258" s="261"/>
      <c r="Q258" s="264"/>
      <c r="R258" s="5"/>
    </row>
    <row r="259" spans="1:18" ht="15.6" x14ac:dyDescent="0.3">
      <c r="A259" s="260"/>
      <c r="B259" s="330" t="s">
        <v>100</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227</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228</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229</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230</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231</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261" t="s">
        <v>129</v>
      </c>
      <c r="C265" s="261"/>
      <c r="D265" s="261"/>
      <c r="E265" s="261"/>
      <c r="F265" s="383"/>
      <c r="G265" s="383"/>
      <c r="H265" s="383"/>
      <c r="I265" s="383"/>
      <c r="J265" s="383"/>
      <c r="K265" s="383"/>
      <c r="L265" s="330">
        <f>SUM(L257:L264)</f>
        <v>0</v>
      </c>
      <c r="M265" s="382">
        <v>0</v>
      </c>
      <c r="N265" s="331">
        <f>SUM(N257:N264)</f>
        <v>0</v>
      </c>
      <c r="O265" s="382">
        <v>0</v>
      </c>
      <c r="P265" s="261"/>
      <c r="Q265" s="264"/>
      <c r="R265" s="5"/>
    </row>
    <row r="266" spans="1:18" ht="15.6" x14ac:dyDescent="0.3">
      <c r="A266" s="260"/>
      <c r="B266" s="261"/>
      <c r="C266" s="261"/>
      <c r="D266" s="261"/>
      <c r="E266" s="261"/>
      <c r="F266" s="383"/>
      <c r="G266" s="383"/>
      <c r="H266" s="383"/>
      <c r="I266" s="383"/>
      <c r="J266" s="383"/>
      <c r="K266" s="383"/>
      <c r="L266" s="330"/>
      <c r="M266" s="382"/>
      <c r="N266" s="331"/>
      <c r="O266" s="382"/>
      <c r="P266" s="261"/>
      <c r="Q266" s="264"/>
      <c r="R266" s="5"/>
    </row>
    <row r="267" spans="1:18" ht="15.6" x14ac:dyDescent="0.3">
      <c r="A267" s="260"/>
      <c r="B267" s="266" t="s">
        <v>240</v>
      </c>
      <c r="C267" s="261"/>
      <c r="D267" s="261"/>
      <c r="E267" s="261"/>
      <c r="F267" s="383"/>
      <c r="G267" s="383"/>
      <c r="H267" s="383"/>
      <c r="I267" s="383"/>
      <c r="J267" s="383"/>
      <c r="K267" s="383"/>
      <c r="L267" s="401">
        <f>+L243+L254+L265</f>
        <v>3387</v>
      </c>
      <c r="M267" s="382"/>
      <c r="N267" s="386">
        <f>+N265+N254+N243</f>
        <v>382601</v>
      </c>
      <c r="O267" s="382"/>
      <c r="P267" s="261"/>
      <c r="Q267" s="264"/>
      <c r="R267" s="5"/>
    </row>
    <row r="268" spans="1:18" ht="15.6" x14ac:dyDescent="0.3">
      <c r="A268" s="183"/>
      <c r="B268" s="257"/>
      <c r="C268" s="257"/>
      <c r="D268" s="257"/>
      <c r="E268" s="257"/>
      <c r="F268" s="378"/>
      <c r="G268" s="378"/>
      <c r="H268" s="378"/>
      <c r="I268" s="378"/>
      <c r="J268" s="378"/>
      <c r="K268" s="378"/>
      <c r="L268" s="378"/>
      <c r="M268" s="378"/>
      <c r="N268" s="380"/>
      <c r="O268" s="378"/>
      <c r="P268" s="257"/>
      <c r="Q268" s="257"/>
      <c r="R268" s="5"/>
    </row>
    <row r="269" spans="1:18" ht="15.6" x14ac:dyDescent="0.3">
      <c r="A269" s="183"/>
      <c r="B269" s="236"/>
      <c r="C269" s="236"/>
      <c r="D269" s="236"/>
      <c r="E269" s="236"/>
      <c r="F269" s="311"/>
      <c r="G269" s="311"/>
      <c r="H269" s="311"/>
      <c r="I269" s="311"/>
      <c r="J269" s="311"/>
      <c r="K269" s="311"/>
      <c r="L269" s="311"/>
      <c r="M269" s="311"/>
      <c r="N269" s="312"/>
      <c r="O269" s="311"/>
      <c r="P269" s="236"/>
      <c r="Q269" s="236"/>
      <c r="R269" s="5"/>
    </row>
    <row r="270" spans="1:18" ht="15.6" x14ac:dyDescent="0.3">
      <c r="A270" s="225"/>
      <c r="B270" s="228" t="s">
        <v>102</v>
      </c>
      <c r="C270" s="236"/>
      <c r="D270" s="236"/>
      <c r="E270" s="236"/>
      <c r="F270" s="246" t="s">
        <v>108</v>
      </c>
      <c r="G270" s="236"/>
      <c r="H270" s="228" t="s">
        <v>110</v>
      </c>
      <c r="I270" s="249"/>
      <c r="J270" s="249"/>
      <c r="K270" s="249"/>
      <c r="L270" s="249"/>
      <c r="M270" s="249"/>
      <c r="N270" s="249"/>
      <c r="O270" s="249"/>
      <c r="P270" s="249"/>
      <c r="Q270" s="249"/>
      <c r="R270" s="5"/>
    </row>
    <row r="271" spans="1:18" ht="15.6" x14ac:dyDescent="0.3">
      <c r="A271" s="225"/>
      <c r="B271" s="249"/>
      <c r="C271" s="236"/>
      <c r="D271" s="236"/>
      <c r="E271" s="236"/>
      <c r="F271" s="236"/>
      <c r="G271" s="236"/>
      <c r="H271" s="236"/>
      <c r="I271" s="249"/>
      <c r="J271" s="249"/>
      <c r="K271" s="249"/>
      <c r="L271" s="249"/>
      <c r="M271" s="249"/>
      <c r="N271" s="249"/>
      <c r="O271" s="249"/>
      <c r="P271" s="249"/>
      <c r="Q271" s="249"/>
      <c r="R271" s="5"/>
    </row>
    <row r="272" spans="1:18" ht="15.6" x14ac:dyDescent="0.3">
      <c r="A272" s="225"/>
      <c r="B272" s="228" t="s">
        <v>103</v>
      </c>
      <c r="C272" s="228"/>
      <c r="D272" s="228"/>
      <c r="E272" s="228"/>
      <c r="F272" s="313" t="s">
        <v>212</v>
      </c>
      <c r="G272" s="228"/>
      <c r="H272" s="228" t="s">
        <v>222</v>
      </c>
      <c r="I272" s="249"/>
      <c r="J272" s="249"/>
      <c r="K272" s="249"/>
      <c r="L272" s="249"/>
      <c r="M272" s="249"/>
      <c r="N272" s="249"/>
      <c r="O272" s="249"/>
      <c r="P272" s="249"/>
      <c r="Q272" s="249"/>
      <c r="R272" s="5"/>
    </row>
    <row r="273" spans="1:18" ht="15.6" x14ac:dyDescent="0.3">
      <c r="A273" s="225"/>
      <c r="B273" s="228" t="s">
        <v>263</v>
      </c>
      <c r="C273" s="228"/>
      <c r="D273" s="228"/>
      <c r="E273" s="228"/>
      <c r="F273" s="313" t="s">
        <v>264</v>
      </c>
      <c r="G273" s="228"/>
      <c r="H273" s="228" t="s">
        <v>265</v>
      </c>
      <c r="I273" s="249"/>
      <c r="J273" s="249"/>
      <c r="K273" s="249"/>
      <c r="L273" s="249"/>
      <c r="M273" s="249"/>
      <c r="N273" s="249"/>
      <c r="O273" s="249"/>
      <c r="P273" s="249"/>
      <c r="Q273" s="249"/>
      <c r="R273" s="5"/>
    </row>
    <row r="274" spans="1:18" ht="15.6" x14ac:dyDescent="0.3">
      <c r="A274" s="225"/>
      <c r="B274" s="228" t="s">
        <v>104</v>
      </c>
      <c r="C274" s="228"/>
      <c r="D274" s="228"/>
      <c r="E274" s="228"/>
      <c r="F274" s="313" t="s">
        <v>211</v>
      </c>
      <c r="G274" s="228"/>
      <c r="H274" s="228" t="s">
        <v>223</v>
      </c>
      <c r="I274" s="249"/>
      <c r="J274" s="249"/>
      <c r="K274" s="249"/>
      <c r="L274" s="249"/>
      <c r="M274" s="249"/>
      <c r="N274" s="249"/>
      <c r="O274" s="249"/>
      <c r="P274" s="249"/>
      <c r="Q274" s="249"/>
      <c r="R274" s="5"/>
    </row>
    <row r="275" spans="1:18" ht="15.6" x14ac:dyDescent="0.3">
      <c r="A275" s="225"/>
      <c r="B275" s="228"/>
      <c r="C275" s="228"/>
      <c r="D275" s="228"/>
      <c r="E275" s="314"/>
      <c r="F275" s="249"/>
      <c r="G275" s="249"/>
      <c r="H275" s="249"/>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8" thickBot="1" x14ac:dyDescent="0.35">
      <c r="A277" s="225"/>
      <c r="B277" s="315" t="str">
        <f>B184</f>
        <v>PM7 INVESTOR REPORT QUARTER ENDING OCTOBER 2012</v>
      </c>
      <c r="C277" s="228"/>
      <c r="D277" s="228"/>
      <c r="E277" s="314"/>
      <c r="F277" s="249"/>
      <c r="G277" s="249"/>
      <c r="H277" s="249"/>
      <c r="I277" s="249"/>
      <c r="J277" s="249"/>
      <c r="K277" s="249"/>
      <c r="L277" s="249"/>
      <c r="M277" s="249"/>
      <c r="N277" s="249"/>
      <c r="O277" s="249"/>
      <c r="P277" s="249"/>
      <c r="Q277" s="24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hyperlinks>
    <hyperlink ref="H9" r:id="rId1"/>
    <hyperlink ref="J221"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7" man="1"/>
    <brk id="132" max="14" man="1"/>
    <brk id="184" max="14"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0.95840000000000003</v>
      </c>
      <c r="N17" s="246" t="s">
        <v>173</v>
      </c>
      <c r="O17" s="245">
        <v>4.1599999999999998E-2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41327</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301</v>
      </c>
      <c r="E28" s="392"/>
      <c r="F28" s="392" t="s">
        <v>301</v>
      </c>
      <c r="G28" s="392"/>
      <c r="H28" s="392" t="s">
        <v>301</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169874.23500000002</v>
      </c>
      <c r="E34" s="271"/>
      <c r="F34" s="272">
        <f>+F33*F40</f>
        <v>83025.579999999987</v>
      </c>
      <c r="G34" s="271"/>
      <c r="H34" s="273">
        <f>+H33*H40</f>
        <v>188761.09999999998</v>
      </c>
      <c r="I34" s="271"/>
      <c r="J34" s="270">
        <f>J33*J40</f>
        <v>70089.566250000003</v>
      </c>
      <c r="K34" s="271"/>
      <c r="L34" s="273">
        <f>L33*L40</f>
        <v>55222.0435</v>
      </c>
      <c r="M34" s="271"/>
      <c r="N34" s="271"/>
      <c r="O34" s="274"/>
      <c r="P34" s="271"/>
      <c r="Q34" s="275"/>
      <c r="R34" s="5"/>
    </row>
    <row r="35" spans="1:19" ht="15.6" x14ac:dyDescent="0.3">
      <c r="A35" s="265"/>
      <c r="B35" s="266" t="s">
        <v>158</v>
      </c>
      <c r="C35" s="276"/>
      <c r="D35" s="277">
        <f>+D33*D39</f>
        <v>169228.08000000002</v>
      </c>
      <c r="E35" s="278"/>
      <c r="F35" s="279">
        <f>+F33*F39</f>
        <v>82709.792000000001</v>
      </c>
      <c r="G35" s="278"/>
      <c r="H35" s="280">
        <f>+H33*H39</f>
        <v>188043.09999999998</v>
      </c>
      <c r="I35" s="278"/>
      <c r="J35" s="277">
        <f>J33*J39</f>
        <v>69822.95925</v>
      </c>
      <c r="K35" s="278"/>
      <c r="L35" s="280">
        <f>L33*L39</f>
        <v>55011.989499999996</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95488.608768971346</v>
      </c>
      <c r="E37" s="271"/>
      <c r="F37" s="271">
        <f>+F34</f>
        <v>83025.579999999987</v>
      </c>
      <c r="G37" s="271"/>
      <c r="H37" s="271">
        <f>+H34/1.481481</f>
        <v>127413.78390947975</v>
      </c>
      <c r="I37" s="271"/>
      <c r="J37" s="271">
        <f>J36*J40</f>
        <v>39397.982366999997</v>
      </c>
      <c r="K37" s="271"/>
      <c r="L37" s="271">
        <f>L36*L40</f>
        <v>37274.879362499996</v>
      </c>
      <c r="M37" s="271"/>
      <c r="N37" s="271"/>
      <c r="O37" s="274"/>
      <c r="P37" s="271">
        <f>SUM(C37:L37)</f>
        <v>382600.8344079511</v>
      </c>
      <c r="Q37" s="275"/>
      <c r="R37" s="5"/>
      <c r="S37" s="154"/>
    </row>
    <row r="38" spans="1:19" ht="15.6" x14ac:dyDescent="0.3">
      <c r="A38" s="265"/>
      <c r="B38" s="266" t="s">
        <v>281</v>
      </c>
      <c r="C38" s="276"/>
      <c r="D38" s="278">
        <f>D35/1.779</f>
        <v>95125.396290050601</v>
      </c>
      <c r="E38" s="278"/>
      <c r="F38" s="278">
        <f>+F35</f>
        <v>82709.792000000001</v>
      </c>
      <c r="G38" s="278"/>
      <c r="H38" s="278">
        <f>H35/1.481481</f>
        <v>126929.13375196845</v>
      </c>
      <c r="I38" s="278"/>
      <c r="J38" s="278">
        <f>J36*J39</f>
        <v>39248.120148599999</v>
      </c>
      <c r="K38" s="278"/>
      <c r="L38" s="278">
        <f>L36*L39</f>
        <v>37133.092912499997</v>
      </c>
      <c r="M38" s="278"/>
      <c r="N38" s="278"/>
      <c r="O38" s="281"/>
      <c r="P38" s="278">
        <f>SUM(D38:L38)</f>
        <v>381145.53510311909</v>
      </c>
      <c r="Q38" s="275"/>
      <c r="R38" s="5"/>
      <c r="S38" s="176"/>
    </row>
    <row r="39" spans="1:19" ht="15.6" x14ac:dyDescent="0.3">
      <c r="A39" s="265"/>
      <c r="B39" s="282" t="s">
        <v>154</v>
      </c>
      <c r="C39" s="283"/>
      <c r="D39" s="284">
        <v>0.37606240000000002</v>
      </c>
      <c r="E39" s="284"/>
      <c r="F39" s="284">
        <v>0.3759536</v>
      </c>
      <c r="G39" s="284"/>
      <c r="H39" s="284">
        <v>0.37608619999999998</v>
      </c>
      <c r="I39" s="284"/>
      <c r="J39" s="284">
        <v>0.84633890000000001</v>
      </c>
      <c r="K39" s="284"/>
      <c r="L39" s="284">
        <v>0.84633829999999999</v>
      </c>
      <c r="M39" s="285"/>
      <c r="N39" s="285"/>
      <c r="O39" s="286"/>
      <c r="P39" s="285"/>
      <c r="Q39" s="287"/>
      <c r="R39" s="5"/>
    </row>
    <row r="40" spans="1:19" ht="15.6" x14ac:dyDescent="0.3">
      <c r="A40" s="265"/>
      <c r="B40" s="282" t="s">
        <v>155</v>
      </c>
      <c r="C40" s="283"/>
      <c r="D40" s="284">
        <v>0.37749830000000001</v>
      </c>
      <c r="E40" s="284"/>
      <c r="F40" s="284">
        <v>0.37738899999999997</v>
      </c>
      <c r="G40" s="284"/>
      <c r="H40" s="284">
        <v>0.37752219999999997</v>
      </c>
      <c r="I40" s="284"/>
      <c r="J40" s="284">
        <v>0.84957050000000001</v>
      </c>
      <c r="K40" s="284"/>
      <c r="L40" s="284">
        <v>0.84956989999999999</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7.3000000000000001E-3</v>
      </c>
      <c r="E42" s="290"/>
      <c r="F42" s="289">
        <v>9.4313000000000001E-3</v>
      </c>
      <c r="G42" s="290"/>
      <c r="H42" s="289">
        <v>6.1199999999999996E-3</v>
      </c>
      <c r="I42" s="290"/>
      <c r="J42" s="289">
        <v>1.8100000000000002E-2</v>
      </c>
      <c r="K42" s="290"/>
      <c r="L42" s="289">
        <v>1.6920000000000001E-2</v>
      </c>
      <c r="M42" s="290"/>
      <c r="N42" s="289"/>
      <c r="O42" s="263"/>
      <c r="P42" s="290"/>
      <c r="Q42" s="264"/>
      <c r="R42" s="5"/>
    </row>
    <row r="43" spans="1:19" ht="15.6" x14ac:dyDescent="0.3">
      <c r="A43" s="260"/>
      <c r="B43" s="261" t="s">
        <v>14</v>
      </c>
      <c r="C43" s="261"/>
      <c r="D43" s="289">
        <v>8.5450000000000005E-3</v>
      </c>
      <c r="E43" s="290"/>
      <c r="F43" s="289">
        <v>1.12438E-2</v>
      </c>
      <c r="G43" s="290"/>
      <c r="H43" s="289">
        <v>7.6899999999999998E-3</v>
      </c>
      <c r="I43" s="290"/>
      <c r="J43" s="289">
        <v>1.9345000000000001E-2</v>
      </c>
      <c r="K43" s="290"/>
      <c r="L43" s="289">
        <v>1.8489999999999999E-2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1.1321299999999999E-2</v>
      </c>
      <c r="E45" s="290"/>
      <c r="F45" s="289">
        <f>+F42</f>
        <v>9.4313000000000001E-3</v>
      </c>
      <c r="G45" s="290"/>
      <c r="H45" s="289">
        <v>1.1081300000000001E-2</v>
      </c>
      <c r="I45" s="290"/>
      <c r="J45" s="289">
        <v>2.3581299999999999E-2</v>
      </c>
      <c r="K45" s="290"/>
      <c r="L45" s="289">
        <v>2.3581299999999999E-2</v>
      </c>
      <c r="M45" s="290"/>
      <c r="N45" s="289"/>
      <c r="O45" s="263"/>
      <c r="P45" s="290">
        <f>SUMPRODUCT(D45:L45,D37:L37)/P37</f>
        <v>1.328813217283061E-2</v>
      </c>
      <c r="Q45" s="264"/>
      <c r="R45" s="5"/>
    </row>
    <row r="46" spans="1:19" ht="15.6" x14ac:dyDescent="0.3">
      <c r="A46" s="260"/>
      <c r="B46" s="261" t="s">
        <v>283</v>
      </c>
      <c r="C46" s="261"/>
      <c r="D46" s="289">
        <v>1.3133799999999999E-2</v>
      </c>
      <c r="E46" s="290"/>
      <c r="F46" s="289">
        <f>+F43</f>
        <v>1.12438E-2</v>
      </c>
      <c r="G46" s="290"/>
      <c r="H46" s="289">
        <v>1.28938E-2</v>
      </c>
      <c r="I46" s="290"/>
      <c r="J46" s="289">
        <v>2.5393800000000001E-2</v>
      </c>
      <c r="K46" s="290"/>
      <c r="L46" s="289">
        <v>2.5393800000000001E-2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0.25062386748331061</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41320</v>
      </c>
      <c r="Q57" s="264"/>
      <c r="R57" s="5"/>
    </row>
    <row r="58" spans="1:18" ht="15.6" x14ac:dyDescent="0.3">
      <c r="A58" s="260"/>
      <c r="B58" s="261" t="s">
        <v>142</v>
      </c>
      <c r="C58" s="261"/>
      <c r="D58" s="261"/>
      <c r="E58" s="261"/>
      <c r="F58" s="297"/>
      <c r="G58" s="297"/>
      <c r="H58" s="297"/>
      <c r="I58" s="297"/>
      <c r="J58" s="297"/>
      <c r="K58" s="297"/>
      <c r="L58" s="261">
        <f>+P58-N58+1</f>
        <v>92</v>
      </c>
      <c r="M58" s="297"/>
      <c r="N58" s="298">
        <v>41136</v>
      </c>
      <c r="O58" s="299"/>
      <c r="P58" s="298">
        <v>41227</v>
      </c>
      <c r="Q58" s="264"/>
      <c r="R58" s="5"/>
    </row>
    <row r="59" spans="1:18" ht="15.6" x14ac:dyDescent="0.3">
      <c r="A59" s="260"/>
      <c r="B59" s="261" t="s">
        <v>143</v>
      </c>
      <c r="C59" s="261"/>
      <c r="D59" s="261"/>
      <c r="E59" s="261"/>
      <c r="F59" s="261"/>
      <c r="G59" s="261"/>
      <c r="H59" s="261"/>
      <c r="I59" s="261"/>
      <c r="J59" s="261"/>
      <c r="K59" s="261"/>
      <c r="L59" s="261">
        <f>+P59-N59+1</f>
        <v>92</v>
      </c>
      <c r="M59" s="261"/>
      <c r="N59" s="298">
        <v>41228</v>
      </c>
      <c r="O59" s="299"/>
      <c r="P59" s="298">
        <v>41319</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41306</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303</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382601</v>
      </c>
      <c r="I69" s="330"/>
      <c r="J69" s="330">
        <f>1455+10+40</f>
        <v>1505</v>
      </c>
      <c r="K69" s="330"/>
      <c r="L69" s="330">
        <v>50</v>
      </c>
      <c r="M69" s="330"/>
      <c r="N69" s="330">
        <v>0</v>
      </c>
      <c r="O69" s="330"/>
      <c r="P69" s="331">
        <f>+H69-J69+L69-N69</f>
        <v>381146</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382601</v>
      </c>
      <c r="I72" s="330"/>
      <c r="J72" s="330">
        <f>SUM(J69:J71)</f>
        <v>1505</v>
      </c>
      <c r="K72" s="330"/>
      <c r="L72" s="330">
        <f>SUM(L69:L71)</f>
        <v>50</v>
      </c>
      <c r="M72" s="330"/>
      <c r="N72" s="330">
        <f>SUM(N69:N71)</f>
        <v>0</v>
      </c>
      <c r="O72" s="330"/>
      <c r="P72" s="330">
        <f>SUM(P69:P71)</f>
        <v>381146</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382601</v>
      </c>
      <c r="I86" s="330"/>
      <c r="J86" s="330">
        <f>SUM(J72:J85)</f>
        <v>1505</v>
      </c>
      <c r="K86" s="330"/>
      <c r="L86" s="330">
        <f>SUM(L72:L85)</f>
        <v>50</v>
      </c>
      <c r="M86" s="330"/>
      <c r="N86" s="330"/>
      <c r="O86" s="330"/>
      <c r="P86" s="330">
        <f>SUM(P72:P85)</f>
        <v>381146</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41305</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1505-109</f>
        <v>1396</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2826+124-693-31</f>
        <v>2226</v>
      </c>
      <c r="Q92" s="264"/>
      <c r="R92" s="5"/>
    </row>
    <row r="93" spans="1:18" ht="15.6" x14ac:dyDescent="0.3">
      <c r="A93" s="260"/>
      <c r="B93" s="261" t="s">
        <v>249</v>
      </c>
      <c r="C93" s="261"/>
      <c r="D93" s="261"/>
      <c r="E93" s="261"/>
      <c r="F93" s="292"/>
      <c r="G93" s="332"/>
      <c r="H93" s="333"/>
      <c r="I93" s="261"/>
      <c r="J93" s="261"/>
      <c r="K93" s="261"/>
      <c r="L93" s="261"/>
      <c r="M93" s="261"/>
      <c r="N93" s="330"/>
      <c r="O93" s="261"/>
      <c r="P93" s="331">
        <f>18</f>
        <v>18</v>
      </c>
      <c r="Q93" s="264"/>
      <c r="R93" s="5"/>
    </row>
    <row r="94" spans="1:18" ht="15.6" x14ac:dyDescent="0.3">
      <c r="A94" s="260"/>
      <c r="B94" s="261" t="s">
        <v>250</v>
      </c>
      <c r="C94" s="261"/>
      <c r="D94" s="261"/>
      <c r="E94" s="261"/>
      <c r="F94" s="292"/>
      <c r="G94" s="332"/>
      <c r="H94" s="333"/>
      <c r="I94" s="261"/>
      <c r="J94" s="261"/>
      <c r="K94" s="261"/>
      <c r="L94" s="261"/>
      <c r="M94" s="261"/>
      <c r="N94" s="330"/>
      <c r="O94" s="261"/>
      <c r="P94" s="331">
        <v>22</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168</v>
      </c>
      <c r="Q97" s="264"/>
      <c r="R97" s="5"/>
    </row>
    <row r="98" spans="1:19" ht="15.6" x14ac:dyDescent="0.3">
      <c r="A98" s="260"/>
      <c r="B98" s="261" t="s">
        <v>35</v>
      </c>
      <c r="C98" s="261"/>
      <c r="D98" s="261"/>
      <c r="E98" s="261"/>
      <c r="F98" s="261"/>
      <c r="G98" s="261"/>
      <c r="H98" s="261"/>
      <c r="I98" s="261"/>
      <c r="J98" s="261"/>
      <c r="K98" s="261"/>
      <c r="L98" s="261"/>
      <c r="M98" s="261"/>
      <c r="N98" s="330">
        <f>SUM(N90:N97)</f>
        <v>1396</v>
      </c>
      <c r="O98" s="261"/>
      <c r="P98" s="330">
        <f>SUM(P90:P97)</f>
        <v>2434</v>
      </c>
      <c r="Q98" s="264"/>
      <c r="R98" s="5"/>
    </row>
    <row r="99" spans="1:19" ht="15.6" x14ac:dyDescent="0.3">
      <c r="A99" s="260"/>
      <c r="B99" s="261" t="s">
        <v>237</v>
      </c>
      <c r="C99" s="261"/>
      <c r="D99" s="261"/>
      <c r="E99" s="261"/>
      <c r="F99" s="261"/>
      <c r="G99" s="261"/>
      <c r="H99" s="261"/>
      <c r="I99" s="261"/>
      <c r="J99" s="261"/>
      <c r="K99" s="261"/>
      <c r="L99" s="261"/>
      <c r="M99" s="261"/>
      <c r="N99" s="330">
        <v>-3</v>
      </c>
      <c r="O99" s="261"/>
      <c r="P99" s="330">
        <f>-N99</f>
        <v>3</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2</v>
      </c>
      <c r="Q101" s="264"/>
      <c r="R101" s="5"/>
    </row>
    <row r="102" spans="1:19" ht="15.6" x14ac:dyDescent="0.3">
      <c r="A102" s="260"/>
      <c r="B102" s="261" t="s">
        <v>37</v>
      </c>
      <c r="C102" s="261"/>
      <c r="D102" s="261"/>
      <c r="E102" s="261"/>
      <c r="F102" s="261"/>
      <c r="G102" s="261"/>
      <c r="H102" s="261"/>
      <c r="I102" s="261"/>
      <c r="J102" s="261"/>
      <c r="K102" s="261"/>
      <c r="L102" s="261"/>
      <c r="M102" s="261"/>
      <c r="N102" s="330">
        <f>N98+N100+N99</f>
        <v>1393</v>
      </c>
      <c r="O102" s="261"/>
      <c r="P102" s="330">
        <f>P98+P100+P99+P101</f>
        <v>2439</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-97-96-5</f>
        <v>-198</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-49</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-273</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-197</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-356</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-234</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-222</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109</v>
      </c>
      <c r="O115" s="261"/>
      <c r="P115" s="331">
        <v>-109</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-197</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-594</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-47</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-363</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-316</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-484</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-150</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-142</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-1502</v>
      </c>
      <c r="O129" s="330"/>
      <c r="P129" s="330">
        <f>SUM(P103:P128)</f>
        <v>-2439</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5.6" x14ac:dyDescent="0.3">
      <c r="A132" s="301"/>
      <c r="B132" s="257"/>
      <c r="C132" s="257"/>
      <c r="D132" s="257"/>
      <c r="E132" s="257"/>
      <c r="F132" s="257"/>
      <c r="G132" s="257"/>
      <c r="H132" s="257"/>
      <c r="I132" s="257"/>
      <c r="J132" s="257"/>
      <c r="K132" s="257"/>
      <c r="L132" s="257"/>
      <c r="M132" s="257"/>
      <c r="N132" s="302"/>
      <c r="O132" s="302"/>
      <c r="P132" s="302"/>
      <c r="Q132" s="257"/>
      <c r="R132" s="5"/>
    </row>
    <row r="133" spans="1:19" ht="18" thickBot="1" x14ac:dyDescent="0.35">
      <c r="A133" s="303"/>
      <c r="B133" s="239" t="str">
        <f>B65</f>
        <v>PM7 INVESTOR REPORT QUARTER ENDING JANUARY 2013</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326"/>
      <c r="R134" s="5"/>
    </row>
    <row r="135" spans="1:19" ht="15.6" x14ac:dyDescent="0.3">
      <c r="A135" s="183"/>
      <c r="B135" s="196"/>
      <c r="C135" s="185"/>
      <c r="D135" s="185"/>
      <c r="E135" s="185"/>
      <c r="F135" s="185"/>
      <c r="G135" s="185"/>
      <c r="H135" s="185"/>
      <c r="I135" s="185"/>
      <c r="J135" s="185"/>
      <c r="K135" s="185"/>
      <c r="L135" s="185"/>
      <c r="M135" s="185"/>
      <c r="N135" s="185"/>
      <c r="O135" s="185"/>
      <c r="P135" s="201"/>
      <c r="Q135" s="185"/>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185"/>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190"/>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185"/>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190"/>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185"/>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109</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109</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-109</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190"/>
      <c r="R160" s="5"/>
    </row>
    <row r="161" spans="1:19" ht="15.6" x14ac:dyDescent="0.3">
      <c r="A161" s="180"/>
      <c r="B161" s="181"/>
      <c r="C161" s="181"/>
      <c r="D161" s="181"/>
      <c r="E161" s="181"/>
      <c r="F161" s="181"/>
      <c r="G161" s="181"/>
      <c r="H161" s="181"/>
      <c r="I161" s="181"/>
      <c r="J161" s="181"/>
      <c r="K161" s="181"/>
      <c r="L161" s="181"/>
      <c r="M161" s="181"/>
      <c r="N161" s="181"/>
      <c r="O161" s="181"/>
      <c r="P161" s="200"/>
      <c r="Q161" s="181"/>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185"/>
      <c r="R162" s="5"/>
    </row>
    <row r="163" spans="1:19" ht="15.6" x14ac:dyDescent="0.3">
      <c r="A163" s="183"/>
      <c r="B163" s="196"/>
      <c r="C163" s="185"/>
      <c r="D163" s="185"/>
      <c r="E163" s="185"/>
      <c r="F163" s="185"/>
      <c r="G163" s="185"/>
      <c r="H163" s="185"/>
      <c r="I163" s="185"/>
      <c r="J163" s="185"/>
      <c r="K163" s="185"/>
      <c r="L163" s="185"/>
      <c r="M163" s="185"/>
      <c r="N163" s="185"/>
      <c r="O163" s="185"/>
      <c r="P163" s="201"/>
      <c r="Q163" s="185"/>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381146</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381145.53510311909</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190"/>
      <c r="R167" s="5"/>
    </row>
    <row r="168" spans="1:19" ht="15.6" x14ac:dyDescent="0.3">
      <c r="A168" s="180"/>
      <c r="B168" s="181"/>
      <c r="C168" s="181"/>
      <c r="D168" s="181"/>
      <c r="E168" s="181"/>
      <c r="F168" s="181"/>
      <c r="G168" s="181"/>
      <c r="H168" s="181"/>
      <c r="I168" s="181"/>
      <c r="J168" s="181"/>
      <c r="K168" s="181"/>
      <c r="L168" s="181"/>
      <c r="M168" s="181"/>
      <c r="N168" s="181"/>
      <c r="O168" s="181"/>
      <c r="P168" s="200"/>
      <c r="Q168" s="181"/>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2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+'Oct 12'!M172</f>
        <v>87966</v>
      </c>
      <c r="N171" s="331">
        <f>+'Oct 12'!N172</f>
        <v>10217</v>
      </c>
      <c r="O171" s="261"/>
      <c r="P171" s="331">
        <f>M171+N171</f>
        <v>98183</v>
      </c>
      <c r="Q171" s="264"/>
      <c r="R171" s="5"/>
    </row>
    <row r="172" spans="1:19" ht="15.6" x14ac:dyDescent="0.3">
      <c r="A172" s="260"/>
      <c r="B172" s="261" t="s">
        <v>69</v>
      </c>
      <c r="C172" s="261"/>
      <c r="D172" s="261"/>
      <c r="E172" s="261"/>
      <c r="F172" s="261"/>
      <c r="G172" s="261"/>
      <c r="H172" s="261"/>
      <c r="I172" s="261"/>
      <c r="J172" s="261"/>
      <c r="K172" s="261"/>
      <c r="L172" s="261"/>
      <c r="M172" s="330">
        <v>47</v>
      </c>
      <c r="N172" s="330">
        <f>-N99-N122</f>
        <v>3</v>
      </c>
      <c r="O172" s="261"/>
      <c r="P172" s="331">
        <f>M172+N172</f>
        <v>50</v>
      </c>
      <c r="Q172" s="264"/>
      <c r="R172" s="5"/>
    </row>
    <row r="173" spans="1:19" ht="15.6" x14ac:dyDescent="0.3">
      <c r="A173" s="260"/>
      <c r="B173" s="261" t="s">
        <v>70</v>
      </c>
      <c r="C173" s="261"/>
      <c r="D173" s="261"/>
      <c r="E173" s="261"/>
      <c r="F173" s="261"/>
      <c r="G173" s="261"/>
      <c r="H173" s="261"/>
      <c r="I173" s="261"/>
      <c r="J173" s="261"/>
      <c r="K173" s="261"/>
      <c r="L173" s="261"/>
      <c r="M173" s="331">
        <f>M171+M172</f>
        <v>88013</v>
      </c>
      <c r="N173" s="331">
        <f>N172+N171</f>
        <v>10220</v>
      </c>
      <c r="O173" s="261"/>
      <c r="P173" s="331">
        <f>M173+N173</f>
        <v>98233</v>
      </c>
      <c r="Q173" s="264"/>
      <c r="R173" s="5"/>
    </row>
    <row r="174" spans="1:19" ht="15.6" x14ac:dyDescent="0.3">
      <c r="A174" s="260"/>
      <c r="B174" s="261" t="s">
        <v>71</v>
      </c>
      <c r="C174" s="261"/>
      <c r="D174" s="261"/>
      <c r="E174" s="261"/>
      <c r="F174" s="261"/>
      <c r="G174" s="261"/>
      <c r="H174" s="261"/>
      <c r="I174" s="261"/>
      <c r="J174" s="261"/>
      <c r="K174" s="261"/>
      <c r="L174" s="261"/>
      <c r="M174" s="331">
        <f>M170-M173-N173</f>
        <v>45767</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190"/>
      <c r="R175" s="5"/>
    </row>
    <row r="176" spans="1:19" ht="15.6" x14ac:dyDescent="0.3">
      <c r="A176" s="180"/>
      <c r="B176" s="181"/>
      <c r="C176" s="181"/>
      <c r="D176" s="181"/>
      <c r="E176" s="181"/>
      <c r="F176" s="181"/>
      <c r="G176" s="181"/>
      <c r="H176" s="181"/>
      <c r="I176" s="181"/>
      <c r="J176" s="181"/>
      <c r="K176" s="181"/>
      <c r="L176" s="181"/>
      <c r="M176" s="181"/>
      <c r="N176" s="181"/>
      <c r="O176" s="181"/>
      <c r="P176" s="200"/>
      <c r="Q176" s="181"/>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185"/>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2.6513317191283292</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1.51</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2.9912280701754388</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2.48</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190"/>
      <c r="R183" s="5"/>
    </row>
    <row r="184" spans="1:18" ht="15.6" x14ac:dyDescent="0.3">
      <c r="A184" s="183"/>
      <c r="B184" s="185"/>
      <c r="C184" s="185"/>
      <c r="D184" s="185"/>
      <c r="E184" s="185"/>
      <c r="F184" s="185"/>
      <c r="G184" s="185"/>
      <c r="H184" s="185"/>
      <c r="I184" s="185"/>
      <c r="J184" s="185"/>
      <c r="K184" s="185"/>
      <c r="L184" s="185"/>
      <c r="M184" s="185"/>
      <c r="N184" s="185"/>
      <c r="O184" s="185"/>
      <c r="P184" s="185"/>
      <c r="Q184" s="185"/>
      <c r="R184" s="5"/>
    </row>
    <row r="185" spans="1:18" ht="18" thickBot="1" x14ac:dyDescent="0.35">
      <c r="A185" s="199"/>
      <c r="B185" s="239" t="str">
        <f>B133</f>
        <v>PM7 INVESTOR REPORT QUARTER ENDING JANUARY 2013</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41305</v>
      </c>
      <c r="O186" s="326"/>
      <c r="P186" s="326"/>
      <c r="Q186" s="326"/>
      <c r="R186" s="5"/>
    </row>
    <row r="187" spans="1:18" ht="15.6" x14ac:dyDescent="0.3">
      <c r="A187" s="217"/>
      <c r="B187" s="218"/>
      <c r="C187" s="219"/>
      <c r="D187" s="219"/>
      <c r="E187" s="220"/>
      <c r="F187" s="220"/>
      <c r="G187" s="220"/>
      <c r="H187" s="220"/>
      <c r="I187" s="220"/>
      <c r="J187" s="220"/>
      <c r="K187" s="220"/>
      <c r="L187" s="220"/>
      <c r="M187" s="220"/>
      <c r="N187" s="220"/>
      <c r="O187" s="185"/>
      <c r="P187" s="185"/>
      <c r="Q187" s="185"/>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2.3650000000000001E-2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1.328813217283061E-2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1.0361867827169391E-2</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6.3747873110629608E-3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13.59</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3.9336018463098634E-3</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0.111</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190"/>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252"/>
      <c r="R205" s="5"/>
    </row>
    <row r="206" spans="1:18" ht="15.6" x14ac:dyDescent="0.3">
      <c r="A206" s="221"/>
      <c r="B206" s="230" t="s">
        <v>87</v>
      </c>
      <c r="C206" s="235"/>
      <c r="D206" s="230"/>
      <c r="E206" s="230"/>
      <c r="F206" s="234"/>
      <c r="G206" s="234"/>
      <c r="H206" s="234"/>
      <c r="I206" s="234"/>
      <c r="J206" s="234"/>
      <c r="K206" s="234"/>
      <c r="L206" s="234"/>
      <c r="M206" s="234">
        <v>2</v>
      </c>
      <c r="N206" s="305">
        <v>243</v>
      </c>
      <c r="O206" s="230"/>
      <c r="P206" s="306"/>
      <c r="Q206" s="307"/>
      <c r="R206" s="5"/>
    </row>
    <row r="207" spans="1:18" ht="15.6" x14ac:dyDescent="0.3">
      <c r="A207" s="351"/>
      <c r="B207" s="261" t="s">
        <v>203</v>
      </c>
      <c r="C207" s="330"/>
      <c r="D207" s="261"/>
      <c r="E207" s="261"/>
      <c r="F207" s="268"/>
      <c r="G207" s="268"/>
      <c r="H207" s="268"/>
      <c r="I207" s="268"/>
      <c r="J207" s="268"/>
      <c r="K207" s="268"/>
      <c r="L207" s="268"/>
      <c r="M207" s="352">
        <f>+L255</f>
        <v>53</v>
      </c>
      <c r="N207" s="353">
        <f>+N255</f>
        <v>8869</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109</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'Oct 12'!N212+'Jan 13'!N212</f>
        <v>5045</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2</v>
      </c>
      <c r="N219" s="353">
        <v>207</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0.26</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350"/>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393"/>
      <c r="R224" s="5"/>
    </row>
    <row r="225" spans="1:18" ht="15.6" x14ac:dyDescent="0.3">
      <c r="A225" s="198"/>
      <c r="B225" s="235" t="s">
        <v>98</v>
      </c>
      <c r="C225" s="309"/>
      <c r="D225" s="230"/>
      <c r="E225" s="309"/>
      <c r="F225" s="309"/>
      <c r="G225" s="309"/>
      <c r="H225" s="309"/>
      <c r="I225" s="309"/>
      <c r="J225" s="309"/>
      <c r="K225" s="309"/>
      <c r="L225" s="330">
        <f t="shared" ref="L225:L232" si="1">+L236+L247+L258</f>
        <v>3301</v>
      </c>
      <c r="M225" s="382">
        <f t="shared" ref="M225:M232" si="2">L225/$L$233</f>
        <v>0.98098068350668644</v>
      </c>
      <c r="N225" s="331">
        <f t="shared" ref="N225:N232" si="3">+N236+N247+N258</f>
        <v>374818</v>
      </c>
      <c r="O225" s="382">
        <f t="shared" ref="O225:O232" si="4">N225/$N$233</f>
        <v>0.98339743825200843</v>
      </c>
      <c r="P225" s="306"/>
      <c r="Q225" s="233"/>
      <c r="R225" s="5"/>
    </row>
    <row r="226" spans="1:18" ht="15.6" x14ac:dyDescent="0.3">
      <c r="A226" s="260"/>
      <c r="B226" s="330" t="s">
        <v>99</v>
      </c>
      <c r="C226" s="381"/>
      <c r="D226" s="261"/>
      <c r="E226" s="382"/>
      <c r="F226" s="381"/>
      <c r="G226" s="381"/>
      <c r="H226" s="381"/>
      <c r="I226" s="381"/>
      <c r="J226" s="381"/>
      <c r="K226" s="381"/>
      <c r="L226" s="330">
        <f t="shared" si="1"/>
        <v>43</v>
      </c>
      <c r="M226" s="382">
        <f t="shared" si="2"/>
        <v>1.2778603268945022E-2</v>
      </c>
      <c r="N226" s="331">
        <f t="shared" si="3"/>
        <v>4486</v>
      </c>
      <c r="O226" s="382">
        <f t="shared" si="4"/>
        <v>1.1769768015406169E-2</v>
      </c>
      <c r="P226" s="354"/>
      <c r="Q226" s="373"/>
      <c r="R226" s="5"/>
    </row>
    <row r="227" spans="1:18" ht="15.6" x14ac:dyDescent="0.3">
      <c r="A227" s="260"/>
      <c r="B227" s="330" t="s">
        <v>100</v>
      </c>
      <c r="C227" s="381"/>
      <c r="D227" s="261"/>
      <c r="E227" s="382"/>
      <c r="F227" s="381"/>
      <c r="G227" s="381"/>
      <c r="H227" s="381"/>
      <c r="I227" s="381"/>
      <c r="J227" s="381"/>
      <c r="K227" s="381"/>
      <c r="L227" s="330">
        <f t="shared" si="1"/>
        <v>5</v>
      </c>
      <c r="M227" s="382">
        <f t="shared" si="2"/>
        <v>1.4858841010401188E-3</v>
      </c>
      <c r="N227" s="331">
        <f t="shared" si="3"/>
        <v>420</v>
      </c>
      <c r="O227" s="382">
        <f t="shared" si="4"/>
        <v>1.1019399390259901E-3</v>
      </c>
      <c r="P227" s="354"/>
      <c r="Q227" s="373"/>
      <c r="R227" s="5"/>
    </row>
    <row r="228" spans="1:18" ht="15.6" x14ac:dyDescent="0.3">
      <c r="A228" s="260"/>
      <c r="B228" s="330" t="s">
        <v>227</v>
      </c>
      <c r="C228" s="381"/>
      <c r="D228" s="261"/>
      <c r="E228" s="382"/>
      <c r="F228" s="381"/>
      <c r="G228" s="381"/>
      <c r="H228" s="381"/>
      <c r="I228" s="381"/>
      <c r="J228" s="381"/>
      <c r="K228" s="381"/>
      <c r="L228" s="330">
        <f t="shared" si="1"/>
        <v>1</v>
      </c>
      <c r="M228" s="382">
        <f t="shared" si="2"/>
        <v>2.9717682020802375E-4</v>
      </c>
      <c r="N228" s="331">
        <f t="shared" si="3"/>
        <v>54</v>
      </c>
      <c r="O228" s="382">
        <f t="shared" si="4"/>
        <v>1.4167799216048443E-4</v>
      </c>
      <c r="P228" s="354"/>
      <c r="Q228" s="373"/>
      <c r="R228" s="5"/>
    </row>
    <row r="229" spans="1:18" ht="15.6" x14ac:dyDescent="0.3">
      <c r="A229" s="260"/>
      <c r="B229" s="330" t="s">
        <v>228</v>
      </c>
      <c r="C229" s="381"/>
      <c r="D229" s="261"/>
      <c r="E229" s="382"/>
      <c r="F229" s="381"/>
      <c r="G229" s="381"/>
      <c r="H229" s="381"/>
      <c r="I229" s="381"/>
      <c r="J229" s="381"/>
      <c r="K229" s="381"/>
      <c r="L229" s="330">
        <f t="shared" si="1"/>
        <v>2</v>
      </c>
      <c r="M229" s="382">
        <f t="shared" si="2"/>
        <v>5.943536404160475E-4</v>
      </c>
      <c r="N229" s="331">
        <f t="shared" si="3"/>
        <v>88</v>
      </c>
      <c r="O229" s="382">
        <f t="shared" si="4"/>
        <v>2.3088265389115982E-4</v>
      </c>
      <c r="P229" s="354"/>
      <c r="Q229" s="373"/>
      <c r="R229" s="5"/>
    </row>
    <row r="230" spans="1:18" ht="15.6" x14ac:dyDescent="0.3">
      <c r="A230" s="260"/>
      <c r="B230" s="330" t="s">
        <v>229</v>
      </c>
      <c r="C230" s="381"/>
      <c r="D230" s="261"/>
      <c r="E230" s="382"/>
      <c r="F230" s="381"/>
      <c r="G230" s="381"/>
      <c r="H230" s="381"/>
      <c r="I230" s="381"/>
      <c r="J230" s="381"/>
      <c r="K230" s="381"/>
      <c r="L230" s="330">
        <f t="shared" si="1"/>
        <v>2</v>
      </c>
      <c r="M230" s="382">
        <f t="shared" si="2"/>
        <v>5.943536404160475E-4</v>
      </c>
      <c r="N230" s="331">
        <f t="shared" si="3"/>
        <v>54</v>
      </c>
      <c r="O230" s="382">
        <f t="shared" si="4"/>
        <v>1.4167799216048443E-4</v>
      </c>
      <c r="P230" s="354"/>
      <c r="Q230" s="373"/>
      <c r="R230" s="5"/>
    </row>
    <row r="231" spans="1:18" ht="15.6" x14ac:dyDescent="0.3">
      <c r="A231" s="260"/>
      <c r="B231" s="330" t="s">
        <v>230</v>
      </c>
      <c r="C231" s="381"/>
      <c r="D231" s="261"/>
      <c r="E231" s="382"/>
      <c r="F231" s="381"/>
      <c r="G231" s="381"/>
      <c r="H231" s="381"/>
      <c r="I231" s="381"/>
      <c r="J231" s="381"/>
      <c r="K231" s="381"/>
      <c r="L231" s="330">
        <f t="shared" si="1"/>
        <v>5</v>
      </c>
      <c r="M231" s="382">
        <f t="shared" si="2"/>
        <v>1.4858841010401188E-3</v>
      </c>
      <c r="N231" s="331">
        <f t="shared" si="3"/>
        <v>374</v>
      </c>
      <c r="O231" s="382">
        <f t="shared" si="4"/>
        <v>9.8125127903742927E-4</v>
      </c>
      <c r="P231" s="354"/>
      <c r="Q231" s="373"/>
      <c r="R231" s="5"/>
    </row>
    <row r="232" spans="1:18" ht="15.6" x14ac:dyDescent="0.3">
      <c r="A232" s="260"/>
      <c r="B232" s="330" t="s">
        <v>231</v>
      </c>
      <c r="C232" s="381"/>
      <c r="D232" s="261"/>
      <c r="E232" s="382"/>
      <c r="F232" s="381"/>
      <c r="G232" s="381"/>
      <c r="H232" s="381"/>
      <c r="I232" s="381"/>
      <c r="J232" s="381"/>
      <c r="K232" s="381"/>
      <c r="L232" s="330">
        <f t="shared" si="1"/>
        <v>6</v>
      </c>
      <c r="M232" s="382">
        <f t="shared" si="2"/>
        <v>1.7830609212481426E-3</v>
      </c>
      <c r="N232" s="331">
        <f t="shared" si="3"/>
        <v>852</v>
      </c>
      <c r="O232" s="382">
        <f t="shared" si="4"/>
        <v>2.2353638763098656E-3</v>
      </c>
      <c r="P232" s="354"/>
      <c r="Q232" s="373"/>
      <c r="R232" s="5"/>
    </row>
    <row r="233" spans="1:18" ht="15.6" x14ac:dyDescent="0.3">
      <c r="A233" s="260"/>
      <c r="B233" s="261" t="s">
        <v>129</v>
      </c>
      <c r="C233" s="261"/>
      <c r="D233" s="261"/>
      <c r="E233" s="261"/>
      <c r="F233" s="383"/>
      <c r="G233" s="383"/>
      <c r="H233" s="383"/>
      <c r="I233" s="383"/>
      <c r="J233" s="383"/>
      <c r="K233" s="383"/>
      <c r="L233" s="330">
        <f>SUM(L225:L232)</f>
        <v>3365</v>
      </c>
      <c r="M233" s="382">
        <f>SUM(M225:M232)</f>
        <v>0.99999999999999989</v>
      </c>
      <c r="N233" s="330">
        <f>SUM(N225:N232)</f>
        <v>381146</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350"/>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393"/>
      <c r="R235" s="5"/>
    </row>
    <row r="236" spans="1:18" ht="15.6" x14ac:dyDescent="0.3">
      <c r="A236" s="198"/>
      <c r="B236" s="235" t="s">
        <v>98</v>
      </c>
      <c r="C236" s="309"/>
      <c r="D236" s="230"/>
      <c r="E236" s="309"/>
      <c r="F236" s="309"/>
      <c r="G236" s="309"/>
      <c r="H236" s="309"/>
      <c r="I236" s="309"/>
      <c r="J236" s="309"/>
      <c r="K236" s="309"/>
      <c r="L236" s="235">
        <v>3256</v>
      </c>
      <c r="M236" s="310">
        <f t="shared" ref="M236:M243" si="5">L236/$L$244</f>
        <v>0.98309178743961356</v>
      </c>
      <c r="N236" s="300">
        <v>367322</v>
      </c>
      <c r="O236" s="310">
        <f t="shared" ref="O236:O243" si="6">N236/$N$244</f>
        <v>0.98669001845400062</v>
      </c>
      <c r="P236" s="306"/>
      <c r="Q236" s="233"/>
      <c r="R236" s="5"/>
    </row>
    <row r="237" spans="1:18" ht="15.6" x14ac:dyDescent="0.3">
      <c r="A237" s="260"/>
      <c r="B237" s="330" t="s">
        <v>99</v>
      </c>
      <c r="C237" s="381"/>
      <c r="D237" s="261"/>
      <c r="E237" s="382"/>
      <c r="F237" s="381"/>
      <c r="G237" s="381"/>
      <c r="H237" s="381"/>
      <c r="I237" s="381"/>
      <c r="J237" s="381"/>
      <c r="K237" s="381"/>
      <c r="L237" s="330">
        <v>41</v>
      </c>
      <c r="M237" s="382">
        <f t="shared" si="5"/>
        <v>1.2379227053140096E-2</v>
      </c>
      <c r="N237" s="331">
        <v>4315</v>
      </c>
      <c r="O237" s="382">
        <f t="shared" si="6"/>
        <v>1.1590831558221432E-2</v>
      </c>
      <c r="P237" s="354"/>
      <c r="Q237" s="373"/>
      <c r="R237" s="5"/>
    </row>
    <row r="238" spans="1:18" ht="15.6" x14ac:dyDescent="0.3">
      <c r="A238" s="260"/>
      <c r="B238" s="330" t="s">
        <v>100</v>
      </c>
      <c r="C238" s="381"/>
      <c r="D238" s="261"/>
      <c r="E238" s="382"/>
      <c r="F238" s="381"/>
      <c r="G238" s="381"/>
      <c r="H238" s="381"/>
      <c r="I238" s="381"/>
      <c r="J238" s="381"/>
      <c r="K238" s="381"/>
      <c r="L238" s="330">
        <v>4</v>
      </c>
      <c r="M238" s="382">
        <f t="shared" si="5"/>
        <v>1.2077294685990338E-3</v>
      </c>
      <c r="N238" s="331">
        <v>237</v>
      </c>
      <c r="O238" s="382">
        <f t="shared" si="6"/>
        <v>6.3662272984901032E-4</v>
      </c>
      <c r="P238" s="354"/>
      <c r="Q238" s="373"/>
      <c r="R238" s="5"/>
    </row>
    <row r="239" spans="1:18" ht="15.6" x14ac:dyDescent="0.3">
      <c r="A239" s="260"/>
      <c r="B239" s="330" t="s">
        <v>227</v>
      </c>
      <c r="C239" s="381"/>
      <c r="D239" s="261"/>
      <c r="E239" s="382"/>
      <c r="F239" s="381"/>
      <c r="G239" s="381"/>
      <c r="H239" s="381"/>
      <c r="I239" s="381"/>
      <c r="J239" s="381"/>
      <c r="K239" s="381"/>
      <c r="L239" s="330">
        <v>1</v>
      </c>
      <c r="M239" s="382">
        <f t="shared" si="5"/>
        <v>3.0193236714975844E-4</v>
      </c>
      <c r="N239" s="331">
        <v>54</v>
      </c>
      <c r="O239" s="382">
        <f t="shared" si="6"/>
        <v>1.4505328021876185E-4</v>
      </c>
      <c r="P239" s="354"/>
      <c r="Q239" s="373"/>
      <c r="R239" s="5"/>
    </row>
    <row r="240" spans="1:18" ht="15.6" x14ac:dyDescent="0.3">
      <c r="A240" s="260"/>
      <c r="B240" s="330" t="s">
        <v>228</v>
      </c>
      <c r="C240" s="381"/>
      <c r="D240" s="261"/>
      <c r="E240" s="382"/>
      <c r="F240" s="381"/>
      <c r="G240" s="381"/>
      <c r="H240" s="381"/>
      <c r="I240" s="381"/>
      <c r="J240" s="381"/>
      <c r="K240" s="381"/>
      <c r="L240" s="330">
        <v>2</v>
      </c>
      <c r="M240" s="382">
        <f t="shared" si="5"/>
        <v>6.0386473429951688E-4</v>
      </c>
      <c r="N240" s="331">
        <v>88</v>
      </c>
      <c r="O240" s="382">
        <f t="shared" si="6"/>
        <v>2.3638312331946372E-4</v>
      </c>
      <c r="P240" s="354"/>
      <c r="Q240" s="373"/>
      <c r="R240" s="5"/>
    </row>
    <row r="241" spans="1:18" ht="15.6" x14ac:dyDescent="0.3">
      <c r="A241" s="260"/>
      <c r="B241" s="330" t="s">
        <v>229</v>
      </c>
      <c r="C241" s="381"/>
      <c r="D241" s="261"/>
      <c r="E241" s="382"/>
      <c r="F241" s="381"/>
      <c r="G241" s="381"/>
      <c r="H241" s="381"/>
      <c r="I241" s="381"/>
      <c r="J241" s="381"/>
      <c r="K241" s="381"/>
      <c r="L241" s="330">
        <v>2</v>
      </c>
      <c r="M241" s="382">
        <f t="shared" si="5"/>
        <v>6.0386473429951688E-4</v>
      </c>
      <c r="N241" s="331">
        <v>54</v>
      </c>
      <c r="O241" s="382">
        <f t="shared" si="6"/>
        <v>1.4505328021876185E-4</v>
      </c>
      <c r="P241" s="354"/>
      <c r="Q241" s="373"/>
      <c r="R241" s="5"/>
    </row>
    <row r="242" spans="1:18" ht="15.6" x14ac:dyDescent="0.3">
      <c r="A242" s="260"/>
      <c r="B242" s="330" t="s">
        <v>230</v>
      </c>
      <c r="C242" s="381"/>
      <c r="D242" s="261"/>
      <c r="E242" s="382"/>
      <c r="F242" s="381"/>
      <c r="G242" s="381"/>
      <c r="H242" s="381"/>
      <c r="I242" s="381"/>
      <c r="J242" s="381"/>
      <c r="K242" s="381"/>
      <c r="L242" s="330">
        <v>4</v>
      </c>
      <c r="M242" s="382">
        <f t="shared" si="5"/>
        <v>1.2077294685990338E-3</v>
      </c>
      <c r="N242" s="331">
        <v>158</v>
      </c>
      <c r="O242" s="382">
        <f t="shared" si="6"/>
        <v>4.2441515323267355E-4</v>
      </c>
      <c r="P242" s="354"/>
      <c r="Q242" s="373"/>
      <c r="R242" s="5"/>
    </row>
    <row r="243" spans="1:18" ht="15.6" x14ac:dyDescent="0.3">
      <c r="A243" s="260"/>
      <c r="B243" s="330" t="s">
        <v>231</v>
      </c>
      <c r="C243" s="381"/>
      <c r="D243" s="261"/>
      <c r="E243" s="382"/>
      <c r="F243" s="381"/>
      <c r="G243" s="381"/>
      <c r="H243" s="381"/>
      <c r="I243" s="381"/>
      <c r="J243" s="381"/>
      <c r="K243" s="381"/>
      <c r="L243" s="330">
        <v>2</v>
      </c>
      <c r="M243" s="382">
        <f t="shared" si="5"/>
        <v>6.0386473429951688E-4</v>
      </c>
      <c r="N243" s="331">
        <v>49</v>
      </c>
      <c r="O243" s="382">
        <f t="shared" si="6"/>
        <v>1.3162242093924686E-4</v>
      </c>
      <c r="P243" s="354"/>
      <c r="Q243" s="373"/>
      <c r="R243" s="5"/>
    </row>
    <row r="244" spans="1:18" ht="15.6" x14ac:dyDescent="0.3">
      <c r="A244" s="260"/>
      <c r="B244" s="261" t="s">
        <v>129</v>
      </c>
      <c r="C244" s="261"/>
      <c r="D244" s="261"/>
      <c r="E244" s="261"/>
      <c r="F244" s="383"/>
      <c r="G244" s="383"/>
      <c r="H244" s="383"/>
      <c r="I244" s="383"/>
      <c r="J244" s="383"/>
      <c r="K244" s="383"/>
      <c r="L244" s="330">
        <f>SUM(L236:L243)</f>
        <v>3312</v>
      </c>
      <c r="M244" s="382">
        <f>SUM(M236:M243)</f>
        <v>1</v>
      </c>
      <c r="N244" s="331">
        <f>SUM(N236:N243)</f>
        <v>372277</v>
      </c>
      <c r="O244" s="382">
        <f>SUM(O236:O243)</f>
        <v>0.99999999999999978</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257"/>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45</v>
      </c>
      <c r="M247" s="310">
        <f t="shared" ref="M247:M254" si="7">L247/$L$255</f>
        <v>0.84905660377358494</v>
      </c>
      <c r="N247" s="300">
        <v>7496</v>
      </c>
      <c r="O247" s="310">
        <f t="shared" ref="O247:O254" si="8">N247/$N$255</f>
        <v>0.84519111512008116</v>
      </c>
      <c r="P247" s="306"/>
      <c r="Q247" s="230"/>
      <c r="R247" s="5"/>
    </row>
    <row r="248" spans="1:18" ht="15.6" x14ac:dyDescent="0.3">
      <c r="A248" s="260"/>
      <c r="B248" s="330" t="s">
        <v>99</v>
      </c>
      <c r="C248" s="381"/>
      <c r="D248" s="261"/>
      <c r="E248" s="382"/>
      <c r="F248" s="381"/>
      <c r="G248" s="381"/>
      <c r="H248" s="381"/>
      <c r="I248" s="381"/>
      <c r="J248" s="381"/>
      <c r="K248" s="381"/>
      <c r="L248" s="330">
        <v>2</v>
      </c>
      <c r="M248" s="382">
        <f t="shared" si="7"/>
        <v>3.7735849056603772E-2</v>
      </c>
      <c r="N248" s="331">
        <v>171</v>
      </c>
      <c r="O248" s="382">
        <f t="shared" si="8"/>
        <v>1.9280640432968767E-2</v>
      </c>
      <c r="P248" s="354"/>
      <c r="Q248" s="264"/>
      <c r="R248" s="5"/>
    </row>
    <row r="249" spans="1:18" ht="15.6" x14ac:dyDescent="0.3">
      <c r="A249" s="260"/>
      <c r="B249" s="330" t="s">
        <v>100</v>
      </c>
      <c r="C249" s="381"/>
      <c r="D249" s="261"/>
      <c r="E249" s="382"/>
      <c r="F249" s="381"/>
      <c r="G249" s="381"/>
      <c r="H249" s="381"/>
      <c r="I249" s="381"/>
      <c r="J249" s="381"/>
      <c r="K249" s="381"/>
      <c r="L249" s="330">
        <v>1</v>
      </c>
      <c r="M249" s="382">
        <f t="shared" si="7"/>
        <v>1.8867924528301886E-2</v>
      </c>
      <c r="N249" s="331">
        <v>183</v>
      </c>
      <c r="O249" s="382">
        <f t="shared" si="8"/>
        <v>2.0633667831773592E-2</v>
      </c>
      <c r="P249" s="354"/>
      <c r="Q249" s="264"/>
      <c r="R249" s="5"/>
    </row>
    <row r="250" spans="1:18" ht="15.6" x14ac:dyDescent="0.3">
      <c r="A250" s="260"/>
      <c r="B250" s="330" t="s">
        <v>227</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1</v>
      </c>
      <c r="M253" s="382">
        <f t="shared" si="7"/>
        <v>1.8867924528301886E-2</v>
      </c>
      <c r="N253" s="331">
        <v>216</v>
      </c>
      <c r="O253" s="382">
        <f t="shared" si="8"/>
        <v>2.4354493178486866E-2</v>
      </c>
      <c r="P253" s="354"/>
      <c r="Q253" s="264"/>
      <c r="R253" s="5"/>
    </row>
    <row r="254" spans="1:18" ht="15.6" x14ac:dyDescent="0.3">
      <c r="A254" s="260"/>
      <c r="B254" s="330" t="s">
        <v>231</v>
      </c>
      <c r="C254" s="381"/>
      <c r="D254" s="261"/>
      <c r="E254" s="382"/>
      <c r="F254" s="381"/>
      <c r="G254" s="381"/>
      <c r="H254" s="381"/>
      <c r="I254" s="381"/>
      <c r="J254" s="381"/>
      <c r="K254" s="381"/>
      <c r="L254" s="330">
        <v>4</v>
      </c>
      <c r="M254" s="382">
        <f t="shared" si="7"/>
        <v>7.5471698113207544E-2</v>
      </c>
      <c r="N254" s="331">
        <v>803</v>
      </c>
      <c r="O254" s="382">
        <f t="shared" si="8"/>
        <v>9.0540083436689595E-2</v>
      </c>
      <c r="P254" s="354"/>
      <c r="Q254" s="264"/>
      <c r="R254" s="5"/>
    </row>
    <row r="255" spans="1:18" ht="15.6" x14ac:dyDescent="0.3">
      <c r="A255" s="260"/>
      <c r="B255" s="261" t="s">
        <v>129</v>
      </c>
      <c r="C255" s="261"/>
      <c r="D255" s="261"/>
      <c r="E255" s="261"/>
      <c r="F255" s="383"/>
      <c r="G255" s="383"/>
      <c r="H255" s="383"/>
      <c r="I255" s="383"/>
      <c r="J255" s="383"/>
      <c r="K255" s="383"/>
      <c r="L255" s="330">
        <f>SUM(L247:L254)</f>
        <v>53</v>
      </c>
      <c r="M255" s="382">
        <f>SUM(M247:M254)</f>
        <v>1</v>
      </c>
      <c r="N255" s="331">
        <f>SUM(N247:N254)</f>
        <v>8869</v>
      </c>
      <c r="O255" s="382">
        <f>SUM(O247:O254)</f>
        <v>0.99999999999999989</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257"/>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230"/>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v>0</v>
      </c>
      <c r="N266" s="331">
        <f>SUM(N258:N265)</f>
        <v>0</v>
      </c>
      <c r="O266" s="382">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3365</v>
      </c>
      <c r="M268" s="382"/>
      <c r="N268" s="386">
        <f>+N266+N255+N244</f>
        <v>381146</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257"/>
      <c r="R269" s="5"/>
    </row>
    <row r="270" spans="1:18" ht="15.6" x14ac:dyDescent="0.3">
      <c r="A270" s="183"/>
      <c r="B270" s="236"/>
      <c r="C270" s="236"/>
      <c r="D270" s="236"/>
      <c r="E270" s="236"/>
      <c r="F270" s="311"/>
      <c r="G270" s="311"/>
      <c r="H270" s="311"/>
      <c r="I270" s="311"/>
      <c r="J270" s="311"/>
      <c r="K270" s="311"/>
      <c r="L270" s="311"/>
      <c r="M270" s="311"/>
      <c r="N270" s="312"/>
      <c r="O270" s="311"/>
      <c r="P270" s="236"/>
      <c r="Q270" s="236"/>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249"/>
      <c r="R271" s="5"/>
    </row>
    <row r="272" spans="1:18" ht="15.6" x14ac:dyDescent="0.3">
      <c r="A272" s="225"/>
      <c r="B272" s="249"/>
      <c r="C272" s="236"/>
      <c r="D272" s="236"/>
      <c r="E272" s="236"/>
      <c r="F272" s="236"/>
      <c r="G272" s="236"/>
      <c r="H272" s="236"/>
      <c r="I272" s="249"/>
      <c r="J272" s="249"/>
      <c r="K272" s="249"/>
      <c r="L272" s="249"/>
      <c r="M272" s="249"/>
      <c r="N272" s="249"/>
      <c r="O272" s="249"/>
      <c r="P272" s="249"/>
      <c r="Q272" s="249"/>
      <c r="R272" s="5"/>
    </row>
    <row r="273" spans="1:18" ht="15.6" x14ac:dyDescent="0.3">
      <c r="A273" s="225"/>
      <c r="B273" s="228" t="s">
        <v>103</v>
      </c>
      <c r="C273" s="228"/>
      <c r="D273" s="228"/>
      <c r="E273" s="228"/>
      <c r="F273" s="313" t="s">
        <v>212</v>
      </c>
      <c r="G273" s="228"/>
      <c r="H273" s="228" t="s">
        <v>222</v>
      </c>
      <c r="I273" s="249"/>
      <c r="J273" s="249"/>
      <c r="K273" s="249"/>
      <c r="L273" s="249"/>
      <c r="M273" s="249"/>
      <c r="N273" s="249"/>
      <c r="O273" s="249"/>
      <c r="P273" s="249"/>
      <c r="Q273" s="249"/>
      <c r="R273" s="5"/>
    </row>
    <row r="274" spans="1:18" ht="15.6" x14ac:dyDescent="0.3">
      <c r="A274" s="225"/>
      <c r="B274" s="228" t="s">
        <v>263</v>
      </c>
      <c r="C274" s="228"/>
      <c r="D274" s="228"/>
      <c r="E274" s="228"/>
      <c r="F274" s="313" t="s">
        <v>264</v>
      </c>
      <c r="G274" s="228"/>
      <c r="H274" s="228" t="s">
        <v>265</v>
      </c>
      <c r="I274" s="249"/>
      <c r="J274" s="249"/>
      <c r="K274" s="249"/>
      <c r="L274" s="249"/>
      <c r="M274" s="249"/>
      <c r="N274" s="249"/>
      <c r="O274" s="249"/>
      <c r="P274" s="249"/>
      <c r="Q274" s="249"/>
      <c r="R274" s="5"/>
    </row>
    <row r="275" spans="1:18" ht="15.6" x14ac:dyDescent="0.3">
      <c r="A275" s="225"/>
      <c r="B275" s="228" t="s">
        <v>104</v>
      </c>
      <c r="C275" s="228"/>
      <c r="D275" s="228"/>
      <c r="E275" s="228"/>
      <c r="F275" s="313" t="s">
        <v>211</v>
      </c>
      <c r="G275" s="228"/>
      <c r="H275" s="228" t="s">
        <v>223</v>
      </c>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5.6" x14ac:dyDescent="0.3">
      <c r="A277" s="225"/>
      <c r="B277" s="228"/>
      <c r="C277" s="228"/>
      <c r="D277" s="228"/>
      <c r="E277" s="314"/>
      <c r="F277" s="249"/>
      <c r="G277" s="249"/>
      <c r="H277" s="249"/>
      <c r="I277" s="249"/>
      <c r="J277" s="249"/>
      <c r="K277" s="249"/>
      <c r="L277" s="249"/>
      <c r="M277" s="249"/>
      <c r="N277" s="249"/>
      <c r="O277" s="249"/>
      <c r="P277" s="249"/>
      <c r="Q277" s="249"/>
      <c r="R277" s="5"/>
    </row>
    <row r="278" spans="1:18" ht="18" thickBot="1" x14ac:dyDescent="0.35">
      <c r="A278" s="225"/>
      <c r="B278" s="315" t="str">
        <f>B185</f>
        <v>PM7 INVESTOR REPORT QUARTER ENDING JANUARY 2013</v>
      </c>
      <c r="C278" s="228"/>
      <c r="D278" s="228"/>
      <c r="E278" s="314"/>
      <c r="F278" s="249"/>
      <c r="G278" s="249"/>
      <c r="H278" s="249"/>
      <c r="I278" s="249"/>
      <c r="J278" s="249"/>
      <c r="K278" s="249"/>
      <c r="L278" s="249"/>
      <c r="M278" s="249"/>
      <c r="N278" s="249"/>
      <c r="O278" s="249"/>
      <c r="P278" s="249"/>
      <c r="Q278" s="24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7" man="1"/>
    <brk id="133" max="14" man="1"/>
    <brk id="185" max="14"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0.95930000000000004</v>
      </c>
      <c r="N17" s="246" t="s">
        <v>173</v>
      </c>
      <c r="O17" s="245">
        <v>4.07E-2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41416</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301</v>
      </c>
      <c r="E28" s="392"/>
      <c r="F28" s="392" t="s">
        <v>301</v>
      </c>
      <c r="G28" s="392"/>
      <c r="H28" s="392" t="s">
        <v>301</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169228.08000000002</v>
      </c>
      <c r="E34" s="271"/>
      <c r="F34" s="272">
        <f>+F33*F40</f>
        <v>82709.792000000001</v>
      </c>
      <c r="G34" s="271"/>
      <c r="H34" s="273">
        <f>+H33*H40</f>
        <v>188043.09999999998</v>
      </c>
      <c r="I34" s="271"/>
      <c r="J34" s="270">
        <f>J33*J40</f>
        <v>69822.95925</v>
      </c>
      <c r="K34" s="271"/>
      <c r="L34" s="273">
        <f>L33*L40</f>
        <v>55011.989499999996</v>
      </c>
      <c r="M34" s="271"/>
      <c r="N34" s="271"/>
      <c r="O34" s="274"/>
      <c r="P34" s="271"/>
      <c r="Q34" s="275"/>
      <c r="R34" s="5"/>
    </row>
    <row r="35" spans="1:19" ht="15.6" x14ac:dyDescent="0.3">
      <c r="A35" s="265"/>
      <c r="B35" s="266" t="s">
        <v>158</v>
      </c>
      <c r="C35" s="276"/>
      <c r="D35" s="277">
        <f>+D33*D39</f>
        <v>168060.64500000002</v>
      </c>
      <c r="E35" s="278"/>
      <c r="F35" s="279">
        <f>+F33*F39</f>
        <v>82139.243999999992</v>
      </c>
      <c r="G35" s="278"/>
      <c r="H35" s="280">
        <f>+H33*H39</f>
        <v>186745.84999999998</v>
      </c>
      <c r="I35" s="278"/>
      <c r="J35" s="277">
        <f>J33*J39</f>
        <v>69341.282999999996</v>
      </c>
      <c r="K35" s="278"/>
      <c r="L35" s="280">
        <f>L33*L39</f>
        <v>54632.487000000001</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95125.396290050601</v>
      </c>
      <c r="E37" s="271"/>
      <c r="F37" s="271">
        <f>+F34</f>
        <v>82709.792000000001</v>
      </c>
      <c r="G37" s="271"/>
      <c r="H37" s="271">
        <f>+H34/1.481481</f>
        <v>126929.13375196845</v>
      </c>
      <c r="I37" s="271"/>
      <c r="J37" s="271">
        <f>J36*J40</f>
        <v>39248.120148599999</v>
      </c>
      <c r="K37" s="271"/>
      <c r="L37" s="271">
        <f>L36*L40</f>
        <v>37133.092912499997</v>
      </c>
      <c r="M37" s="271"/>
      <c r="N37" s="271"/>
      <c r="O37" s="274"/>
      <c r="P37" s="271">
        <f>SUM(C37:L37)</f>
        <v>381145.53510311909</v>
      </c>
      <c r="Q37" s="275"/>
      <c r="R37" s="5"/>
      <c r="S37" s="154"/>
    </row>
    <row r="38" spans="1:19" ht="15.6" x14ac:dyDescent="0.3">
      <c r="A38" s="265"/>
      <c r="B38" s="266" t="s">
        <v>281</v>
      </c>
      <c r="C38" s="276"/>
      <c r="D38" s="278">
        <f>D35/1.779</f>
        <v>94469.165261382819</v>
      </c>
      <c r="E38" s="278"/>
      <c r="F38" s="278">
        <f>+F35</f>
        <v>82139.243999999992</v>
      </c>
      <c r="G38" s="278"/>
      <c r="H38" s="278">
        <f>H35/1.481481</f>
        <v>126053.48971738415</v>
      </c>
      <c r="I38" s="278"/>
      <c r="J38" s="278">
        <f>J36*J39</f>
        <v>38977.365549599999</v>
      </c>
      <c r="K38" s="278"/>
      <c r="L38" s="278">
        <f>L36*L39</f>
        <v>36876.928724999998</v>
      </c>
      <c r="M38" s="278"/>
      <c r="N38" s="278"/>
      <c r="O38" s="281"/>
      <c r="P38" s="278">
        <f>SUM(D38:L38)</f>
        <v>378516.19325336698</v>
      </c>
      <c r="Q38" s="275"/>
      <c r="R38" s="5"/>
      <c r="S38" s="176"/>
    </row>
    <row r="39" spans="1:19" ht="15.6" x14ac:dyDescent="0.3">
      <c r="A39" s="265"/>
      <c r="B39" s="282" t="s">
        <v>154</v>
      </c>
      <c r="C39" s="283"/>
      <c r="D39" s="284">
        <v>0.37346810000000003</v>
      </c>
      <c r="E39" s="284"/>
      <c r="F39" s="284">
        <v>0.37336019999999998</v>
      </c>
      <c r="G39" s="284"/>
      <c r="H39" s="284">
        <v>0.37349169999999998</v>
      </c>
      <c r="I39" s="284"/>
      <c r="J39" s="284">
        <v>0.84050040000000004</v>
      </c>
      <c r="K39" s="284"/>
      <c r="L39" s="284">
        <v>0.84049980000000002</v>
      </c>
      <c r="M39" s="285"/>
      <c r="N39" s="285"/>
      <c r="O39" s="286"/>
      <c r="P39" s="285"/>
      <c r="Q39" s="287"/>
      <c r="R39" s="5"/>
    </row>
    <row r="40" spans="1:19" ht="15.6" x14ac:dyDescent="0.3">
      <c r="A40" s="265"/>
      <c r="B40" s="282" t="s">
        <v>155</v>
      </c>
      <c r="C40" s="283"/>
      <c r="D40" s="284">
        <v>0.37606240000000002</v>
      </c>
      <c r="E40" s="284"/>
      <c r="F40" s="284">
        <v>0.3759536</v>
      </c>
      <c r="G40" s="284"/>
      <c r="H40" s="284">
        <v>0.37608619999999998</v>
      </c>
      <c r="I40" s="284"/>
      <c r="J40" s="284">
        <v>0.84633890000000001</v>
      </c>
      <c r="K40" s="284"/>
      <c r="L40" s="284">
        <v>0.84633829999999999</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7.1009999999999997E-3</v>
      </c>
      <c r="E42" s="290"/>
      <c r="F42" s="289">
        <v>9.2999999999999992E-3</v>
      </c>
      <c r="G42" s="290"/>
      <c r="H42" s="289">
        <v>6.4599999999999996E-3</v>
      </c>
      <c r="I42" s="290"/>
      <c r="J42" s="289">
        <v>1.7901E-2</v>
      </c>
      <c r="K42" s="290"/>
      <c r="L42" s="289">
        <v>1.7260000000000001E-2</v>
      </c>
      <c r="M42" s="290"/>
      <c r="N42" s="289"/>
      <c r="O42" s="263"/>
      <c r="P42" s="290"/>
      <c r="Q42" s="264"/>
      <c r="R42" s="5"/>
    </row>
    <row r="43" spans="1:19" ht="15.6" x14ac:dyDescent="0.3">
      <c r="A43" s="260"/>
      <c r="B43" s="261" t="s">
        <v>14</v>
      </c>
      <c r="C43" s="261"/>
      <c r="D43" s="289">
        <v>7.3000000000000001E-3</v>
      </c>
      <c r="E43" s="290"/>
      <c r="F43" s="289">
        <v>9.4313000000000001E-3</v>
      </c>
      <c r="G43" s="290"/>
      <c r="H43" s="289">
        <v>6.1199999999999996E-3</v>
      </c>
      <c r="I43" s="290"/>
      <c r="J43" s="289">
        <v>1.8100000000000002E-2</v>
      </c>
      <c r="K43" s="290"/>
      <c r="L43" s="289">
        <v>1.6920000000000001E-2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1.119E-2</v>
      </c>
      <c r="E45" s="290"/>
      <c r="F45" s="289">
        <f>+F42</f>
        <v>9.2999999999999992E-3</v>
      </c>
      <c r="G45" s="290"/>
      <c r="H45" s="289">
        <v>1.095E-2</v>
      </c>
      <c r="I45" s="290"/>
      <c r="J45" s="289">
        <v>2.3449999999999999E-2</v>
      </c>
      <c r="K45" s="290"/>
      <c r="L45" s="289">
        <v>2.3449999999999999E-2</v>
      </c>
      <c r="M45" s="290"/>
      <c r="N45" s="289"/>
      <c r="O45" s="263"/>
      <c r="P45" s="290">
        <f>SUMPRODUCT(D45:L45,D37:L37)/P37</f>
        <v>1.3156831837465431E-2</v>
      </c>
      <c r="Q45" s="264"/>
      <c r="R45" s="5"/>
    </row>
    <row r="46" spans="1:19" ht="15.6" x14ac:dyDescent="0.3">
      <c r="A46" s="260"/>
      <c r="B46" s="261" t="s">
        <v>283</v>
      </c>
      <c r="C46" s="261"/>
      <c r="D46" s="289">
        <v>1.1321299999999999E-2</v>
      </c>
      <c r="E46" s="290"/>
      <c r="F46" s="289">
        <f>+F43</f>
        <v>9.4313000000000001E-3</v>
      </c>
      <c r="G46" s="290"/>
      <c r="H46" s="289">
        <v>1.1081300000000001E-2</v>
      </c>
      <c r="I46" s="290"/>
      <c r="J46" s="289">
        <v>2.3581299999999999E-2</v>
      </c>
      <c r="K46" s="290"/>
      <c r="L46" s="289">
        <v>2.3581299999999999E-2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0.25062386289964267</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41409</v>
      </c>
      <c r="Q57" s="264"/>
      <c r="R57" s="5"/>
    </row>
    <row r="58" spans="1:18" ht="15.6" x14ac:dyDescent="0.3">
      <c r="A58" s="260"/>
      <c r="B58" s="261" t="s">
        <v>142</v>
      </c>
      <c r="C58" s="261"/>
      <c r="D58" s="261"/>
      <c r="E58" s="261"/>
      <c r="F58" s="297"/>
      <c r="G58" s="297"/>
      <c r="H58" s="297"/>
      <c r="I58" s="297"/>
      <c r="J58" s="297"/>
      <c r="K58" s="297"/>
      <c r="L58" s="261">
        <f>+P58-N58+1</f>
        <v>92</v>
      </c>
      <c r="M58" s="297"/>
      <c r="N58" s="298">
        <v>41228</v>
      </c>
      <c r="O58" s="299"/>
      <c r="P58" s="298">
        <v>41319</v>
      </c>
      <c r="Q58" s="264"/>
      <c r="R58" s="5"/>
    </row>
    <row r="59" spans="1:18" ht="15.6" x14ac:dyDescent="0.3">
      <c r="A59" s="260"/>
      <c r="B59" s="261" t="s">
        <v>143</v>
      </c>
      <c r="C59" s="261"/>
      <c r="D59" s="261"/>
      <c r="E59" s="261"/>
      <c r="F59" s="261"/>
      <c r="G59" s="261"/>
      <c r="H59" s="261"/>
      <c r="I59" s="261"/>
      <c r="J59" s="261"/>
      <c r="K59" s="261"/>
      <c r="L59" s="261">
        <f>+P59-N59+1</f>
        <v>89</v>
      </c>
      <c r="M59" s="261"/>
      <c r="N59" s="298">
        <v>41320</v>
      </c>
      <c r="O59" s="299"/>
      <c r="P59" s="298">
        <v>41408</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41395</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307</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381146</v>
      </c>
      <c r="I69" s="330"/>
      <c r="J69" s="330">
        <f>2629+105+1</f>
        <v>2735</v>
      </c>
      <c r="K69" s="330"/>
      <c r="L69" s="330">
        <v>105</v>
      </c>
      <c r="M69" s="330"/>
      <c r="N69" s="330">
        <v>0</v>
      </c>
      <c r="O69" s="330"/>
      <c r="P69" s="331">
        <f>+H69-J69+L69-N69</f>
        <v>378516</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381146</v>
      </c>
      <c r="I72" s="330"/>
      <c r="J72" s="330">
        <f>SUM(J69:J71)</f>
        <v>2735</v>
      </c>
      <c r="K72" s="330"/>
      <c r="L72" s="330">
        <f>SUM(L69:L71)</f>
        <v>105</v>
      </c>
      <c r="M72" s="330"/>
      <c r="N72" s="330">
        <f>SUM(N69:N71)</f>
        <v>0</v>
      </c>
      <c r="O72" s="330"/>
      <c r="P72" s="330">
        <f>SUM(P69:P71)</f>
        <v>378516</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381146</v>
      </c>
      <c r="I86" s="330"/>
      <c r="J86" s="330">
        <f>SUM(J72:J85)</f>
        <v>2735</v>
      </c>
      <c r="K86" s="330"/>
      <c r="L86" s="330">
        <f>SUM(L72:L85)</f>
        <v>105</v>
      </c>
      <c r="M86" s="330"/>
      <c r="N86" s="330"/>
      <c r="O86" s="330"/>
      <c r="P86" s="330">
        <f>SUM(P72:P85)</f>
        <v>378516</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41394</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2735-288</f>
        <v>2447</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2877+145-683-54</f>
        <v>2285</v>
      </c>
      <c r="Q92" s="264"/>
      <c r="R92" s="5"/>
    </row>
    <row r="93" spans="1:18" ht="15.6" x14ac:dyDescent="0.3">
      <c r="A93" s="260"/>
      <c r="B93" s="261" t="s">
        <v>249</v>
      </c>
      <c r="C93" s="261"/>
      <c r="D93" s="261"/>
      <c r="E93" s="261"/>
      <c r="F93" s="292"/>
      <c r="G93" s="332"/>
      <c r="H93" s="333"/>
      <c r="I93" s="261"/>
      <c r="J93" s="261"/>
      <c r="K93" s="261"/>
      <c r="L93" s="261"/>
      <c r="M93" s="261"/>
      <c r="N93" s="330"/>
      <c r="O93" s="261"/>
      <c r="P93" s="331">
        <f>45+2</f>
        <v>47</v>
      </c>
      <c r="Q93" s="264"/>
      <c r="R93" s="5"/>
    </row>
    <row r="94" spans="1:18" ht="15.6" x14ac:dyDescent="0.3">
      <c r="A94" s="260"/>
      <c r="B94" s="261" t="s">
        <v>250</v>
      </c>
      <c r="C94" s="261"/>
      <c r="D94" s="261"/>
      <c r="E94" s="261"/>
      <c r="F94" s="292"/>
      <c r="G94" s="332"/>
      <c r="H94" s="333"/>
      <c r="I94" s="261"/>
      <c r="J94" s="261"/>
      <c r="K94" s="261"/>
      <c r="L94" s="261"/>
      <c r="M94" s="261"/>
      <c r="N94" s="330"/>
      <c r="O94" s="261"/>
      <c r="P94" s="331">
        <v>23</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162</v>
      </c>
      <c r="Q97" s="264"/>
      <c r="R97" s="5"/>
    </row>
    <row r="98" spans="1:19" ht="15.6" x14ac:dyDescent="0.3">
      <c r="A98" s="260"/>
      <c r="B98" s="261" t="s">
        <v>35</v>
      </c>
      <c r="C98" s="261"/>
      <c r="D98" s="261"/>
      <c r="E98" s="261"/>
      <c r="F98" s="261"/>
      <c r="G98" s="261"/>
      <c r="H98" s="261"/>
      <c r="I98" s="261"/>
      <c r="J98" s="261"/>
      <c r="K98" s="261"/>
      <c r="L98" s="261"/>
      <c r="M98" s="261"/>
      <c r="N98" s="330">
        <f>SUM(N90:N97)</f>
        <v>2447</v>
      </c>
      <c r="O98" s="261"/>
      <c r="P98" s="330">
        <f>SUM(P90:P97)</f>
        <v>2517</v>
      </c>
      <c r="Q98" s="264"/>
      <c r="R98" s="5"/>
    </row>
    <row r="99" spans="1:19" ht="15.6" x14ac:dyDescent="0.3">
      <c r="A99" s="260"/>
      <c r="B99" s="261" t="s">
        <v>237</v>
      </c>
      <c r="C99" s="261"/>
      <c r="D99" s="261"/>
      <c r="E99" s="261"/>
      <c r="F99" s="261"/>
      <c r="G99" s="261"/>
      <c r="H99" s="261"/>
      <c r="I99" s="261"/>
      <c r="J99" s="261"/>
      <c r="K99" s="261"/>
      <c r="L99" s="261"/>
      <c r="M99" s="261"/>
      <c r="N99" s="330">
        <v>-2</v>
      </c>
      <c r="O99" s="261"/>
      <c r="P99" s="330">
        <f>-N99</f>
        <v>2</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146</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2445</v>
      </c>
      <c r="O102" s="261"/>
      <c r="P102" s="330">
        <f>P98+P100+P99+P101</f>
        <v>2665</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-93-121-5</f>
        <v>-219</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-47</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-260</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-187</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-339</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-225</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-212</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288</v>
      </c>
      <c r="O115" s="261"/>
      <c r="P115" s="331">
        <v>-288</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-190</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-688</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-103</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-656</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-571</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-876</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-271</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-256</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-2733</v>
      </c>
      <c r="O129" s="330"/>
      <c r="P129" s="330">
        <f>SUM(P103:P128)</f>
        <v>-2665</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5.6" x14ac:dyDescent="0.3">
      <c r="A132" s="301"/>
      <c r="B132" s="257"/>
      <c r="C132" s="257"/>
      <c r="D132" s="257"/>
      <c r="E132" s="257"/>
      <c r="F132" s="257"/>
      <c r="G132" s="257"/>
      <c r="H132" s="257"/>
      <c r="I132" s="257"/>
      <c r="J132" s="257"/>
      <c r="K132" s="257"/>
      <c r="L132" s="257"/>
      <c r="M132" s="257"/>
      <c r="N132" s="302"/>
      <c r="O132" s="302"/>
      <c r="P132" s="302"/>
      <c r="Q132" s="257"/>
      <c r="R132" s="5"/>
    </row>
    <row r="133" spans="1:19" ht="18" thickBot="1" x14ac:dyDescent="0.35">
      <c r="A133" s="303"/>
      <c r="B133" s="239" t="str">
        <f>B65</f>
        <v>PM7 INVESTOR REPORT QUARTER ENDING APRIL 2013</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326"/>
      <c r="R134" s="5"/>
    </row>
    <row r="135" spans="1:19" ht="15.6" x14ac:dyDescent="0.3">
      <c r="A135" s="183"/>
      <c r="B135" s="196"/>
      <c r="C135" s="185"/>
      <c r="D135" s="185"/>
      <c r="E135" s="185"/>
      <c r="F135" s="185"/>
      <c r="G135" s="185"/>
      <c r="H135" s="185"/>
      <c r="I135" s="185"/>
      <c r="J135" s="185"/>
      <c r="K135" s="185"/>
      <c r="L135" s="185"/>
      <c r="M135" s="185"/>
      <c r="N135" s="185"/>
      <c r="O135" s="185"/>
      <c r="P135" s="201"/>
      <c r="Q135" s="185"/>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185"/>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190"/>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185"/>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190"/>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185"/>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288</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288</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-288</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190"/>
      <c r="R160" s="5"/>
    </row>
    <row r="161" spans="1:19" ht="15.6" x14ac:dyDescent="0.3">
      <c r="A161" s="180"/>
      <c r="B161" s="181"/>
      <c r="C161" s="181"/>
      <c r="D161" s="181"/>
      <c r="E161" s="181"/>
      <c r="F161" s="181"/>
      <c r="G161" s="181"/>
      <c r="H161" s="181"/>
      <c r="I161" s="181"/>
      <c r="J161" s="181"/>
      <c r="K161" s="181"/>
      <c r="L161" s="181"/>
      <c r="M161" s="181"/>
      <c r="N161" s="181"/>
      <c r="O161" s="181"/>
      <c r="P161" s="200"/>
      <c r="Q161" s="181"/>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185"/>
      <c r="R162" s="5"/>
    </row>
    <row r="163" spans="1:19" ht="15.6" x14ac:dyDescent="0.3">
      <c r="A163" s="183"/>
      <c r="B163" s="196"/>
      <c r="C163" s="185"/>
      <c r="D163" s="185"/>
      <c r="E163" s="185"/>
      <c r="F163" s="185"/>
      <c r="G163" s="185"/>
      <c r="H163" s="185"/>
      <c r="I163" s="185"/>
      <c r="J163" s="185"/>
      <c r="K163" s="185"/>
      <c r="L163" s="185"/>
      <c r="M163" s="185"/>
      <c r="N163" s="185"/>
      <c r="O163" s="185"/>
      <c r="P163" s="201"/>
      <c r="Q163" s="185"/>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378516</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378516.19325336698</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190"/>
      <c r="R167" s="5"/>
    </row>
    <row r="168" spans="1:19" ht="15.6" x14ac:dyDescent="0.3">
      <c r="A168" s="180"/>
      <c r="B168" s="181"/>
      <c r="C168" s="181"/>
      <c r="D168" s="181"/>
      <c r="E168" s="181"/>
      <c r="F168" s="181"/>
      <c r="G168" s="181"/>
      <c r="H168" s="181"/>
      <c r="I168" s="181"/>
      <c r="J168" s="181"/>
      <c r="K168" s="181"/>
      <c r="L168" s="181"/>
      <c r="M168" s="181"/>
      <c r="N168" s="181"/>
      <c r="O168" s="181"/>
      <c r="P168" s="200"/>
      <c r="Q168" s="181"/>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2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+'Jan 13'!M173</f>
        <v>88013</v>
      </c>
      <c r="N171" s="331">
        <f>+'Jan 13'!N173</f>
        <v>10220</v>
      </c>
      <c r="O171" s="261"/>
      <c r="P171" s="331">
        <f>M171+N171</f>
        <v>98233</v>
      </c>
      <c r="Q171" s="264"/>
      <c r="R171" s="5"/>
    </row>
    <row r="172" spans="1:19" ht="15.6" x14ac:dyDescent="0.3">
      <c r="A172" s="260"/>
      <c r="B172" s="261" t="s">
        <v>69</v>
      </c>
      <c r="C172" s="261"/>
      <c r="D172" s="261"/>
      <c r="E172" s="261"/>
      <c r="F172" s="261"/>
      <c r="G172" s="261"/>
      <c r="H172" s="261"/>
      <c r="I172" s="261"/>
      <c r="J172" s="261"/>
      <c r="K172" s="261"/>
      <c r="L172" s="261"/>
      <c r="M172" s="330">
        <v>103</v>
      </c>
      <c r="N172" s="330">
        <f>-N99-N122</f>
        <v>2</v>
      </c>
      <c r="O172" s="261"/>
      <c r="P172" s="331">
        <f>M172+N172</f>
        <v>105</v>
      </c>
      <c r="Q172" s="264"/>
      <c r="R172" s="5"/>
    </row>
    <row r="173" spans="1:19" ht="15.6" x14ac:dyDescent="0.3">
      <c r="A173" s="260"/>
      <c r="B173" s="261" t="s">
        <v>70</v>
      </c>
      <c r="C173" s="261"/>
      <c r="D173" s="261"/>
      <c r="E173" s="261"/>
      <c r="F173" s="261"/>
      <c r="G173" s="261"/>
      <c r="H173" s="261"/>
      <c r="I173" s="261"/>
      <c r="J173" s="261"/>
      <c r="K173" s="261"/>
      <c r="L173" s="261"/>
      <c r="M173" s="331">
        <f>M171+M172</f>
        <v>88116</v>
      </c>
      <c r="N173" s="331">
        <f>N172+N171</f>
        <v>10222</v>
      </c>
      <c r="O173" s="261"/>
      <c r="P173" s="331">
        <f>M173+N173</f>
        <v>98338</v>
      </c>
      <c r="Q173" s="264"/>
      <c r="R173" s="5"/>
    </row>
    <row r="174" spans="1:19" ht="15.6" x14ac:dyDescent="0.3">
      <c r="A174" s="260"/>
      <c r="B174" s="261" t="s">
        <v>71</v>
      </c>
      <c r="C174" s="261"/>
      <c r="D174" s="261"/>
      <c r="E174" s="261"/>
      <c r="F174" s="261"/>
      <c r="G174" s="261"/>
      <c r="H174" s="261"/>
      <c r="I174" s="261"/>
      <c r="J174" s="261"/>
      <c r="K174" s="261"/>
      <c r="L174" s="261"/>
      <c r="M174" s="331">
        <f>M170-M173-N173</f>
        <v>45662</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190"/>
      <c r="R175" s="5"/>
    </row>
    <row r="176" spans="1:19" ht="15.6" x14ac:dyDescent="0.3">
      <c r="A176" s="180"/>
      <c r="B176" s="181"/>
      <c r="C176" s="181"/>
      <c r="D176" s="181"/>
      <c r="E176" s="181"/>
      <c r="F176" s="181"/>
      <c r="G176" s="181"/>
      <c r="H176" s="181"/>
      <c r="I176" s="181"/>
      <c r="J176" s="181"/>
      <c r="K176" s="181"/>
      <c r="L176" s="181"/>
      <c r="M176" s="181"/>
      <c r="N176" s="181"/>
      <c r="O176" s="181"/>
      <c r="P176" s="200"/>
      <c r="Q176" s="181"/>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185"/>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3.0496183206106871</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1.52</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3.6864988558352403</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190"/>
      <c r="R183" s="5"/>
    </row>
    <row r="184" spans="1:18" ht="15.6" x14ac:dyDescent="0.3">
      <c r="A184" s="183"/>
      <c r="B184" s="185"/>
      <c r="C184" s="185"/>
      <c r="D184" s="185"/>
      <c r="E184" s="185"/>
      <c r="F184" s="185"/>
      <c r="G184" s="185"/>
      <c r="H184" s="185"/>
      <c r="I184" s="185"/>
      <c r="J184" s="185"/>
      <c r="K184" s="185"/>
      <c r="L184" s="185"/>
      <c r="M184" s="185"/>
      <c r="N184" s="185"/>
      <c r="O184" s="185"/>
      <c r="P184" s="185"/>
      <c r="Q184" s="185"/>
      <c r="R184" s="5"/>
    </row>
    <row r="185" spans="1:18" ht="18" thickBot="1" x14ac:dyDescent="0.35">
      <c r="A185" s="199"/>
      <c r="B185" s="239" t="str">
        <f>B133</f>
        <v>PM7 INVESTOR REPORT QUARTER ENDING APRIL 2013</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41394</v>
      </c>
      <c r="O186" s="326"/>
      <c r="P186" s="326"/>
      <c r="Q186" s="326"/>
      <c r="R186" s="5"/>
    </row>
    <row r="187" spans="1:18" ht="15.6" x14ac:dyDescent="0.3">
      <c r="A187" s="217"/>
      <c r="B187" s="218"/>
      <c r="C187" s="219"/>
      <c r="D187" s="219"/>
      <c r="E187" s="220"/>
      <c r="F187" s="220"/>
      <c r="G187" s="220"/>
      <c r="H187" s="220"/>
      <c r="I187" s="220"/>
      <c r="J187" s="220"/>
      <c r="K187" s="220"/>
      <c r="L187" s="220"/>
      <c r="M187" s="220"/>
      <c r="N187" s="220"/>
      <c r="O187" s="185"/>
      <c r="P187" s="185"/>
      <c r="Q187" s="185"/>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2.358E-2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1.3156831837465431E-2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1.0423168162534569E-2</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6.9920712797720561E-3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13.36</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7.1757279362763878E-3</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0.10879999999999999</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190"/>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252"/>
      <c r="R205" s="5"/>
    </row>
    <row r="206" spans="1:18" ht="15.6" x14ac:dyDescent="0.3">
      <c r="A206" s="221"/>
      <c r="B206" s="230" t="s">
        <v>87</v>
      </c>
      <c r="C206" s="235"/>
      <c r="D206" s="230"/>
      <c r="E206" s="230"/>
      <c r="F206" s="234"/>
      <c r="G206" s="234"/>
      <c r="H206" s="234"/>
      <c r="I206" s="234"/>
      <c r="J206" s="234"/>
      <c r="K206" s="234"/>
      <c r="L206" s="234"/>
      <c r="M206" s="234">
        <v>3</v>
      </c>
      <c r="N206" s="305">
        <v>296</v>
      </c>
      <c r="O206" s="230"/>
      <c r="P206" s="306"/>
      <c r="Q206" s="307"/>
      <c r="R206" s="5"/>
    </row>
    <row r="207" spans="1:18" ht="15.6" x14ac:dyDescent="0.3">
      <c r="A207" s="351"/>
      <c r="B207" s="261" t="s">
        <v>203</v>
      </c>
      <c r="C207" s="330"/>
      <c r="D207" s="261"/>
      <c r="E207" s="261"/>
      <c r="F207" s="268"/>
      <c r="G207" s="268"/>
      <c r="H207" s="268"/>
      <c r="I207" s="268"/>
      <c r="J207" s="268"/>
      <c r="K207" s="268"/>
      <c r="L207" s="268"/>
      <c r="M207" s="352">
        <f>+L255</f>
        <v>47</v>
      </c>
      <c r="N207" s="353">
        <f>+N255</f>
        <v>8111</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1</v>
      </c>
      <c r="N208" s="353">
        <f>+N266</f>
        <v>38</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288</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'Jan 13'!N213+'April 13'!N212</f>
        <v>5333</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6</v>
      </c>
      <c r="N219" s="353">
        <v>759</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0.2</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350"/>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393"/>
      <c r="R224" s="5"/>
    </row>
    <row r="225" spans="1:18" ht="15.6" x14ac:dyDescent="0.3">
      <c r="A225" s="198"/>
      <c r="B225" s="235" t="s">
        <v>98</v>
      </c>
      <c r="C225" s="309"/>
      <c r="D225" s="230"/>
      <c r="E225" s="309"/>
      <c r="F225" s="309"/>
      <c r="G225" s="309"/>
      <c r="H225" s="309"/>
      <c r="I225" s="309"/>
      <c r="J225" s="309"/>
      <c r="K225" s="309"/>
      <c r="L225" s="330">
        <f t="shared" ref="L225:L232" si="1">+L236+L247+L258</f>
        <v>3277</v>
      </c>
      <c r="M225" s="382">
        <f t="shared" ref="M225:M232" si="2">L225/$L$233</f>
        <v>0.9843796936016822</v>
      </c>
      <c r="N225" s="331">
        <f t="shared" ref="N225:N232" si="3">+N236+N247+N258</f>
        <v>375023</v>
      </c>
      <c r="O225" s="382">
        <f t="shared" ref="O225:O232" si="4">N225/$N$233</f>
        <v>0.99077185640765519</v>
      </c>
      <c r="P225" s="306"/>
      <c r="Q225" s="233"/>
      <c r="R225" s="5"/>
    </row>
    <row r="226" spans="1:18" ht="15.6" x14ac:dyDescent="0.3">
      <c r="A226" s="260"/>
      <c r="B226" s="330" t="s">
        <v>99</v>
      </c>
      <c r="C226" s="381"/>
      <c r="D226" s="261"/>
      <c r="E226" s="382"/>
      <c r="F226" s="381"/>
      <c r="G226" s="381"/>
      <c r="H226" s="381"/>
      <c r="I226" s="381"/>
      <c r="J226" s="381"/>
      <c r="K226" s="381"/>
      <c r="L226" s="330">
        <f t="shared" si="1"/>
        <v>35</v>
      </c>
      <c r="M226" s="382">
        <f t="shared" si="2"/>
        <v>1.0513667768098528E-2</v>
      </c>
      <c r="N226" s="331">
        <f t="shared" si="3"/>
        <v>2069</v>
      </c>
      <c r="O226" s="382">
        <f t="shared" si="4"/>
        <v>5.4660833359752295E-3</v>
      </c>
      <c r="P226" s="354"/>
      <c r="Q226" s="373"/>
      <c r="R226" s="5"/>
    </row>
    <row r="227" spans="1:18" ht="15.6" x14ac:dyDescent="0.3">
      <c r="A227" s="260"/>
      <c r="B227" s="330" t="s">
        <v>100</v>
      </c>
      <c r="C227" s="381"/>
      <c r="D227" s="261"/>
      <c r="E227" s="382"/>
      <c r="F227" s="381"/>
      <c r="G227" s="381"/>
      <c r="H227" s="381"/>
      <c r="I227" s="381"/>
      <c r="J227" s="381"/>
      <c r="K227" s="381"/>
      <c r="L227" s="330">
        <f t="shared" si="1"/>
        <v>2</v>
      </c>
      <c r="M227" s="382">
        <f t="shared" si="2"/>
        <v>6.007810153199159E-4</v>
      </c>
      <c r="N227" s="331">
        <f t="shared" si="3"/>
        <v>88</v>
      </c>
      <c r="O227" s="382">
        <f t="shared" si="4"/>
        <v>2.3248686977565017E-4</v>
      </c>
      <c r="P227" s="354"/>
      <c r="Q227" s="373"/>
      <c r="R227" s="5"/>
    </row>
    <row r="228" spans="1:18" ht="15.6" x14ac:dyDescent="0.3">
      <c r="A228" s="260"/>
      <c r="B228" s="330" t="s">
        <v>227</v>
      </c>
      <c r="C228" s="381"/>
      <c r="D228" s="261"/>
      <c r="E228" s="382"/>
      <c r="F228" s="381"/>
      <c r="G228" s="381"/>
      <c r="H228" s="381"/>
      <c r="I228" s="381"/>
      <c r="J228" s="381"/>
      <c r="K228" s="381"/>
      <c r="L228" s="330">
        <f t="shared" si="1"/>
        <v>2</v>
      </c>
      <c r="M228" s="382">
        <f t="shared" si="2"/>
        <v>6.007810153199159E-4</v>
      </c>
      <c r="N228" s="331">
        <f t="shared" si="3"/>
        <v>233</v>
      </c>
      <c r="O228" s="382">
        <f t="shared" si="4"/>
        <v>6.1556182565598286E-4</v>
      </c>
      <c r="P228" s="354"/>
      <c r="Q228" s="373"/>
      <c r="R228" s="5"/>
    </row>
    <row r="229" spans="1:18" ht="15.6" x14ac:dyDescent="0.3">
      <c r="A229" s="260"/>
      <c r="B229" s="330" t="s">
        <v>228</v>
      </c>
      <c r="C229" s="381"/>
      <c r="D229" s="261"/>
      <c r="E229" s="382"/>
      <c r="F229" s="381"/>
      <c r="G229" s="381"/>
      <c r="H229" s="381"/>
      <c r="I229" s="381"/>
      <c r="J229" s="381"/>
      <c r="K229" s="381"/>
      <c r="L229" s="330">
        <f t="shared" si="1"/>
        <v>1</v>
      </c>
      <c r="M229" s="382">
        <f t="shared" si="2"/>
        <v>3.0039050765995795E-4</v>
      </c>
      <c r="N229" s="331">
        <f t="shared" si="3"/>
        <v>39</v>
      </c>
      <c r="O229" s="382">
        <f t="shared" si="4"/>
        <v>1.0303395365057224E-4</v>
      </c>
      <c r="P229" s="354"/>
      <c r="Q229" s="373"/>
      <c r="R229" s="5"/>
    </row>
    <row r="230" spans="1:18" ht="15.6" x14ac:dyDescent="0.3">
      <c r="A230" s="260"/>
      <c r="B230" s="330" t="s">
        <v>229</v>
      </c>
      <c r="C230" s="381"/>
      <c r="D230" s="261"/>
      <c r="E230" s="382"/>
      <c r="F230" s="381"/>
      <c r="G230" s="381"/>
      <c r="H230" s="381"/>
      <c r="I230" s="381"/>
      <c r="J230" s="381"/>
      <c r="K230" s="381"/>
      <c r="L230" s="330">
        <f t="shared" si="1"/>
        <v>2</v>
      </c>
      <c r="M230" s="382">
        <f t="shared" si="2"/>
        <v>6.007810153199159E-4</v>
      </c>
      <c r="N230" s="331">
        <f t="shared" si="3"/>
        <v>54</v>
      </c>
      <c r="O230" s="382">
        <f t="shared" si="4"/>
        <v>1.4266239736233078E-4</v>
      </c>
      <c r="P230" s="354"/>
      <c r="Q230" s="373"/>
      <c r="R230" s="5"/>
    </row>
    <row r="231" spans="1:18" ht="15.6" x14ac:dyDescent="0.3">
      <c r="A231" s="260"/>
      <c r="B231" s="330" t="s">
        <v>230</v>
      </c>
      <c r="C231" s="381"/>
      <c r="D231" s="261"/>
      <c r="E231" s="382"/>
      <c r="F231" s="381"/>
      <c r="G231" s="381"/>
      <c r="H231" s="381"/>
      <c r="I231" s="381"/>
      <c r="J231" s="381"/>
      <c r="K231" s="381"/>
      <c r="L231" s="330">
        <f t="shared" si="1"/>
        <v>5</v>
      </c>
      <c r="M231" s="382">
        <f t="shared" si="2"/>
        <v>1.5019525382997897E-3</v>
      </c>
      <c r="N231" s="331">
        <f t="shared" si="3"/>
        <v>196</v>
      </c>
      <c r="O231" s="382">
        <f t="shared" si="4"/>
        <v>5.1781166450031173E-4</v>
      </c>
      <c r="P231" s="354"/>
      <c r="Q231" s="373"/>
      <c r="R231" s="5"/>
    </row>
    <row r="232" spans="1:18" ht="15.6" x14ac:dyDescent="0.3">
      <c r="A232" s="260"/>
      <c r="B232" s="330" t="s">
        <v>231</v>
      </c>
      <c r="C232" s="381"/>
      <c r="D232" s="261"/>
      <c r="E232" s="382"/>
      <c r="F232" s="381"/>
      <c r="G232" s="381"/>
      <c r="H232" s="381"/>
      <c r="I232" s="381"/>
      <c r="J232" s="381"/>
      <c r="K232" s="381"/>
      <c r="L232" s="330">
        <f t="shared" si="1"/>
        <v>5</v>
      </c>
      <c r="M232" s="382">
        <f t="shared" si="2"/>
        <v>1.5019525382997897E-3</v>
      </c>
      <c r="N232" s="331">
        <f t="shared" si="3"/>
        <v>814</v>
      </c>
      <c r="O232" s="382">
        <f t="shared" si="4"/>
        <v>2.1505035454247642E-3</v>
      </c>
      <c r="P232" s="354"/>
      <c r="Q232" s="373"/>
      <c r="R232" s="5"/>
    </row>
    <row r="233" spans="1:18" ht="15.6" x14ac:dyDescent="0.3">
      <c r="A233" s="260"/>
      <c r="B233" s="261" t="s">
        <v>129</v>
      </c>
      <c r="C233" s="261"/>
      <c r="D233" s="261"/>
      <c r="E233" s="261"/>
      <c r="F233" s="383"/>
      <c r="G233" s="383"/>
      <c r="H233" s="383"/>
      <c r="I233" s="383"/>
      <c r="J233" s="383"/>
      <c r="K233" s="383"/>
      <c r="L233" s="330">
        <f>SUM(L225:L232)</f>
        <v>3329</v>
      </c>
      <c r="M233" s="382">
        <f>SUM(M225:M232)</f>
        <v>0.99999999999999989</v>
      </c>
      <c r="N233" s="330">
        <f>SUM(N225:N232)</f>
        <v>378516</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350"/>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393"/>
      <c r="R235" s="5"/>
    </row>
    <row r="236" spans="1:18" ht="15.6" x14ac:dyDescent="0.3">
      <c r="A236" s="198"/>
      <c r="B236" s="235" t="s">
        <v>98</v>
      </c>
      <c r="C236" s="309"/>
      <c r="D236" s="230"/>
      <c r="E236" s="309"/>
      <c r="F236" s="309"/>
      <c r="G236" s="309"/>
      <c r="H236" s="309"/>
      <c r="I236" s="309"/>
      <c r="J236" s="309"/>
      <c r="K236" s="309"/>
      <c r="L236" s="235">
        <v>3235</v>
      </c>
      <c r="M236" s="310">
        <f t="shared" ref="M236:M243" si="5">L236/$L$244</f>
        <v>0.98597988418165194</v>
      </c>
      <c r="N236" s="300">
        <v>367898</v>
      </c>
      <c r="O236" s="310">
        <f t="shared" ref="O236:O243" si="6">N236/$N$244</f>
        <v>0.99333363933611796</v>
      </c>
      <c r="P236" s="306"/>
      <c r="Q236" s="233"/>
      <c r="R236" s="5"/>
    </row>
    <row r="237" spans="1:18" ht="15.6" x14ac:dyDescent="0.3">
      <c r="A237" s="260"/>
      <c r="B237" s="330" t="s">
        <v>99</v>
      </c>
      <c r="C237" s="381"/>
      <c r="D237" s="261"/>
      <c r="E237" s="382"/>
      <c r="F237" s="381"/>
      <c r="G237" s="381"/>
      <c r="H237" s="381"/>
      <c r="I237" s="381"/>
      <c r="J237" s="381"/>
      <c r="K237" s="381"/>
      <c r="L237" s="330">
        <v>35</v>
      </c>
      <c r="M237" s="382">
        <f t="shared" si="5"/>
        <v>1.0667479427003962E-2</v>
      </c>
      <c r="N237" s="331">
        <v>2069</v>
      </c>
      <c r="O237" s="382">
        <f t="shared" si="6"/>
        <v>5.5863508357926056E-3</v>
      </c>
      <c r="P237" s="354"/>
      <c r="Q237" s="373"/>
      <c r="R237" s="5"/>
    </row>
    <row r="238" spans="1:18" ht="15.6" x14ac:dyDescent="0.3">
      <c r="A238" s="260"/>
      <c r="B238" s="330" t="s">
        <v>100</v>
      </c>
      <c r="C238" s="381"/>
      <c r="D238" s="261"/>
      <c r="E238" s="382"/>
      <c r="F238" s="381"/>
      <c r="G238" s="381"/>
      <c r="H238" s="381"/>
      <c r="I238" s="381"/>
      <c r="J238" s="381"/>
      <c r="K238" s="381"/>
      <c r="L238" s="330">
        <v>2</v>
      </c>
      <c r="M238" s="382">
        <f t="shared" si="5"/>
        <v>6.0957025297165494E-4</v>
      </c>
      <c r="N238" s="331">
        <v>88</v>
      </c>
      <c r="O238" s="382">
        <f t="shared" si="6"/>
        <v>2.3760216217967584E-4</v>
      </c>
      <c r="P238" s="354"/>
      <c r="Q238" s="373"/>
      <c r="R238" s="5"/>
    </row>
    <row r="239" spans="1:18" ht="15.6" x14ac:dyDescent="0.3">
      <c r="A239" s="260"/>
      <c r="B239" s="330" t="s">
        <v>227</v>
      </c>
      <c r="C239" s="381"/>
      <c r="D239" s="261"/>
      <c r="E239" s="382"/>
      <c r="F239" s="381"/>
      <c r="G239" s="381"/>
      <c r="H239" s="381"/>
      <c r="I239" s="381"/>
      <c r="J239" s="381"/>
      <c r="K239" s="381"/>
      <c r="L239" s="330">
        <v>1</v>
      </c>
      <c r="M239" s="382">
        <f t="shared" si="5"/>
        <v>3.0478512648582747E-4</v>
      </c>
      <c r="N239" s="331">
        <v>50</v>
      </c>
      <c r="O239" s="382">
        <f t="shared" si="6"/>
        <v>1.3500122851117945E-4</v>
      </c>
      <c r="P239" s="354"/>
      <c r="Q239" s="373"/>
      <c r="R239" s="5"/>
    </row>
    <row r="240" spans="1:18" ht="15.6" x14ac:dyDescent="0.3">
      <c r="A240" s="260"/>
      <c r="B240" s="330" t="s">
        <v>228</v>
      </c>
      <c r="C240" s="381"/>
      <c r="D240" s="261"/>
      <c r="E240" s="382"/>
      <c r="F240" s="381"/>
      <c r="G240" s="381"/>
      <c r="H240" s="381"/>
      <c r="I240" s="381"/>
      <c r="J240" s="381"/>
      <c r="K240" s="381"/>
      <c r="L240" s="330">
        <v>1</v>
      </c>
      <c r="M240" s="382">
        <f t="shared" si="5"/>
        <v>3.0478512648582747E-4</v>
      </c>
      <c r="N240" s="331">
        <v>39</v>
      </c>
      <c r="O240" s="382">
        <f t="shared" si="6"/>
        <v>1.0530095823871998E-4</v>
      </c>
      <c r="P240" s="354"/>
      <c r="Q240" s="373"/>
      <c r="R240" s="5"/>
    </row>
    <row r="241" spans="1:18" ht="15.6" x14ac:dyDescent="0.3">
      <c r="A241" s="260"/>
      <c r="B241" s="330" t="s">
        <v>229</v>
      </c>
      <c r="C241" s="381"/>
      <c r="D241" s="261"/>
      <c r="E241" s="382"/>
      <c r="F241" s="381"/>
      <c r="G241" s="381"/>
      <c r="H241" s="381"/>
      <c r="I241" s="381"/>
      <c r="J241" s="381"/>
      <c r="K241" s="381"/>
      <c r="L241" s="330">
        <v>2</v>
      </c>
      <c r="M241" s="382">
        <f t="shared" si="5"/>
        <v>6.0957025297165494E-4</v>
      </c>
      <c r="N241" s="331">
        <v>54</v>
      </c>
      <c r="O241" s="382">
        <f t="shared" si="6"/>
        <v>1.458013267920738E-4</v>
      </c>
      <c r="P241" s="354"/>
      <c r="Q241" s="373"/>
      <c r="R241" s="5"/>
    </row>
    <row r="242" spans="1:18" ht="15.6" x14ac:dyDescent="0.3">
      <c r="A242" s="260"/>
      <c r="B242" s="330" t="s">
        <v>230</v>
      </c>
      <c r="C242" s="381"/>
      <c r="D242" s="261"/>
      <c r="E242" s="382"/>
      <c r="F242" s="381"/>
      <c r="G242" s="381"/>
      <c r="H242" s="381"/>
      <c r="I242" s="381"/>
      <c r="J242" s="381"/>
      <c r="K242" s="381"/>
      <c r="L242" s="330">
        <v>4</v>
      </c>
      <c r="M242" s="382">
        <f t="shared" si="5"/>
        <v>1.2191405059433099E-3</v>
      </c>
      <c r="N242" s="331">
        <v>158</v>
      </c>
      <c r="O242" s="382">
        <f t="shared" si="6"/>
        <v>4.2660388209532707E-4</v>
      </c>
      <c r="P242" s="354"/>
      <c r="Q242" s="373"/>
      <c r="R242" s="5"/>
    </row>
    <row r="243" spans="1:18" ht="15.6" x14ac:dyDescent="0.3">
      <c r="A243" s="260"/>
      <c r="B243" s="330" t="s">
        <v>231</v>
      </c>
      <c r="C243" s="381"/>
      <c r="D243" s="261"/>
      <c r="E243" s="382"/>
      <c r="F243" s="381"/>
      <c r="G243" s="381"/>
      <c r="H243" s="381"/>
      <c r="I243" s="381"/>
      <c r="J243" s="381"/>
      <c r="K243" s="381"/>
      <c r="L243" s="330">
        <v>1</v>
      </c>
      <c r="M243" s="382">
        <f t="shared" si="5"/>
        <v>3.0478512648582747E-4</v>
      </c>
      <c r="N243" s="331">
        <v>11</v>
      </c>
      <c r="O243" s="382">
        <f t="shared" si="6"/>
        <v>2.970027027245948E-5</v>
      </c>
      <c r="P243" s="354"/>
      <c r="Q243" s="373"/>
      <c r="R243" s="5"/>
    </row>
    <row r="244" spans="1:18" ht="15.6" x14ac:dyDescent="0.3">
      <c r="A244" s="260"/>
      <c r="B244" s="261" t="s">
        <v>129</v>
      </c>
      <c r="C244" s="261"/>
      <c r="D244" s="261"/>
      <c r="E244" s="261"/>
      <c r="F244" s="383"/>
      <c r="G244" s="383"/>
      <c r="H244" s="383"/>
      <c r="I244" s="383"/>
      <c r="J244" s="383"/>
      <c r="K244" s="383"/>
      <c r="L244" s="330">
        <f>SUM(L236:L243)</f>
        <v>3281</v>
      </c>
      <c r="M244" s="382">
        <f>SUM(M236:M243)</f>
        <v>1</v>
      </c>
      <c r="N244" s="331">
        <f>SUM(N236:N243)</f>
        <v>370367</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257"/>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42</v>
      </c>
      <c r="M247" s="310">
        <f t="shared" ref="M247:M254" si="7">L247/$L$255</f>
        <v>0.8936170212765957</v>
      </c>
      <c r="N247" s="300">
        <v>7125</v>
      </c>
      <c r="O247" s="310">
        <f t="shared" ref="O247:O254" si="8">N247/$N$255</f>
        <v>0.87843669091357413</v>
      </c>
      <c r="P247" s="306"/>
      <c r="Q247" s="230"/>
      <c r="R247" s="5"/>
    </row>
    <row r="248" spans="1:18" ht="15.6" x14ac:dyDescent="0.3">
      <c r="A248" s="260"/>
      <c r="B248" s="330" t="s">
        <v>99</v>
      </c>
      <c r="C248" s="381"/>
      <c r="D248" s="261"/>
      <c r="E248" s="382"/>
      <c r="F248" s="381"/>
      <c r="G248" s="381"/>
      <c r="H248" s="381"/>
      <c r="I248" s="381"/>
      <c r="J248" s="381"/>
      <c r="K248" s="381"/>
      <c r="L248" s="330">
        <v>0</v>
      </c>
      <c r="M248" s="382">
        <f t="shared" si="7"/>
        <v>0</v>
      </c>
      <c r="N248" s="331">
        <v>0</v>
      </c>
      <c r="O248" s="382">
        <f t="shared" si="8"/>
        <v>0</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1</v>
      </c>
      <c r="M250" s="382">
        <f t="shared" si="7"/>
        <v>2.1276595744680851E-2</v>
      </c>
      <c r="N250" s="331">
        <v>183</v>
      </c>
      <c r="O250" s="382">
        <f t="shared" si="8"/>
        <v>2.2561952903464431E-2</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0</v>
      </c>
      <c r="M253" s="382">
        <f t="shared" si="7"/>
        <v>0</v>
      </c>
      <c r="N253" s="331">
        <v>0</v>
      </c>
      <c r="O253" s="382">
        <f t="shared" si="8"/>
        <v>0</v>
      </c>
      <c r="P253" s="354"/>
      <c r="Q253" s="264"/>
      <c r="R253" s="5"/>
    </row>
    <row r="254" spans="1:18" ht="15.6" x14ac:dyDescent="0.3">
      <c r="A254" s="260"/>
      <c r="B254" s="330" t="s">
        <v>231</v>
      </c>
      <c r="C254" s="381"/>
      <c r="D254" s="261"/>
      <c r="E254" s="382"/>
      <c r="F254" s="381"/>
      <c r="G254" s="381"/>
      <c r="H254" s="381"/>
      <c r="I254" s="381"/>
      <c r="J254" s="381"/>
      <c r="K254" s="381"/>
      <c r="L254" s="330">
        <v>4</v>
      </c>
      <c r="M254" s="382">
        <f t="shared" si="7"/>
        <v>8.5106382978723402E-2</v>
      </c>
      <c r="N254" s="331">
        <v>803</v>
      </c>
      <c r="O254" s="382">
        <f t="shared" si="8"/>
        <v>9.9001356182961409E-2</v>
      </c>
      <c r="P254" s="354"/>
      <c r="Q254" s="264"/>
      <c r="R254" s="5"/>
    </row>
    <row r="255" spans="1:18" ht="15.6" x14ac:dyDescent="0.3">
      <c r="A255" s="260"/>
      <c r="B255" s="261" t="s">
        <v>129</v>
      </c>
      <c r="C255" s="261"/>
      <c r="D255" s="261"/>
      <c r="E255" s="261"/>
      <c r="F255" s="383"/>
      <c r="G255" s="383"/>
      <c r="H255" s="383"/>
      <c r="I255" s="383"/>
      <c r="J255" s="383"/>
      <c r="K255" s="383"/>
      <c r="L255" s="330">
        <f>SUM(L247:L254)</f>
        <v>47</v>
      </c>
      <c r="M255" s="382">
        <f>SUM(M247:M254)</f>
        <v>1</v>
      </c>
      <c r="N255" s="331">
        <f>SUM(N247:N254)</f>
        <v>8111</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257"/>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230"/>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1</v>
      </c>
      <c r="M264" s="382">
        <f>L264/L266</f>
        <v>1</v>
      </c>
      <c r="N264" s="331">
        <v>38</v>
      </c>
      <c r="O264" s="382">
        <f>N264/N266</f>
        <v>1</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1</v>
      </c>
      <c r="M266" s="382">
        <f>SUM(M258:M265)</f>
        <v>1</v>
      </c>
      <c r="N266" s="331">
        <f>SUM(N258:N265)</f>
        <v>38</v>
      </c>
      <c r="O266" s="382">
        <f>SUM(O258:O265)</f>
        <v>1</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3329</v>
      </c>
      <c r="M268" s="382"/>
      <c r="N268" s="386">
        <f>+N266+N255+N244</f>
        <v>378516</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257"/>
      <c r="R269" s="5"/>
    </row>
    <row r="270" spans="1:18" ht="15.6" x14ac:dyDescent="0.3">
      <c r="A270" s="183"/>
      <c r="B270" s="236"/>
      <c r="C270" s="236"/>
      <c r="D270" s="236"/>
      <c r="E270" s="236"/>
      <c r="F270" s="311"/>
      <c r="G270" s="311"/>
      <c r="H270" s="311"/>
      <c r="I270" s="311"/>
      <c r="J270" s="311"/>
      <c r="K270" s="311"/>
      <c r="L270" s="311"/>
      <c r="M270" s="311"/>
      <c r="N270" s="312"/>
      <c r="O270" s="311"/>
      <c r="P270" s="236"/>
      <c r="Q270" s="236"/>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249"/>
      <c r="R271" s="5"/>
    </row>
    <row r="272" spans="1:18" ht="15.6" x14ac:dyDescent="0.3">
      <c r="A272" s="225"/>
      <c r="B272" s="249"/>
      <c r="C272" s="236"/>
      <c r="D272" s="236"/>
      <c r="E272" s="236"/>
      <c r="F272" s="236"/>
      <c r="G272" s="236"/>
      <c r="H272" s="236"/>
      <c r="I272" s="249"/>
      <c r="J272" s="249"/>
      <c r="K272" s="249"/>
      <c r="L272" s="249"/>
      <c r="M272" s="249"/>
      <c r="N272" s="249"/>
      <c r="O272" s="249"/>
      <c r="P272" s="249"/>
      <c r="Q272" s="249"/>
      <c r="R272" s="5"/>
    </row>
    <row r="273" spans="1:18" ht="15.6" x14ac:dyDescent="0.3">
      <c r="A273" s="225"/>
      <c r="B273" s="228" t="s">
        <v>103</v>
      </c>
      <c r="C273" s="228"/>
      <c r="D273" s="228"/>
      <c r="E273" s="228"/>
      <c r="F273" s="313" t="s">
        <v>212</v>
      </c>
      <c r="G273" s="228"/>
      <c r="H273" s="228" t="s">
        <v>222</v>
      </c>
      <c r="I273" s="249"/>
      <c r="J273" s="249"/>
      <c r="K273" s="249"/>
      <c r="L273" s="249"/>
      <c r="M273" s="249"/>
      <c r="N273" s="249"/>
      <c r="O273" s="249"/>
      <c r="P273" s="249"/>
      <c r="Q273" s="249"/>
      <c r="R273" s="5"/>
    </row>
    <row r="274" spans="1:18" ht="15.6" x14ac:dyDescent="0.3">
      <c r="A274" s="225"/>
      <c r="B274" s="228" t="s">
        <v>263</v>
      </c>
      <c r="C274" s="228"/>
      <c r="D274" s="228"/>
      <c r="E274" s="228"/>
      <c r="F274" s="313" t="s">
        <v>264</v>
      </c>
      <c r="G274" s="228"/>
      <c r="H274" s="228" t="s">
        <v>265</v>
      </c>
      <c r="I274" s="249"/>
      <c r="J274" s="249"/>
      <c r="K274" s="249"/>
      <c r="L274" s="249"/>
      <c r="M274" s="249"/>
      <c r="N274" s="249"/>
      <c r="O274" s="249"/>
      <c r="P274" s="249"/>
      <c r="Q274" s="249"/>
      <c r="R274" s="5"/>
    </row>
    <row r="275" spans="1:18" ht="15.6" x14ac:dyDescent="0.3">
      <c r="A275" s="225"/>
      <c r="B275" s="228" t="s">
        <v>104</v>
      </c>
      <c r="C275" s="228"/>
      <c r="D275" s="228"/>
      <c r="E275" s="228"/>
      <c r="F275" s="313" t="s">
        <v>211</v>
      </c>
      <c r="G275" s="228"/>
      <c r="H275" s="228" t="s">
        <v>223</v>
      </c>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5.6" x14ac:dyDescent="0.3">
      <c r="A277" s="225"/>
      <c r="B277" s="228"/>
      <c r="C277" s="228"/>
      <c r="D277" s="228"/>
      <c r="E277" s="314"/>
      <c r="F277" s="249"/>
      <c r="G277" s="249"/>
      <c r="H277" s="249"/>
      <c r="I277" s="249"/>
      <c r="J277" s="249"/>
      <c r="K277" s="249"/>
      <c r="L277" s="249"/>
      <c r="M277" s="249"/>
      <c r="N277" s="249"/>
      <c r="O277" s="249"/>
      <c r="P277" s="249"/>
      <c r="Q277" s="249"/>
      <c r="R277" s="5"/>
    </row>
    <row r="278" spans="1:18" ht="18" thickBot="1" x14ac:dyDescent="0.35">
      <c r="A278" s="225"/>
      <c r="B278" s="315" t="str">
        <f>B185</f>
        <v>PM7 INVESTOR REPORT QUARTER ENDING APRIL 2013</v>
      </c>
      <c r="C278" s="228"/>
      <c r="D278" s="228"/>
      <c r="E278" s="314"/>
      <c r="F278" s="249"/>
      <c r="G278" s="249"/>
      <c r="H278" s="249"/>
      <c r="I278" s="249"/>
      <c r="J278" s="249"/>
      <c r="K278" s="249"/>
      <c r="L278" s="249"/>
      <c r="M278" s="249"/>
      <c r="N278" s="249"/>
      <c r="O278" s="249"/>
      <c r="P278" s="249"/>
      <c r="Q278" s="24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7" man="1"/>
    <brk id="133" max="14" man="1"/>
    <brk id="185" max="14" man="1"/>
    <brk id="278" max="17"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0.95930000000000004</v>
      </c>
      <c r="N17" s="246" t="s">
        <v>173</v>
      </c>
      <c r="O17" s="245">
        <v>4.07E-2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41508</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301</v>
      </c>
      <c r="E28" s="392"/>
      <c r="F28" s="392" t="s">
        <v>301</v>
      </c>
      <c r="G28" s="392"/>
      <c r="H28" s="392" t="s">
        <v>301</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168060.64500000002</v>
      </c>
      <c r="E34" s="271"/>
      <c r="F34" s="272">
        <f>+F33*F40</f>
        <v>82139.243999999992</v>
      </c>
      <c r="G34" s="271"/>
      <c r="H34" s="273">
        <f>+H33*H40</f>
        <v>186745.84999999998</v>
      </c>
      <c r="I34" s="271"/>
      <c r="J34" s="270">
        <f>J33*J40</f>
        <v>69341.282999999996</v>
      </c>
      <c r="K34" s="271"/>
      <c r="L34" s="273">
        <f>L33*L40</f>
        <v>54632.487000000001</v>
      </c>
      <c r="M34" s="271"/>
      <c r="N34" s="271"/>
      <c r="O34" s="274"/>
      <c r="P34" s="271"/>
      <c r="Q34" s="275"/>
      <c r="R34" s="5"/>
    </row>
    <row r="35" spans="1:19" ht="15.6" x14ac:dyDescent="0.3">
      <c r="A35" s="265"/>
      <c r="B35" s="266" t="s">
        <v>158</v>
      </c>
      <c r="C35" s="276"/>
      <c r="D35" s="277">
        <f>+D33*D39</f>
        <v>166859.95500000002</v>
      </c>
      <c r="E35" s="278"/>
      <c r="F35" s="279">
        <f>+F33*F39</f>
        <v>81552.415999999997</v>
      </c>
      <c r="G35" s="278"/>
      <c r="H35" s="280">
        <f>+H33*H39</f>
        <v>185411.7</v>
      </c>
      <c r="I35" s="278"/>
      <c r="J35" s="277">
        <f>J33*J39</f>
        <v>68845.878749999989</v>
      </c>
      <c r="K35" s="278"/>
      <c r="L35" s="280">
        <f>L33*L39</f>
        <v>54242.1685</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94469.165261382819</v>
      </c>
      <c r="E37" s="271"/>
      <c r="F37" s="271">
        <f>+F34</f>
        <v>82139.243999999992</v>
      </c>
      <c r="G37" s="271"/>
      <c r="H37" s="271">
        <f>+H34/1.481481</f>
        <v>126053.48971738415</v>
      </c>
      <c r="I37" s="271"/>
      <c r="J37" s="271">
        <f>J36*J40</f>
        <v>38977.365549599999</v>
      </c>
      <c r="K37" s="271"/>
      <c r="L37" s="271">
        <f>L36*L40</f>
        <v>36876.928724999998</v>
      </c>
      <c r="M37" s="271"/>
      <c r="N37" s="271"/>
      <c r="O37" s="274"/>
      <c r="P37" s="271">
        <f>SUM(C37:L37)</f>
        <v>378516.19325336698</v>
      </c>
      <c r="Q37" s="275"/>
      <c r="R37" s="5"/>
      <c r="S37" s="154"/>
    </row>
    <row r="38" spans="1:19" ht="15.6" x14ac:dyDescent="0.3">
      <c r="A38" s="265"/>
      <c r="B38" s="266" t="s">
        <v>281</v>
      </c>
      <c r="C38" s="276"/>
      <c r="D38" s="278">
        <f>D35/1.779</f>
        <v>93794.241146711647</v>
      </c>
      <c r="E38" s="278"/>
      <c r="F38" s="278">
        <f>+F35</f>
        <v>81552.415999999997</v>
      </c>
      <c r="G38" s="278"/>
      <c r="H38" s="278">
        <f>H35/1.481481</f>
        <v>125152.9381747049</v>
      </c>
      <c r="I38" s="278"/>
      <c r="J38" s="278">
        <f>J36*J39</f>
        <v>38698.894316999998</v>
      </c>
      <c r="K38" s="278"/>
      <c r="L38" s="278">
        <f>L36*L39</f>
        <v>36613.463737500002</v>
      </c>
      <c r="M38" s="278"/>
      <c r="N38" s="278"/>
      <c r="O38" s="281"/>
      <c r="P38" s="278">
        <f>SUM(D38:L38)</f>
        <v>375811.95337591658</v>
      </c>
      <c r="Q38" s="275"/>
      <c r="R38" s="5"/>
      <c r="S38" s="176"/>
    </row>
    <row r="39" spans="1:19" ht="15.6" x14ac:dyDescent="0.3">
      <c r="A39" s="265"/>
      <c r="B39" s="282" t="s">
        <v>154</v>
      </c>
      <c r="C39" s="283"/>
      <c r="D39" s="284">
        <v>0.37079990000000002</v>
      </c>
      <c r="E39" s="284"/>
      <c r="F39" s="284">
        <v>0.37069279999999999</v>
      </c>
      <c r="G39" s="284"/>
      <c r="H39" s="284">
        <v>0.37082340000000003</v>
      </c>
      <c r="I39" s="284"/>
      <c r="J39" s="284">
        <v>0.83449549999999995</v>
      </c>
      <c r="K39" s="284"/>
      <c r="L39" s="284">
        <v>0.83449490000000004</v>
      </c>
      <c r="M39" s="285"/>
      <c r="N39" s="285"/>
      <c r="O39" s="286"/>
      <c r="P39" s="285"/>
      <c r="Q39" s="287"/>
      <c r="R39" s="5"/>
    </row>
    <row r="40" spans="1:19" ht="15.6" x14ac:dyDescent="0.3">
      <c r="A40" s="265"/>
      <c r="B40" s="282" t="s">
        <v>155</v>
      </c>
      <c r="C40" s="283"/>
      <c r="D40" s="284">
        <v>0.37346810000000003</v>
      </c>
      <c r="E40" s="284"/>
      <c r="F40" s="284">
        <v>0.37336019999999998</v>
      </c>
      <c r="G40" s="284"/>
      <c r="H40" s="284">
        <v>0.37349169999999998</v>
      </c>
      <c r="I40" s="284"/>
      <c r="J40" s="284">
        <v>0.84050040000000004</v>
      </c>
      <c r="K40" s="284"/>
      <c r="L40" s="284">
        <v>0.84049980000000002</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6.9509999999999997E-3</v>
      </c>
      <c r="E42" s="290"/>
      <c r="F42" s="289">
        <v>9.2563000000000003E-3</v>
      </c>
      <c r="G42" s="290"/>
      <c r="H42" s="289">
        <v>6.2300000000000003E-3</v>
      </c>
      <c r="I42" s="290"/>
      <c r="J42" s="289">
        <v>1.7750999999999999E-2</v>
      </c>
      <c r="K42" s="290"/>
      <c r="L42" s="289">
        <v>1.703E-2</v>
      </c>
      <c r="M42" s="290"/>
      <c r="N42" s="289"/>
      <c r="O42" s="263"/>
      <c r="P42" s="290"/>
      <c r="Q42" s="264"/>
      <c r="R42" s="5"/>
    </row>
    <row r="43" spans="1:19" ht="15.6" x14ac:dyDescent="0.3">
      <c r="A43" s="260"/>
      <c r="B43" s="261" t="s">
        <v>14</v>
      </c>
      <c r="C43" s="261"/>
      <c r="D43" s="289">
        <v>7.1009999999999997E-3</v>
      </c>
      <c r="E43" s="290"/>
      <c r="F43" s="289">
        <v>9.2999999999999992E-3</v>
      </c>
      <c r="G43" s="290"/>
      <c r="H43" s="289">
        <v>6.4599999999999996E-3</v>
      </c>
      <c r="I43" s="290"/>
      <c r="J43" s="289">
        <v>1.7901E-2</v>
      </c>
      <c r="K43" s="290"/>
      <c r="L43" s="289">
        <v>1.7260000000000001E-2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1.11463E-2</v>
      </c>
      <c r="E45" s="290"/>
      <c r="F45" s="289">
        <f>+F42</f>
        <v>9.2563000000000003E-3</v>
      </c>
      <c r="G45" s="290"/>
      <c r="H45" s="289">
        <v>1.0906300000000001E-2</v>
      </c>
      <c r="I45" s="290"/>
      <c r="J45" s="289">
        <v>2.3406300000000001E-2</v>
      </c>
      <c r="K45" s="290"/>
      <c r="L45" s="289">
        <v>2.3406300000000001E-2</v>
      </c>
      <c r="M45" s="290"/>
      <c r="N45" s="289"/>
      <c r="O45" s="263"/>
      <c r="P45" s="290">
        <f>SUMPRODUCT(D45:L45,D37:L37)/P37</f>
        <v>1.311313167691083E-2</v>
      </c>
      <c r="Q45" s="264"/>
      <c r="R45" s="5"/>
    </row>
    <row r="46" spans="1:19" ht="15.6" x14ac:dyDescent="0.3">
      <c r="A46" s="260"/>
      <c r="B46" s="261" t="s">
        <v>283</v>
      </c>
      <c r="C46" s="261"/>
      <c r="D46" s="289">
        <v>1.119E-2</v>
      </c>
      <c r="E46" s="290"/>
      <c r="F46" s="289">
        <f>+F43</f>
        <v>9.2999999999999992E-3</v>
      </c>
      <c r="G46" s="290"/>
      <c r="H46" s="289">
        <v>1.095E-2</v>
      </c>
      <c r="I46" s="290"/>
      <c r="J46" s="289">
        <v>2.3449999999999999E-2</v>
      </c>
      <c r="K46" s="290"/>
      <c r="L46" s="289">
        <v>2.3449999999999999E-2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0.25062382521329307</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41501</v>
      </c>
      <c r="Q57" s="264"/>
      <c r="R57" s="5"/>
    </row>
    <row r="58" spans="1:18" ht="15.6" x14ac:dyDescent="0.3">
      <c r="A58" s="260"/>
      <c r="B58" s="261" t="s">
        <v>142</v>
      </c>
      <c r="C58" s="261"/>
      <c r="D58" s="261"/>
      <c r="E58" s="261"/>
      <c r="F58" s="297"/>
      <c r="G58" s="297"/>
      <c r="H58" s="297"/>
      <c r="I58" s="297"/>
      <c r="J58" s="297"/>
      <c r="K58" s="297"/>
      <c r="L58" s="261">
        <f>+P58-N58+1</f>
        <v>89</v>
      </c>
      <c r="M58" s="297"/>
      <c r="N58" s="298">
        <v>41320</v>
      </c>
      <c r="O58" s="299"/>
      <c r="P58" s="298">
        <v>41408</v>
      </c>
      <c r="Q58" s="264"/>
      <c r="R58" s="5"/>
    </row>
    <row r="59" spans="1:18" ht="15.6" x14ac:dyDescent="0.3">
      <c r="A59" s="260"/>
      <c r="B59" s="261" t="s">
        <v>143</v>
      </c>
      <c r="C59" s="261"/>
      <c r="D59" s="261"/>
      <c r="E59" s="261"/>
      <c r="F59" s="261"/>
      <c r="G59" s="261"/>
      <c r="H59" s="261"/>
      <c r="I59" s="261"/>
      <c r="J59" s="261"/>
      <c r="K59" s="261"/>
      <c r="L59" s="261">
        <f>+P59-N59+1</f>
        <v>92</v>
      </c>
      <c r="M59" s="261"/>
      <c r="N59" s="298">
        <v>41409</v>
      </c>
      <c r="O59" s="299"/>
      <c r="P59" s="298">
        <v>41500</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41487</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308</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378516</v>
      </c>
      <c r="I69" s="330"/>
      <c r="J69" s="330">
        <f>2704+191+25</f>
        <v>2920</v>
      </c>
      <c r="K69" s="330"/>
      <c r="L69" s="330">
        <f>191+25</f>
        <v>216</v>
      </c>
      <c r="M69" s="330"/>
      <c r="N69" s="330">
        <v>0</v>
      </c>
      <c r="O69" s="330"/>
      <c r="P69" s="331">
        <f>+H69-J69+L69-N69</f>
        <v>375812</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378516</v>
      </c>
      <c r="I72" s="330"/>
      <c r="J72" s="330">
        <f>SUM(J69:J71)</f>
        <v>2920</v>
      </c>
      <c r="K72" s="330"/>
      <c r="L72" s="330">
        <f>SUM(L69:L71)</f>
        <v>216</v>
      </c>
      <c r="M72" s="330"/>
      <c r="N72" s="330">
        <f>SUM(N69:N71)</f>
        <v>0</v>
      </c>
      <c r="O72" s="330"/>
      <c r="P72" s="330">
        <f>SUM(P69:P71)</f>
        <v>375812</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378516</v>
      </c>
      <c r="I86" s="330"/>
      <c r="J86" s="330">
        <f>SUM(J72:J85)</f>
        <v>2920</v>
      </c>
      <c r="K86" s="330"/>
      <c r="L86" s="330">
        <f>SUM(L72:L85)</f>
        <v>216</v>
      </c>
      <c r="M86" s="330"/>
      <c r="N86" s="330"/>
      <c r="O86" s="330"/>
      <c r="P86" s="330">
        <f>SUM(P72:P85)</f>
        <v>375812</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41486</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2920-158</f>
        <v>2762</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2763+115-566-29</f>
        <v>2283</v>
      </c>
      <c r="Q92" s="264"/>
      <c r="R92" s="5"/>
    </row>
    <row r="93" spans="1:18" ht="15.6" x14ac:dyDescent="0.3">
      <c r="A93" s="260"/>
      <c r="B93" s="261" t="s">
        <v>249</v>
      </c>
      <c r="C93" s="261"/>
      <c r="D93" s="261"/>
      <c r="E93" s="261"/>
      <c r="F93" s="292"/>
      <c r="G93" s="332"/>
      <c r="H93" s="333"/>
      <c r="I93" s="261"/>
      <c r="J93" s="261"/>
      <c r="K93" s="261"/>
      <c r="L93" s="261"/>
      <c r="M93" s="261"/>
      <c r="N93" s="330"/>
      <c r="O93" s="261"/>
      <c r="P93" s="331">
        <f>265+1</f>
        <v>266</v>
      </c>
      <c r="Q93" s="264"/>
      <c r="R93" s="5"/>
    </row>
    <row r="94" spans="1:18" ht="15.6" x14ac:dyDescent="0.3">
      <c r="A94" s="260"/>
      <c r="B94" s="261" t="s">
        <v>250</v>
      </c>
      <c r="C94" s="261"/>
      <c r="D94" s="261"/>
      <c r="E94" s="261"/>
      <c r="F94" s="292"/>
      <c r="G94" s="332"/>
      <c r="H94" s="333"/>
      <c r="I94" s="261"/>
      <c r="J94" s="261"/>
      <c r="K94" s="261"/>
      <c r="L94" s="261"/>
      <c r="M94" s="261"/>
      <c r="N94" s="330"/>
      <c r="O94" s="261"/>
      <c r="P94" s="331">
        <v>20</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142</v>
      </c>
      <c r="Q97" s="264"/>
      <c r="R97" s="5"/>
    </row>
    <row r="98" spans="1:19" ht="15.6" x14ac:dyDescent="0.3">
      <c r="A98" s="260"/>
      <c r="B98" s="261" t="s">
        <v>35</v>
      </c>
      <c r="C98" s="261"/>
      <c r="D98" s="261"/>
      <c r="E98" s="261"/>
      <c r="F98" s="261"/>
      <c r="G98" s="261"/>
      <c r="H98" s="261"/>
      <c r="I98" s="261"/>
      <c r="J98" s="261"/>
      <c r="K98" s="261"/>
      <c r="L98" s="261"/>
      <c r="M98" s="261"/>
      <c r="N98" s="330">
        <f>SUM(N90:N97)</f>
        <v>2762</v>
      </c>
      <c r="O98" s="261"/>
      <c r="P98" s="330">
        <f>SUM(P90:P97)</f>
        <v>2711</v>
      </c>
      <c r="Q98" s="264"/>
      <c r="R98" s="5"/>
    </row>
    <row r="99" spans="1:19" ht="15.6" x14ac:dyDescent="0.3">
      <c r="A99" s="260"/>
      <c r="B99" s="261" t="s">
        <v>237</v>
      </c>
      <c r="C99" s="261"/>
      <c r="D99" s="261"/>
      <c r="E99" s="261"/>
      <c r="F99" s="261"/>
      <c r="G99" s="261"/>
      <c r="H99" s="261"/>
      <c r="I99" s="261"/>
      <c r="J99" s="261"/>
      <c r="K99" s="261"/>
      <c r="L99" s="261"/>
      <c r="M99" s="261"/>
      <c r="N99" s="330">
        <v>-1</v>
      </c>
      <c r="O99" s="261"/>
      <c r="P99" s="330">
        <f>-N99</f>
        <v>1</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-69</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2761</v>
      </c>
      <c r="O102" s="261"/>
      <c r="P102" s="330">
        <f>P98+P100+P99+P101</f>
        <v>2643</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-96-93-5</f>
        <v>-194</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-265</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-192</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-347</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-230</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-217</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158</v>
      </c>
      <c r="O115" s="261"/>
      <c r="P115" s="331">
        <v>-158</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-195</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-835</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-215</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-675</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-587</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-901</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-278</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-263</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-2919</v>
      </c>
      <c r="O129" s="330"/>
      <c r="P129" s="330">
        <f>SUM(P103:P128)</f>
        <v>-2643</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5.6" x14ac:dyDescent="0.3">
      <c r="A132" s="301"/>
      <c r="B132" s="257"/>
      <c r="C132" s="257"/>
      <c r="D132" s="257"/>
      <c r="E132" s="257"/>
      <c r="F132" s="257"/>
      <c r="G132" s="257"/>
      <c r="H132" s="257"/>
      <c r="I132" s="257"/>
      <c r="J132" s="257"/>
      <c r="K132" s="257"/>
      <c r="L132" s="257"/>
      <c r="M132" s="257"/>
      <c r="N132" s="302"/>
      <c r="O132" s="302"/>
      <c r="P132" s="302"/>
      <c r="Q132" s="257"/>
      <c r="R132" s="5"/>
    </row>
    <row r="133" spans="1:19" ht="18" thickBot="1" x14ac:dyDescent="0.35">
      <c r="A133" s="303"/>
      <c r="B133" s="239" t="str">
        <f>B65</f>
        <v>PM7 INVESTOR REPORT QUARTER ENDING JULY 2013</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326"/>
      <c r="R134" s="5"/>
    </row>
    <row r="135" spans="1:19" ht="15.6" x14ac:dyDescent="0.3">
      <c r="A135" s="183"/>
      <c r="B135" s="196"/>
      <c r="C135" s="185"/>
      <c r="D135" s="185"/>
      <c r="E135" s="185"/>
      <c r="F135" s="185"/>
      <c r="G135" s="185"/>
      <c r="H135" s="185"/>
      <c r="I135" s="185"/>
      <c r="J135" s="185"/>
      <c r="K135" s="185"/>
      <c r="L135" s="185"/>
      <c r="M135" s="185"/>
      <c r="N135" s="185"/>
      <c r="O135" s="185"/>
      <c r="P135" s="201"/>
      <c r="Q135" s="185"/>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185"/>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190"/>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185"/>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190"/>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185"/>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158</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158</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-158</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f>-P101</f>
        <v>69</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190"/>
      <c r="R160" s="5"/>
    </row>
    <row r="161" spans="1:19" ht="15.6" x14ac:dyDescent="0.3">
      <c r="A161" s="180"/>
      <c r="B161" s="181"/>
      <c r="C161" s="181"/>
      <c r="D161" s="181"/>
      <c r="E161" s="181"/>
      <c r="F161" s="181"/>
      <c r="G161" s="181"/>
      <c r="H161" s="181"/>
      <c r="I161" s="181"/>
      <c r="J161" s="181"/>
      <c r="K161" s="181"/>
      <c r="L161" s="181"/>
      <c r="M161" s="181"/>
      <c r="N161" s="181"/>
      <c r="O161" s="181"/>
      <c r="P161" s="200"/>
      <c r="Q161" s="181"/>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185"/>
      <c r="R162" s="5"/>
    </row>
    <row r="163" spans="1:19" ht="15.6" x14ac:dyDescent="0.3">
      <c r="A163" s="183"/>
      <c r="B163" s="196"/>
      <c r="C163" s="185"/>
      <c r="D163" s="185"/>
      <c r="E163" s="185"/>
      <c r="F163" s="185"/>
      <c r="G163" s="185"/>
      <c r="H163" s="185"/>
      <c r="I163" s="185"/>
      <c r="J163" s="185"/>
      <c r="K163" s="185"/>
      <c r="L163" s="185"/>
      <c r="M163" s="185"/>
      <c r="N163" s="185"/>
      <c r="O163" s="185"/>
      <c r="P163" s="201"/>
      <c r="Q163" s="185"/>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375812</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375811.95337591658</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190"/>
      <c r="R167" s="5"/>
    </row>
    <row r="168" spans="1:19" ht="15.6" x14ac:dyDescent="0.3">
      <c r="A168" s="180"/>
      <c r="B168" s="181"/>
      <c r="C168" s="181"/>
      <c r="D168" s="181"/>
      <c r="E168" s="181"/>
      <c r="F168" s="181"/>
      <c r="G168" s="181"/>
      <c r="H168" s="181"/>
      <c r="I168" s="181"/>
      <c r="J168" s="181"/>
      <c r="K168" s="181"/>
      <c r="L168" s="181"/>
      <c r="M168" s="181"/>
      <c r="N168" s="181"/>
      <c r="O168" s="181"/>
      <c r="P168" s="200"/>
      <c r="Q168" s="181"/>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2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+'April 13'!M173</f>
        <v>88116</v>
      </c>
      <c r="N171" s="331">
        <f>+'April 13'!N173</f>
        <v>10222</v>
      </c>
      <c r="O171" s="261"/>
      <c r="P171" s="331">
        <f>M171+N171</f>
        <v>98338</v>
      </c>
      <c r="Q171" s="264"/>
      <c r="R171" s="5"/>
    </row>
    <row r="172" spans="1:19" ht="15.6" x14ac:dyDescent="0.3">
      <c r="A172" s="260"/>
      <c r="B172" s="261" t="s">
        <v>69</v>
      </c>
      <c r="C172" s="261"/>
      <c r="D172" s="261"/>
      <c r="E172" s="261"/>
      <c r="F172" s="261"/>
      <c r="G172" s="261"/>
      <c r="H172" s="261"/>
      <c r="I172" s="261"/>
      <c r="J172" s="261"/>
      <c r="K172" s="261"/>
      <c r="L172" s="261"/>
      <c r="M172" s="330">
        <f>24+191</f>
        <v>215</v>
      </c>
      <c r="N172" s="330">
        <f>-N99-N122</f>
        <v>1</v>
      </c>
      <c r="O172" s="261"/>
      <c r="P172" s="331">
        <f>M172+N172</f>
        <v>216</v>
      </c>
      <c r="Q172" s="264"/>
      <c r="R172" s="5"/>
    </row>
    <row r="173" spans="1:19" ht="15.6" x14ac:dyDescent="0.3">
      <c r="A173" s="260"/>
      <c r="B173" s="261" t="s">
        <v>70</v>
      </c>
      <c r="C173" s="261"/>
      <c r="D173" s="261"/>
      <c r="E173" s="261"/>
      <c r="F173" s="261"/>
      <c r="G173" s="261"/>
      <c r="H173" s="261"/>
      <c r="I173" s="261"/>
      <c r="J173" s="261"/>
      <c r="K173" s="261"/>
      <c r="L173" s="261"/>
      <c r="M173" s="331">
        <f>M171+M172</f>
        <v>88331</v>
      </c>
      <c r="N173" s="331">
        <f>N172+N171</f>
        <v>10223</v>
      </c>
      <c r="O173" s="261"/>
      <c r="P173" s="331">
        <f>M173+N173</f>
        <v>98554</v>
      </c>
      <c r="Q173" s="264"/>
      <c r="R173" s="5"/>
    </row>
    <row r="174" spans="1:19" ht="15.6" x14ac:dyDescent="0.3">
      <c r="A174" s="260"/>
      <c r="B174" s="261" t="s">
        <v>71</v>
      </c>
      <c r="C174" s="261"/>
      <c r="D174" s="261"/>
      <c r="E174" s="261"/>
      <c r="F174" s="261"/>
      <c r="G174" s="261"/>
      <c r="H174" s="261"/>
      <c r="I174" s="261"/>
      <c r="J174" s="261"/>
      <c r="K174" s="261"/>
      <c r="L174" s="261"/>
      <c r="M174" s="331">
        <f>M170-M173-N173</f>
        <v>45446</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190"/>
      <c r="R175" s="5"/>
    </row>
    <row r="176" spans="1:19" ht="15.6" x14ac:dyDescent="0.3">
      <c r="A176" s="180"/>
      <c r="B176" s="181"/>
      <c r="C176" s="181"/>
      <c r="D176" s="181"/>
      <c r="E176" s="181"/>
      <c r="F176" s="181"/>
      <c r="G176" s="181"/>
      <c r="H176" s="181"/>
      <c r="I176" s="181"/>
      <c r="J176" s="181"/>
      <c r="K176" s="181"/>
      <c r="L176" s="181"/>
      <c r="M176" s="181"/>
      <c r="N176" s="181"/>
      <c r="O176" s="181"/>
      <c r="P176" s="200"/>
      <c r="Q176" s="181"/>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185"/>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3.0435323383084576</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1.52</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3.6756152125279642</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2.5099999999999998</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190"/>
      <c r="R183" s="5"/>
    </row>
    <row r="184" spans="1:18" ht="15.6" x14ac:dyDescent="0.3">
      <c r="A184" s="183"/>
      <c r="B184" s="185"/>
      <c r="C184" s="185"/>
      <c r="D184" s="185"/>
      <c r="E184" s="185"/>
      <c r="F184" s="185"/>
      <c r="G184" s="185"/>
      <c r="H184" s="185"/>
      <c r="I184" s="185"/>
      <c r="J184" s="185"/>
      <c r="K184" s="185"/>
      <c r="L184" s="185"/>
      <c r="M184" s="185"/>
      <c r="N184" s="185"/>
      <c r="O184" s="185"/>
      <c r="P184" s="185"/>
      <c r="Q184" s="185"/>
      <c r="R184" s="5"/>
    </row>
    <row r="185" spans="1:18" ht="18" thickBot="1" x14ac:dyDescent="0.35">
      <c r="A185" s="199"/>
      <c r="B185" s="239" t="str">
        <f>B133</f>
        <v>PM7 INVESTOR REPORT QUARTER ENDING JULY 2013</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41486</v>
      </c>
      <c r="O186" s="326"/>
      <c r="P186" s="326"/>
      <c r="Q186" s="326"/>
      <c r="R186" s="5"/>
    </row>
    <row r="187" spans="1:18" ht="15.6" x14ac:dyDescent="0.3">
      <c r="A187" s="217"/>
      <c r="B187" s="218"/>
      <c r="C187" s="219"/>
      <c r="D187" s="219"/>
      <c r="E187" s="220"/>
      <c r="F187" s="220"/>
      <c r="G187" s="220"/>
      <c r="H187" s="220"/>
      <c r="I187" s="220"/>
      <c r="J187" s="220"/>
      <c r="K187" s="220"/>
      <c r="L187" s="220"/>
      <c r="M187" s="220"/>
      <c r="N187" s="220"/>
      <c r="O187" s="185"/>
      <c r="P187" s="185"/>
      <c r="Q187" s="185"/>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2.3300000000000001E-2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1.311313167691083E-2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1.0186868323089172E-2</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6.9825317820118565E-3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13.16</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7.7143370425556647E-3</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0.1067</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190"/>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252"/>
      <c r="R205" s="5"/>
    </row>
    <row r="206" spans="1:18" ht="15.6" x14ac:dyDescent="0.3">
      <c r="A206" s="221"/>
      <c r="B206" s="230" t="s">
        <v>87</v>
      </c>
      <c r="C206" s="235"/>
      <c r="D206" s="230"/>
      <c r="E206" s="230"/>
      <c r="F206" s="234"/>
      <c r="G206" s="234"/>
      <c r="H206" s="234"/>
      <c r="I206" s="234"/>
      <c r="J206" s="234"/>
      <c r="K206" s="234"/>
      <c r="L206" s="234"/>
      <c r="M206" s="234">
        <v>2</v>
      </c>
      <c r="N206" s="305">
        <v>70</v>
      </c>
      <c r="O206" s="230"/>
      <c r="P206" s="306"/>
      <c r="Q206" s="307"/>
      <c r="R206" s="5"/>
    </row>
    <row r="207" spans="1:18" ht="15.6" x14ac:dyDescent="0.3">
      <c r="A207" s="351"/>
      <c r="B207" s="261" t="s">
        <v>203</v>
      </c>
      <c r="C207" s="330"/>
      <c r="D207" s="261"/>
      <c r="E207" s="261"/>
      <c r="F207" s="268"/>
      <c r="G207" s="268"/>
      <c r="H207" s="268"/>
      <c r="I207" s="268"/>
      <c r="J207" s="268"/>
      <c r="K207" s="268"/>
      <c r="L207" s="268"/>
      <c r="M207" s="352">
        <f>+L255</f>
        <v>43</v>
      </c>
      <c r="N207" s="353">
        <f>+N255</f>
        <v>7601</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1</v>
      </c>
      <c r="N208" s="353">
        <f>+N266</f>
        <v>38</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158</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'April 13'!N213+'July 13'!N212</f>
        <v>5491</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4</v>
      </c>
      <c r="N219" s="353">
        <v>511</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350"/>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393"/>
      <c r="R224" s="5"/>
    </row>
    <row r="225" spans="1:18" ht="15.6" x14ac:dyDescent="0.3">
      <c r="A225" s="198"/>
      <c r="B225" s="235" t="s">
        <v>98</v>
      </c>
      <c r="C225" s="309"/>
      <c r="D225" s="230"/>
      <c r="E225" s="309"/>
      <c r="F225" s="309"/>
      <c r="G225" s="309"/>
      <c r="H225" s="309"/>
      <c r="I225" s="309"/>
      <c r="J225" s="309"/>
      <c r="K225" s="309"/>
      <c r="L225" s="330">
        <f t="shared" ref="L225:L232" si="1">+L236+L247+L258</f>
        <v>3264</v>
      </c>
      <c r="M225" s="382">
        <f t="shared" ref="M225:M232" si="2">L225/$L$233</f>
        <v>0.99360730593607305</v>
      </c>
      <c r="N225" s="331">
        <f t="shared" ref="N225:N232" si="3">+N236+N247+N258</f>
        <v>373775</v>
      </c>
      <c r="O225" s="382">
        <f t="shared" ref="O225:O232" si="4">N225/$N$233</f>
        <v>0.99457973667684907</v>
      </c>
      <c r="P225" s="306"/>
      <c r="Q225" s="233"/>
      <c r="R225" s="5"/>
    </row>
    <row r="226" spans="1:18" ht="15.6" x14ac:dyDescent="0.3">
      <c r="A226" s="260"/>
      <c r="B226" s="330" t="s">
        <v>99</v>
      </c>
      <c r="C226" s="381"/>
      <c r="D226" s="261"/>
      <c r="E226" s="382"/>
      <c r="F226" s="381"/>
      <c r="G226" s="381"/>
      <c r="H226" s="381"/>
      <c r="I226" s="381"/>
      <c r="J226" s="381"/>
      <c r="K226" s="381"/>
      <c r="L226" s="330">
        <f t="shared" si="1"/>
        <v>3</v>
      </c>
      <c r="M226" s="382">
        <f t="shared" si="2"/>
        <v>9.1324200913242006E-4</v>
      </c>
      <c r="N226" s="331">
        <f t="shared" si="3"/>
        <v>52</v>
      </c>
      <c r="O226" s="382">
        <f t="shared" si="4"/>
        <v>1.3836705586835971E-4</v>
      </c>
      <c r="P226" s="354"/>
      <c r="Q226" s="373"/>
      <c r="R226" s="5"/>
    </row>
    <row r="227" spans="1:18" ht="15.6" x14ac:dyDescent="0.3">
      <c r="A227" s="260"/>
      <c r="B227" s="330" t="s">
        <v>100</v>
      </c>
      <c r="C227" s="381"/>
      <c r="D227" s="261"/>
      <c r="E227" s="382"/>
      <c r="F227" s="381"/>
      <c r="G227" s="381"/>
      <c r="H227" s="381"/>
      <c r="I227" s="381"/>
      <c r="J227" s="381"/>
      <c r="K227" s="381"/>
      <c r="L227" s="330">
        <f t="shared" si="1"/>
        <v>2</v>
      </c>
      <c r="M227" s="382">
        <f t="shared" si="2"/>
        <v>6.0882800608828011E-4</v>
      </c>
      <c r="N227" s="331">
        <f t="shared" si="3"/>
        <v>88</v>
      </c>
      <c r="O227" s="382">
        <f t="shared" si="4"/>
        <v>2.3415963300799336E-4</v>
      </c>
      <c r="P227" s="354"/>
      <c r="Q227" s="373"/>
      <c r="R227" s="5"/>
    </row>
    <row r="228" spans="1:18" ht="15.6" x14ac:dyDescent="0.3">
      <c r="A228" s="260"/>
      <c r="B228" s="330" t="s">
        <v>227</v>
      </c>
      <c r="C228" s="381"/>
      <c r="D228" s="261"/>
      <c r="E228" s="382"/>
      <c r="F228" s="381"/>
      <c r="G228" s="381"/>
      <c r="H228" s="381"/>
      <c r="I228" s="381"/>
      <c r="J228" s="381"/>
      <c r="K228" s="381"/>
      <c r="L228" s="330">
        <f t="shared" si="1"/>
        <v>1</v>
      </c>
      <c r="M228" s="382">
        <f t="shared" si="2"/>
        <v>3.0441400304414006E-4</v>
      </c>
      <c r="N228" s="331">
        <f t="shared" si="3"/>
        <v>50</v>
      </c>
      <c r="O228" s="382">
        <f t="shared" si="4"/>
        <v>1.3304524602726896E-4</v>
      </c>
      <c r="P228" s="354"/>
      <c r="Q228" s="373"/>
      <c r="R228" s="5"/>
    </row>
    <row r="229" spans="1:18" ht="15.6" x14ac:dyDescent="0.3">
      <c r="A229" s="260"/>
      <c r="B229" s="330" t="s">
        <v>228</v>
      </c>
      <c r="C229" s="381"/>
      <c r="D229" s="261"/>
      <c r="E229" s="382"/>
      <c r="F229" s="381"/>
      <c r="G229" s="381"/>
      <c r="H229" s="381"/>
      <c r="I229" s="381"/>
      <c r="J229" s="381"/>
      <c r="K229" s="381"/>
      <c r="L229" s="330">
        <f t="shared" si="1"/>
        <v>3</v>
      </c>
      <c r="M229" s="382">
        <f t="shared" si="2"/>
        <v>9.1324200913242006E-4</v>
      </c>
      <c r="N229" s="331">
        <f t="shared" si="3"/>
        <v>92</v>
      </c>
      <c r="O229" s="382">
        <f t="shared" si="4"/>
        <v>2.4480325269017486E-4</v>
      </c>
      <c r="P229" s="354"/>
      <c r="Q229" s="373"/>
      <c r="R229" s="5"/>
    </row>
    <row r="230" spans="1:18" ht="15.6" x14ac:dyDescent="0.3">
      <c r="A230" s="260"/>
      <c r="B230" s="330" t="s">
        <v>229</v>
      </c>
      <c r="C230" s="381"/>
      <c r="D230" s="261"/>
      <c r="E230" s="382"/>
      <c r="F230" s="381"/>
      <c r="G230" s="381"/>
      <c r="H230" s="381"/>
      <c r="I230" s="381"/>
      <c r="J230" s="381"/>
      <c r="K230" s="381"/>
      <c r="L230" s="330">
        <f t="shared" si="1"/>
        <v>0</v>
      </c>
      <c r="M230" s="382">
        <f t="shared" si="2"/>
        <v>0</v>
      </c>
      <c r="N230" s="331">
        <f t="shared" si="3"/>
        <v>0</v>
      </c>
      <c r="O230" s="382">
        <f t="shared" si="4"/>
        <v>0</v>
      </c>
      <c r="P230" s="354"/>
      <c r="Q230" s="373"/>
      <c r="R230" s="5"/>
    </row>
    <row r="231" spans="1:18" ht="15.6" x14ac:dyDescent="0.3">
      <c r="A231" s="260"/>
      <c r="B231" s="330" t="s">
        <v>230</v>
      </c>
      <c r="C231" s="381"/>
      <c r="D231" s="261"/>
      <c r="E231" s="382"/>
      <c r="F231" s="381"/>
      <c r="G231" s="381"/>
      <c r="H231" s="381"/>
      <c r="I231" s="381"/>
      <c r="J231" s="381"/>
      <c r="K231" s="381"/>
      <c r="L231" s="330">
        <f t="shared" si="1"/>
        <v>8</v>
      </c>
      <c r="M231" s="382">
        <f t="shared" si="2"/>
        <v>2.4353120243531205E-3</v>
      </c>
      <c r="N231" s="331">
        <f t="shared" si="3"/>
        <v>1123</v>
      </c>
      <c r="O231" s="382">
        <f t="shared" si="4"/>
        <v>2.9881962257724609E-3</v>
      </c>
      <c r="P231" s="354"/>
      <c r="Q231" s="373"/>
      <c r="R231" s="5"/>
    </row>
    <row r="232" spans="1:18" ht="15.6" x14ac:dyDescent="0.3">
      <c r="A232" s="260"/>
      <c r="B232" s="330" t="s">
        <v>231</v>
      </c>
      <c r="C232" s="381"/>
      <c r="D232" s="261"/>
      <c r="E232" s="382"/>
      <c r="F232" s="381"/>
      <c r="G232" s="381"/>
      <c r="H232" s="381"/>
      <c r="I232" s="381"/>
      <c r="J232" s="381"/>
      <c r="K232" s="381"/>
      <c r="L232" s="330">
        <f t="shared" si="1"/>
        <v>4</v>
      </c>
      <c r="M232" s="382">
        <f t="shared" si="2"/>
        <v>1.2176560121765602E-3</v>
      </c>
      <c r="N232" s="331">
        <f t="shared" si="3"/>
        <v>632</v>
      </c>
      <c r="O232" s="382">
        <f t="shared" si="4"/>
        <v>1.6816919097846796E-3</v>
      </c>
      <c r="P232" s="354"/>
      <c r="Q232" s="373"/>
      <c r="R232" s="5"/>
    </row>
    <row r="233" spans="1:18" ht="15.6" x14ac:dyDescent="0.3">
      <c r="A233" s="260"/>
      <c r="B233" s="261" t="s">
        <v>129</v>
      </c>
      <c r="C233" s="261"/>
      <c r="D233" s="261"/>
      <c r="E233" s="261"/>
      <c r="F233" s="383"/>
      <c r="G233" s="383"/>
      <c r="H233" s="383"/>
      <c r="I233" s="383"/>
      <c r="J233" s="383"/>
      <c r="K233" s="383"/>
      <c r="L233" s="330">
        <f>SUM(L225:L232)</f>
        <v>3285</v>
      </c>
      <c r="M233" s="382">
        <f>SUM(M225:M232)</f>
        <v>1</v>
      </c>
      <c r="N233" s="330">
        <f>SUM(N225:N232)</f>
        <v>375812</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350"/>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393"/>
      <c r="R235" s="5"/>
    </row>
    <row r="236" spans="1:18" ht="15.6" x14ac:dyDescent="0.3">
      <c r="A236" s="198"/>
      <c r="B236" s="235" t="s">
        <v>98</v>
      </c>
      <c r="C236" s="309"/>
      <c r="D236" s="230"/>
      <c r="E236" s="309"/>
      <c r="F236" s="309"/>
      <c r="G236" s="309"/>
      <c r="H236" s="309"/>
      <c r="I236" s="309"/>
      <c r="J236" s="309"/>
      <c r="K236" s="309"/>
      <c r="L236" s="235">
        <v>3226</v>
      </c>
      <c r="M236" s="310">
        <f t="shared" ref="M236:M243" si="5">L236/$L$244</f>
        <v>0.99537179882752236</v>
      </c>
      <c r="N236" s="300">
        <v>367161</v>
      </c>
      <c r="O236" s="310">
        <f t="shared" ref="O236:O243" si="6">N236/$N$244</f>
        <v>0.9972512921914426</v>
      </c>
      <c r="P236" s="306"/>
      <c r="Q236" s="233"/>
      <c r="R236" s="5"/>
    </row>
    <row r="237" spans="1:18" ht="15.6" x14ac:dyDescent="0.3">
      <c r="A237" s="260"/>
      <c r="B237" s="330" t="s">
        <v>99</v>
      </c>
      <c r="C237" s="381"/>
      <c r="D237" s="261"/>
      <c r="E237" s="382"/>
      <c r="F237" s="381"/>
      <c r="G237" s="381"/>
      <c r="H237" s="381"/>
      <c r="I237" s="381"/>
      <c r="J237" s="381"/>
      <c r="K237" s="381"/>
      <c r="L237" s="330">
        <v>3</v>
      </c>
      <c r="M237" s="382">
        <f t="shared" si="5"/>
        <v>9.2564023449552611E-4</v>
      </c>
      <c r="N237" s="331">
        <v>52</v>
      </c>
      <c r="O237" s="382">
        <f t="shared" si="6"/>
        <v>1.4123795063733624E-4</v>
      </c>
      <c r="P237" s="354"/>
      <c r="Q237" s="373"/>
      <c r="R237" s="5"/>
    </row>
    <row r="238" spans="1:18" ht="15.6" x14ac:dyDescent="0.3">
      <c r="A238" s="260"/>
      <c r="B238" s="330" t="s">
        <v>100</v>
      </c>
      <c r="C238" s="381"/>
      <c r="D238" s="261"/>
      <c r="E238" s="382"/>
      <c r="F238" s="381"/>
      <c r="G238" s="381"/>
      <c r="H238" s="381"/>
      <c r="I238" s="381"/>
      <c r="J238" s="381"/>
      <c r="K238" s="381"/>
      <c r="L238" s="330">
        <v>2</v>
      </c>
      <c r="M238" s="382">
        <f t="shared" si="5"/>
        <v>6.1709348966368404E-4</v>
      </c>
      <c r="N238" s="331">
        <v>88</v>
      </c>
      <c r="O238" s="382">
        <f t="shared" si="6"/>
        <v>2.3901807030933826E-4</v>
      </c>
      <c r="P238" s="354"/>
      <c r="Q238" s="373"/>
      <c r="R238" s="5"/>
    </row>
    <row r="239" spans="1:18" ht="15.6" x14ac:dyDescent="0.3">
      <c r="A239" s="260"/>
      <c r="B239" s="330" t="s">
        <v>227</v>
      </c>
      <c r="C239" s="381"/>
      <c r="D239" s="261"/>
      <c r="E239" s="382"/>
      <c r="F239" s="381"/>
      <c r="G239" s="381"/>
      <c r="H239" s="381"/>
      <c r="I239" s="381"/>
      <c r="J239" s="381"/>
      <c r="K239" s="381"/>
      <c r="L239" s="330">
        <v>1</v>
      </c>
      <c r="M239" s="382">
        <f t="shared" si="5"/>
        <v>3.0854674483184202E-4</v>
      </c>
      <c r="N239" s="331">
        <v>50</v>
      </c>
      <c r="O239" s="382">
        <f t="shared" si="6"/>
        <v>1.3580572176666948E-4</v>
      </c>
      <c r="P239" s="354"/>
      <c r="Q239" s="373"/>
      <c r="R239" s="5"/>
    </row>
    <row r="240" spans="1:18" ht="15.6" x14ac:dyDescent="0.3">
      <c r="A240" s="260"/>
      <c r="B240" s="330" t="s">
        <v>228</v>
      </c>
      <c r="C240" s="381"/>
      <c r="D240" s="261"/>
      <c r="E240" s="382"/>
      <c r="F240" s="381"/>
      <c r="G240" s="381"/>
      <c r="H240" s="381"/>
      <c r="I240" s="381"/>
      <c r="J240" s="381"/>
      <c r="K240" s="381"/>
      <c r="L240" s="330">
        <v>3</v>
      </c>
      <c r="M240" s="382">
        <f t="shared" si="5"/>
        <v>9.2564023449552611E-4</v>
      </c>
      <c r="N240" s="331">
        <v>92</v>
      </c>
      <c r="O240" s="382">
        <f t="shared" si="6"/>
        <v>2.4988252805067181E-4</v>
      </c>
      <c r="P240" s="354"/>
      <c r="Q240" s="373"/>
      <c r="R240" s="5"/>
    </row>
    <row r="241" spans="1:18" ht="15.6" x14ac:dyDescent="0.3">
      <c r="A241" s="260"/>
      <c r="B241" s="330" t="s">
        <v>229</v>
      </c>
      <c r="C241" s="381"/>
      <c r="D241" s="261"/>
      <c r="E241" s="382"/>
      <c r="F241" s="381"/>
      <c r="G241" s="381"/>
      <c r="H241" s="381"/>
      <c r="I241" s="381"/>
      <c r="J241" s="381"/>
      <c r="K241" s="381"/>
      <c r="L241" s="330">
        <v>0</v>
      </c>
      <c r="M241" s="382">
        <f t="shared" si="5"/>
        <v>0</v>
      </c>
      <c r="N241" s="331">
        <v>0</v>
      </c>
      <c r="O241" s="382">
        <f t="shared" si="6"/>
        <v>0</v>
      </c>
      <c r="P241" s="354"/>
      <c r="Q241" s="373"/>
      <c r="R241" s="5"/>
    </row>
    <row r="242" spans="1:18" ht="15.6" x14ac:dyDescent="0.3">
      <c r="A242" s="260"/>
      <c r="B242" s="330" t="s">
        <v>230</v>
      </c>
      <c r="C242" s="381"/>
      <c r="D242" s="261"/>
      <c r="E242" s="382"/>
      <c r="F242" s="381"/>
      <c r="G242" s="381"/>
      <c r="H242" s="381"/>
      <c r="I242" s="381"/>
      <c r="J242" s="381"/>
      <c r="K242" s="381"/>
      <c r="L242" s="330">
        <v>5</v>
      </c>
      <c r="M242" s="382">
        <f t="shared" si="5"/>
        <v>1.5427337241592102E-3</v>
      </c>
      <c r="N242" s="331">
        <v>719</v>
      </c>
      <c r="O242" s="382">
        <f t="shared" si="6"/>
        <v>1.952886279004707E-3</v>
      </c>
      <c r="P242" s="354"/>
      <c r="Q242" s="373"/>
      <c r="R242" s="5"/>
    </row>
    <row r="243" spans="1:18" ht="15.6" x14ac:dyDescent="0.3">
      <c r="A243" s="260"/>
      <c r="B243" s="330" t="s">
        <v>231</v>
      </c>
      <c r="C243" s="381"/>
      <c r="D243" s="261"/>
      <c r="E243" s="382"/>
      <c r="F243" s="381"/>
      <c r="G243" s="381"/>
      <c r="H243" s="381"/>
      <c r="I243" s="381"/>
      <c r="J243" s="381"/>
      <c r="K243" s="381"/>
      <c r="L243" s="330">
        <v>1</v>
      </c>
      <c r="M243" s="382">
        <f t="shared" si="5"/>
        <v>3.0854674483184202E-4</v>
      </c>
      <c r="N243" s="331">
        <v>11</v>
      </c>
      <c r="O243" s="382">
        <f t="shared" si="6"/>
        <v>2.9877258788667283E-5</v>
      </c>
      <c r="P243" s="354"/>
      <c r="Q243" s="373"/>
      <c r="R243" s="5"/>
    </row>
    <row r="244" spans="1:18" ht="15.6" x14ac:dyDescent="0.3">
      <c r="A244" s="260"/>
      <c r="B244" s="261" t="s">
        <v>129</v>
      </c>
      <c r="C244" s="261"/>
      <c r="D244" s="261"/>
      <c r="E244" s="261"/>
      <c r="F244" s="383"/>
      <c r="G244" s="383"/>
      <c r="H244" s="383"/>
      <c r="I244" s="383"/>
      <c r="J244" s="383"/>
      <c r="K244" s="383"/>
      <c r="L244" s="330">
        <f>SUM(L236:L243)</f>
        <v>3241</v>
      </c>
      <c r="M244" s="382">
        <f>SUM(M236:M243)</f>
        <v>0.99999999999999989</v>
      </c>
      <c r="N244" s="331">
        <f>SUM(N236:N243)</f>
        <v>368173</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257"/>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38</v>
      </c>
      <c r="M247" s="310">
        <f t="shared" ref="M247:M254" si="7">L247/$L$255</f>
        <v>0.88372093023255816</v>
      </c>
      <c r="N247" s="300">
        <v>6614</v>
      </c>
      <c r="O247" s="310">
        <f t="shared" ref="O247:O254" si="8">N247/$N$255</f>
        <v>0.87014866464938823</v>
      </c>
      <c r="P247" s="306"/>
      <c r="Q247" s="230"/>
      <c r="R247" s="5"/>
    </row>
    <row r="248" spans="1:18" ht="15.6" x14ac:dyDescent="0.3">
      <c r="A248" s="260"/>
      <c r="B248" s="330" t="s">
        <v>99</v>
      </c>
      <c r="C248" s="381"/>
      <c r="D248" s="261"/>
      <c r="E248" s="382"/>
      <c r="F248" s="381"/>
      <c r="G248" s="381"/>
      <c r="H248" s="381"/>
      <c r="I248" s="381"/>
      <c r="J248" s="381"/>
      <c r="K248" s="381"/>
      <c r="L248" s="330">
        <v>0</v>
      </c>
      <c r="M248" s="382">
        <f t="shared" si="7"/>
        <v>0</v>
      </c>
      <c r="N248" s="331">
        <v>0</v>
      </c>
      <c r="O248" s="382">
        <f t="shared" si="8"/>
        <v>0</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2</v>
      </c>
      <c r="M253" s="382">
        <f t="shared" si="7"/>
        <v>4.6511627906976744E-2</v>
      </c>
      <c r="N253" s="331">
        <v>366</v>
      </c>
      <c r="O253" s="382">
        <f t="shared" si="8"/>
        <v>4.8151559005394029E-2</v>
      </c>
      <c r="P253" s="354"/>
      <c r="Q253" s="264"/>
      <c r="R253" s="5"/>
    </row>
    <row r="254" spans="1:18" ht="15.6" x14ac:dyDescent="0.3">
      <c r="A254" s="260"/>
      <c r="B254" s="330" t="s">
        <v>231</v>
      </c>
      <c r="C254" s="381"/>
      <c r="D254" s="261"/>
      <c r="E254" s="382"/>
      <c r="F254" s="381"/>
      <c r="G254" s="381"/>
      <c r="H254" s="381"/>
      <c r="I254" s="381"/>
      <c r="J254" s="381"/>
      <c r="K254" s="381"/>
      <c r="L254" s="330">
        <v>3</v>
      </c>
      <c r="M254" s="382">
        <f t="shared" si="7"/>
        <v>6.9767441860465115E-2</v>
      </c>
      <c r="N254" s="331">
        <v>621</v>
      </c>
      <c r="O254" s="382">
        <f t="shared" si="8"/>
        <v>8.1699776345217731E-2</v>
      </c>
      <c r="P254" s="354"/>
      <c r="Q254" s="264"/>
      <c r="R254" s="5"/>
    </row>
    <row r="255" spans="1:18" ht="15.6" x14ac:dyDescent="0.3">
      <c r="A255" s="260"/>
      <c r="B255" s="261" t="s">
        <v>129</v>
      </c>
      <c r="C255" s="261"/>
      <c r="D255" s="261"/>
      <c r="E255" s="261"/>
      <c r="F255" s="383"/>
      <c r="G255" s="383"/>
      <c r="H255" s="383"/>
      <c r="I255" s="383"/>
      <c r="J255" s="383"/>
      <c r="K255" s="383"/>
      <c r="L255" s="330">
        <f>SUM(L247:L254)</f>
        <v>43</v>
      </c>
      <c r="M255" s="382">
        <f>SUM(M247:M254)</f>
        <v>1</v>
      </c>
      <c r="N255" s="331">
        <f>SUM(N247:N254)</f>
        <v>7601</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257"/>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230"/>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1</v>
      </c>
      <c r="M264" s="382">
        <f>L264/L266</f>
        <v>1</v>
      </c>
      <c r="N264" s="331">
        <v>38</v>
      </c>
      <c r="O264" s="382">
        <f>N264/N266</f>
        <v>1</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1</v>
      </c>
      <c r="M266" s="382">
        <f>SUM(M258:M265)</f>
        <v>1</v>
      </c>
      <c r="N266" s="331">
        <f>SUM(N258:N265)</f>
        <v>38</v>
      </c>
      <c r="O266" s="382">
        <f>SUM(O258:O265)</f>
        <v>1</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3285</v>
      </c>
      <c r="M268" s="382"/>
      <c r="N268" s="386">
        <f>+N266+N255+N244</f>
        <v>375812</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257"/>
      <c r="R269" s="5"/>
    </row>
    <row r="270" spans="1:18" ht="15.6" x14ac:dyDescent="0.3">
      <c r="A270" s="183"/>
      <c r="B270" s="236"/>
      <c r="C270" s="236"/>
      <c r="D270" s="236"/>
      <c r="E270" s="236"/>
      <c r="F270" s="311"/>
      <c r="G270" s="311"/>
      <c r="H270" s="311"/>
      <c r="I270" s="311"/>
      <c r="J270" s="311"/>
      <c r="K270" s="311"/>
      <c r="L270" s="311"/>
      <c r="M270" s="311"/>
      <c r="N270" s="312"/>
      <c r="O270" s="311"/>
      <c r="P270" s="236"/>
      <c r="Q270" s="236"/>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249"/>
      <c r="R271" s="5"/>
    </row>
    <row r="272" spans="1:18" ht="15.6" x14ac:dyDescent="0.3">
      <c r="A272" s="225"/>
      <c r="B272" s="249"/>
      <c r="C272" s="236"/>
      <c r="D272" s="236"/>
      <c r="E272" s="236"/>
      <c r="F272" s="236"/>
      <c r="G272" s="236"/>
      <c r="H272" s="236"/>
      <c r="I272" s="249"/>
      <c r="J272" s="249"/>
      <c r="K272" s="249"/>
      <c r="L272" s="249"/>
      <c r="M272" s="249"/>
      <c r="N272" s="249"/>
      <c r="O272" s="249"/>
      <c r="P272" s="249"/>
      <c r="Q272" s="249"/>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249"/>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249"/>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5.6" x14ac:dyDescent="0.3">
      <c r="A277" s="225"/>
      <c r="B277" s="228"/>
      <c r="C277" s="228"/>
      <c r="D277" s="228"/>
      <c r="E277" s="314"/>
      <c r="F277" s="249"/>
      <c r="G277" s="249"/>
      <c r="H277" s="249"/>
      <c r="I277" s="249"/>
      <c r="J277" s="249"/>
      <c r="K277" s="249"/>
      <c r="L277" s="249"/>
      <c r="M277" s="249"/>
      <c r="N277" s="249"/>
      <c r="O277" s="249"/>
      <c r="P277" s="249"/>
      <c r="Q277" s="249"/>
      <c r="R277" s="5"/>
    </row>
    <row r="278" spans="1:18" ht="18" thickBot="1" x14ac:dyDescent="0.35">
      <c r="A278" s="225"/>
      <c r="B278" s="315" t="str">
        <f>B185</f>
        <v>PM7 INVESTOR REPORT QUARTER ENDING JULY 2013</v>
      </c>
      <c r="C278" s="228"/>
      <c r="D278" s="228"/>
      <c r="E278" s="314"/>
      <c r="F278" s="249"/>
      <c r="G278" s="249"/>
      <c r="H278" s="249"/>
      <c r="I278" s="249"/>
      <c r="J278" s="249"/>
      <c r="K278" s="249"/>
      <c r="L278" s="249"/>
      <c r="M278" s="249"/>
      <c r="N278" s="249"/>
      <c r="O278" s="249"/>
      <c r="P278" s="249"/>
      <c r="Q278" s="24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7" man="1"/>
    <brk id="133" max="14" man="1"/>
    <brk id="185" max="14" man="1"/>
    <brk id="278" max="17"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0.95909999999999995</v>
      </c>
      <c r="N17" s="246" t="s">
        <v>173</v>
      </c>
      <c r="O17" s="245">
        <v>4.0899999999999999E-2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41599</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301</v>
      </c>
      <c r="E28" s="392"/>
      <c r="F28" s="392" t="s">
        <v>301</v>
      </c>
      <c r="G28" s="392"/>
      <c r="H28" s="392" t="s">
        <v>301</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166859.95500000002</v>
      </c>
      <c r="E34" s="271"/>
      <c r="F34" s="272">
        <f>+F33*F40</f>
        <v>81552.415999999997</v>
      </c>
      <c r="G34" s="271"/>
      <c r="H34" s="273">
        <f>+H33*H40</f>
        <v>185411.7</v>
      </c>
      <c r="I34" s="271"/>
      <c r="J34" s="270">
        <f>J33*J40</f>
        <v>68845.878749999989</v>
      </c>
      <c r="K34" s="271"/>
      <c r="L34" s="273">
        <f>L33*L40</f>
        <v>54242.1685</v>
      </c>
      <c r="M34" s="271"/>
      <c r="N34" s="271"/>
      <c r="O34" s="274"/>
      <c r="P34" s="271"/>
      <c r="Q34" s="275"/>
      <c r="R34" s="5"/>
    </row>
    <row r="35" spans="1:19" ht="15.6" x14ac:dyDescent="0.3">
      <c r="A35" s="265"/>
      <c r="B35" s="266" t="s">
        <v>158</v>
      </c>
      <c r="C35" s="276"/>
      <c r="D35" s="277">
        <f>+D33*D39</f>
        <v>165086.23500000002</v>
      </c>
      <c r="E35" s="278"/>
      <c r="F35" s="279">
        <f>+F33*F39</f>
        <v>80685.527999999991</v>
      </c>
      <c r="G35" s="278"/>
      <c r="H35" s="280">
        <f>+H33*H39</f>
        <v>183440.75</v>
      </c>
      <c r="I35" s="278"/>
      <c r="J35" s="277">
        <f>J33*J39</f>
        <v>68114.037750000003</v>
      </c>
      <c r="K35" s="278"/>
      <c r="L35" s="280">
        <f>L33*L39</f>
        <v>53665.566500000001</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93794.241146711647</v>
      </c>
      <c r="E37" s="271"/>
      <c r="F37" s="271">
        <f>+F34</f>
        <v>81552.415999999997</v>
      </c>
      <c r="G37" s="271"/>
      <c r="H37" s="271">
        <f>+H34/1.481481</f>
        <v>125152.9381747049</v>
      </c>
      <c r="I37" s="271"/>
      <c r="J37" s="271">
        <f>J36*J40</f>
        <v>38698.894316999998</v>
      </c>
      <c r="K37" s="271"/>
      <c r="L37" s="271">
        <f>L36*L40</f>
        <v>36613.463737500002</v>
      </c>
      <c r="M37" s="271"/>
      <c r="N37" s="271"/>
      <c r="O37" s="274"/>
      <c r="P37" s="271">
        <f>SUM(C37:L37)</f>
        <v>375811.95337591658</v>
      </c>
      <c r="Q37" s="275"/>
      <c r="R37" s="5"/>
      <c r="S37" s="154"/>
    </row>
    <row r="38" spans="1:19" ht="15.6" x14ac:dyDescent="0.3">
      <c r="A38" s="265"/>
      <c r="B38" s="266" t="s">
        <v>281</v>
      </c>
      <c r="C38" s="276"/>
      <c r="D38" s="278">
        <f>D35/1.779</f>
        <v>92797.209106239476</v>
      </c>
      <c r="E38" s="278"/>
      <c r="F38" s="278">
        <f>+F35</f>
        <v>80685.527999999991</v>
      </c>
      <c r="G38" s="278"/>
      <c r="H38" s="278">
        <f>H35/1.481481</f>
        <v>123822.5464923276</v>
      </c>
      <c r="I38" s="278"/>
      <c r="J38" s="278">
        <f>J36*J39</f>
        <v>38287.519837799999</v>
      </c>
      <c r="K38" s="278"/>
      <c r="L38" s="278">
        <f>L36*L39</f>
        <v>36224.257387500002</v>
      </c>
      <c r="M38" s="278"/>
      <c r="N38" s="278"/>
      <c r="O38" s="281"/>
      <c r="P38" s="278">
        <f>SUM(D38:L38)</f>
        <v>371817.0608238671</v>
      </c>
      <c r="Q38" s="275"/>
      <c r="R38" s="5"/>
      <c r="S38" s="176"/>
    </row>
    <row r="39" spans="1:19" ht="15.6" x14ac:dyDescent="0.3">
      <c r="A39" s="265"/>
      <c r="B39" s="282" t="s">
        <v>154</v>
      </c>
      <c r="C39" s="283"/>
      <c r="D39" s="284">
        <v>0.36685830000000003</v>
      </c>
      <c r="E39" s="284"/>
      <c r="F39" s="284">
        <v>0.36675239999999998</v>
      </c>
      <c r="G39" s="284"/>
      <c r="H39" s="284">
        <v>0.36688150000000003</v>
      </c>
      <c r="I39" s="284"/>
      <c r="J39" s="284">
        <v>0.82562469999999999</v>
      </c>
      <c r="K39" s="284"/>
      <c r="L39" s="284">
        <v>0.82562409999999997</v>
      </c>
      <c r="M39" s="285"/>
      <c r="N39" s="285"/>
      <c r="O39" s="286"/>
      <c r="P39" s="285"/>
      <c r="Q39" s="287"/>
      <c r="R39" s="5"/>
    </row>
    <row r="40" spans="1:19" ht="15.6" x14ac:dyDescent="0.3">
      <c r="A40" s="265"/>
      <c r="B40" s="282" t="s">
        <v>155</v>
      </c>
      <c r="C40" s="283"/>
      <c r="D40" s="284">
        <v>0.37079990000000002</v>
      </c>
      <c r="E40" s="284"/>
      <c r="F40" s="284">
        <v>0.37069279999999999</v>
      </c>
      <c r="G40" s="284"/>
      <c r="H40" s="284">
        <v>0.37082340000000003</v>
      </c>
      <c r="I40" s="284"/>
      <c r="J40" s="284">
        <v>0.83449549999999995</v>
      </c>
      <c r="K40" s="284"/>
      <c r="L40" s="284">
        <v>0.83449490000000004</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6.842E-3</v>
      </c>
      <c r="E42" s="290"/>
      <c r="F42" s="289">
        <v>9.325E-3</v>
      </c>
      <c r="G42" s="290"/>
      <c r="H42" s="289">
        <v>6.45E-3</v>
      </c>
      <c r="I42" s="290"/>
      <c r="J42" s="289">
        <v>1.7642000000000001E-2</v>
      </c>
      <c r="K42" s="290"/>
      <c r="L42" s="289">
        <v>1.7250000000000001E-2</v>
      </c>
      <c r="M42" s="290"/>
      <c r="N42" s="289"/>
      <c r="O42" s="263"/>
      <c r="P42" s="290"/>
      <c r="Q42" s="264"/>
      <c r="R42" s="5"/>
    </row>
    <row r="43" spans="1:19" ht="15.6" x14ac:dyDescent="0.3">
      <c r="A43" s="260"/>
      <c r="B43" s="261" t="s">
        <v>14</v>
      </c>
      <c r="C43" s="261"/>
      <c r="D43" s="289">
        <v>6.9509999999999997E-3</v>
      </c>
      <c r="E43" s="290"/>
      <c r="F43" s="289">
        <v>9.2563000000000003E-3</v>
      </c>
      <c r="G43" s="290"/>
      <c r="H43" s="289">
        <v>6.2300000000000003E-3</v>
      </c>
      <c r="I43" s="290"/>
      <c r="J43" s="289">
        <v>1.7750999999999999E-2</v>
      </c>
      <c r="K43" s="290"/>
      <c r="L43" s="289">
        <v>1.703E-2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1.1214999999999999E-2</v>
      </c>
      <c r="E45" s="290"/>
      <c r="F45" s="289">
        <f>+F42</f>
        <v>9.325E-3</v>
      </c>
      <c r="G45" s="290"/>
      <c r="H45" s="289">
        <v>1.0975E-2</v>
      </c>
      <c r="I45" s="290"/>
      <c r="J45" s="289">
        <v>2.3474999999999999E-2</v>
      </c>
      <c r="K45" s="290"/>
      <c r="L45" s="289">
        <v>2.3474999999999999E-2</v>
      </c>
      <c r="M45" s="290"/>
      <c r="N45" s="289"/>
      <c r="O45" s="263"/>
      <c r="P45" s="290">
        <f>SUMPRODUCT(D45:L45,D37:L37)/P37</f>
        <v>1.3181831367939156E-2</v>
      </c>
      <c r="Q45" s="264"/>
      <c r="R45" s="5"/>
    </row>
    <row r="46" spans="1:19" ht="15.6" x14ac:dyDescent="0.3">
      <c r="A46" s="260"/>
      <c r="B46" s="261" t="s">
        <v>283</v>
      </c>
      <c r="C46" s="261"/>
      <c r="D46" s="289">
        <v>1.11463E-2</v>
      </c>
      <c r="E46" s="290"/>
      <c r="F46" s="289">
        <f>+F43</f>
        <v>9.2563000000000003E-3</v>
      </c>
      <c r="G46" s="290"/>
      <c r="H46" s="289">
        <v>1.0906300000000001E-2</v>
      </c>
      <c r="I46" s="290"/>
      <c r="J46" s="289">
        <v>2.3406300000000001E-2</v>
      </c>
      <c r="K46" s="290"/>
      <c r="L46" s="289">
        <v>2.3406300000000001E-2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0.25062379088394759</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41593</v>
      </c>
      <c r="Q57" s="264"/>
      <c r="R57" s="5"/>
    </row>
    <row r="58" spans="1:18" ht="15.6" x14ac:dyDescent="0.3">
      <c r="A58" s="260"/>
      <c r="B58" s="261" t="s">
        <v>142</v>
      </c>
      <c r="C58" s="261"/>
      <c r="D58" s="261"/>
      <c r="E58" s="261"/>
      <c r="F58" s="297"/>
      <c r="G58" s="297"/>
      <c r="H58" s="297"/>
      <c r="I58" s="297"/>
      <c r="J58" s="297"/>
      <c r="K58" s="297"/>
      <c r="L58" s="261">
        <f>+P58-N58+1</f>
        <v>92</v>
      </c>
      <c r="M58" s="297"/>
      <c r="N58" s="298">
        <v>41409</v>
      </c>
      <c r="O58" s="299"/>
      <c r="P58" s="298">
        <v>41500</v>
      </c>
      <c r="Q58" s="264"/>
      <c r="R58" s="5"/>
    </row>
    <row r="59" spans="1:18" ht="15.6" x14ac:dyDescent="0.3">
      <c r="A59" s="260"/>
      <c r="B59" s="261" t="s">
        <v>143</v>
      </c>
      <c r="C59" s="261"/>
      <c r="D59" s="261"/>
      <c r="E59" s="261"/>
      <c r="F59" s="261"/>
      <c r="G59" s="261"/>
      <c r="H59" s="261"/>
      <c r="I59" s="261"/>
      <c r="J59" s="261"/>
      <c r="K59" s="261"/>
      <c r="L59" s="261">
        <f>+P59-N59+1</f>
        <v>92</v>
      </c>
      <c r="M59" s="261"/>
      <c r="N59" s="298">
        <v>41501</v>
      </c>
      <c r="O59" s="299"/>
      <c r="P59" s="298">
        <v>41592</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41579</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312</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375812</v>
      </c>
      <c r="I69" s="330"/>
      <c r="J69" s="330">
        <f>3995+138+47</f>
        <v>4180</v>
      </c>
      <c r="K69" s="330"/>
      <c r="L69" s="330">
        <f>138+47</f>
        <v>185</v>
      </c>
      <c r="M69" s="330"/>
      <c r="N69" s="330">
        <v>0</v>
      </c>
      <c r="O69" s="330"/>
      <c r="P69" s="331">
        <f>+H69-J69+L69-N69</f>
        <v>371817</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375812</v>
      </c>
      <c r="I72" s="330"/>
      <c r="J72" s="330">
        <f>SUM(J69:J71)</f>
        <v>4180</v>
      </c>
      <c r="K72" s="330"/>
      <c r="L72" s="330">
        <f>SUM(L69:L71)</f>
        <v>185</v>
      </c>
      <c r="M72" s="330"/>
      <c r="N72" s="330">
        <f>SUM(N69:N71)</f>
        <v>0</v>
      </c>
      <c r="O72" s="330"/>
      <c r="P72" s="330">
        <f>SUM(P69:P71)</f>
        <v>371817</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375812</v>
      </c>
      <c r="I86" s="330"/>
      <c r="J86" s="330">
        <f>SUM(J72:J85)</f>
        <v>4180</v>
      </c>
      <c r="K86" s="330"/>
      <c r="L86" s="330">
        <f>SUM(L72:L85)</f>
        <v>185</v>
      </c>
      <c r="M86" s="330"/>
      <c r="N86" s="330"/>
      <c r="O86" s="330"/>
      <c r="P86" s="330">
        <f>SUM(P72:P85)</f>
        <v>371817</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41578</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4180-155</f>
        <v>4025</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3086+131-1051-47</f>
        <v>2119</v>
      </c>
      <c r="Q92" s="264"/>
      <c r="R92" s="5"/>
    </row>
    <row r="93" spans="1:18" ht="15.6" x14ac:dyDescent="0.3">
      <c r="A93" s="260"/>
      <c r="B93" s="261" t="s">
        <v>249</v>
      </c>
      <c r="C93" s="261"/>
      <c r="D93" s="261"/>
      <c r="E93" s="261"/>
      <c r="F93" s="292"/>
      <c r="G93" s="332"/>
      <c r="H93" s="333"/>
      <c r="I93" s="261"/>
      <c r="J93" s="261"/>
      <c r="K93" s="261"/>
      <c r="L93" s="261"/>
      <c r="M93" s="261"/>
      <c r="N93" s="330"/>
      <c r="O93" s="261"/>
      <c r="P93" s="331">
        <f>77+1</f>
        <v>78</v>
      </c>
      <c r="Q93" s="264"/>
      <c r="R93" s="5"/>
    </row>
    <row r="94" spans="1:18" ht="15.6" x14ac:dyDescent="0.3">
      <c r="A94" s="260"/>
      <c r="B94" s="261" t="s">
        <v>250</v>
      </c>
      <c r="C94" s="261"/>
      <c r="D94" s="261"/>
      <c r="E94" s="261"/>
      <c r="F94" s="292"/>
      <c r="G94" s="332"/>
      <c r="H94" s="333"/>
      <c r="I94" s="261"/>
      <c r="J94" s="261"/>
      <c r="K94" s="261"/>
      <c r="L94" s="261"/>
      <c r="M94" s="261"/>
      <c r="N94" s="330"/>
      <c r="O94" s="261"/>
      <c r="P94" s="331">
        <v>21</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151</v>
      </c>
      <c r="Q97" s="264"/>
      <c r="R97" s="5"/>
    </row>
    <row r="98" spans="1:19" ht="15.6" x14ac:dyDescent="0.3">
      <c r="A98" s="260"/>
      <c r="B98" s="261" t="s">
        <v>35</v>
      </c>
      <c r="C98" s="261"/>
      <c r="D98" s="261"/>
      <c r="E98" s="261"/>
      <c r="F98" s="261"/>
      <c r="G98" s="261"/>
      <c r="H98" s="261"/>
      <c r="I98" s="261"/>
      <c r="J98" s="261"/>
      <c r="K98" s="261"/>
      <c r="L98" s="261"/>
      <c r="M98" s="261"/>
      <c r="N98" s="330">
        <f>SUM(N90:N97)</f>
        <v>4025</v>
      </c>
      <c r="O98" s="261"/>
      <c r="P98" s="330">
        <f>SUM(P90:P97)</f>
        <v>2369</v>
      </c>
      <c r="Q98" s="264"/>
      <c r="R98" s="5"/>
    </row>
    <row r="99" spans="1:19" ht="15.6" x14ac:dyDescent="0.3">
      <c r="A99" s="260"/>
      <c r="B99" s="261" t="s">
        <v>237</v>
      </c>
      <c r="C99" s="261"/>
      <c r="D99" s="261"/>
      <c r="E99" s="261"/>
      <c r="F99" s="261"/>
      <c r="G99" s="261"/>
      <c r="H99" s="261"/>
      <c r="I99" s="261"/>
      <c r="J99" s="261"/>
      <c r="K99" s="261"/>
      <c r="L99" s="261"/>
      <c r="M99" s="261"/>
      <c r="N99" s="330">
        <v>-2</v>
      </c>
      <c r="O99" s="261"/>
      <c r="P99" s="330">
        <f>-N99</f>
        <v>2</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80</v>
      </c>
      <c r="Q101" s="264"/>
      <c r="R101" s="5"/>
    </row>
    <row r="102" spans="1:19" ht="15.6" x14ac:dyDescent="0.3">
      <c r="A102" s="260"/>
      <c r="B102" s="261" t="s">
        <v>37</v>
      </c>
      <c r="C102" s="261"/>
      <c r="D102" s="261"/>
      <c r="E102" s="261"/>
      <c r="F102" s="261"/>
      <c r="G102" s="261"/>
      <c r="H102" s="261"/>
      <c r="I102" s="261"/>
      <c r="J102" s="261"/>
      <c r="K102" s="261"/>
      <c r="L102" s="261"/>
      <c r="M102" s="261"/>
      <c r="N102" s="330">
        <f>N98+N100+N99</f>
        <v>4023</v>
      </c>
      <c r="O102" s="261"/>
      <c r="P102" s="330">
        <f>P98+P100+P99+P101</f>
        <v>2451</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-95-95-5</f>
        <v>-195</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-265</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-192</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-346</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-229</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-217</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155</v>
      </c>
      <c r="O115" s="261"/>
      <c r="P115" s="331">
        <v>-155</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-194</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-648</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-183</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-997</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-867</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-1330</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-412</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-389</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-4178</v>
      </c>
      <c r="O129" s="330"/>
      <c r="P129" s="330">
        <f>SUM(P103:P128)</f>
        <v>-2451</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5.6" x14ac:dyDescent="0.3">
      <c r="A132" s="301"/>
      <c r="B132" s="257"/>
      <c r="C132" s="257"/>
      <c r="D132" s="257"/>
      <c r="E132" s="257"/>
      <c r="F132" s="257"/>
      <c r="G132" s="257"/>
      <c r="H132" s="257"/>
      <c r="I132" s="257"/>
      <c r="J132" s="257"/>
      <c r="K132" s="257"/>
      <c r="L132" s="257"/>
      <c r="M132" s="257"/>
      <c r="N132" s="302"/>
      <c r="O132" s="302"/>
      <c r="P132" s="302"/>
      <c r="Q132" s="257"/>
      <c r="R132" s="5"/>
    </row>
    <row r="133" spans="1:19" ht="18" thickBot="1" x14ac:dyDescent="0.35">
      <c r="A133" s="303"/>
      <c r="B133" s="239" t="str">
        <f>B65</f>
        <v>PM7 INVESTOR REPORT QUARTER ENDING OCTOBER 2013</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326"/>
      <c r="R134" s="5"/>
    </row>
    <row r="135" spans="1:19" ht="15.6" x14ac:dyDescent="0.3">
      <c r="A135" s="183"/>
      <c r="B135" s="196"/>
      <c r="C135" s="185"/>
      <c r="D135" s="185"/>
      <c r="E135" s="185"/>
      <c r="F135" s="185"/>
      <c r="G135" s="185"/>
      <c r="H135" s="185"/>
      <c r="I135" s="185"/>
      <c r="J135" s="185"/>
      <c r="K135" s="185"/>
      <c r="L135" s="185"/>
      <c r="M135" s="185"/>
      <c r="N135" s="185"/>
      <c r="O135" s="185"/>
      <c r="P135" s="201"/>
      <c r="Q135" s="185"/>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185"/>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190"/>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185"/>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190"/>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185"/>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155</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155</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-155</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190"/>
      <c r="R160" s="5"/>
    </row>
    <row r="161" spans="1:19" ht="15.6" x14ac:dyDescent="0.3">
      <c r="A161" s="180"/>
      <c r="B161" s="181"/>
      <c r="C161" s="181"/>
      <c r="D161" s="181"/>
      <c r="E161" s="181"/>
      <c r="F161" s="181"/>
      <c r="G161" s="181"/>
      <c r="H161" s="181"/>
      <c r="I161" s="181"/>
      <c r="J161" s="181"/>
      <c r="K161" s="181"/>
      <c r="L161" s="181"/>
      <c r="M161" s="181"/>
      <c r="N161" s="181"/>
      <c r="O161" s="181"/>
      <c r="P161" s="200"/>
      <c r="Q161" s="181"/>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185"/>
      <c r="R162" s="5"/>
    </row>
    <row r="163" spans="1:19" ht="15.6" x14ac:dyDescent="0.3">
      <c r="A163" s="183"/>
      <c r="B163" s="196"/>
      <c r="C163" s="185"/>
      <c r="D163" s="185"/>
      <c r="E163" s="185"/>
      <c r="F163" s="185"/>
      <c r="G163" s="185"/>
      <c r="H163" s="185"/>
      <c r="I163" s="185"/>
      <c r="J163" s="185"/>
      <c r="K163" s="185"/>
      <c r="L163" s="185"/>
      <c r="M163" s="185"/>
      <c r="N163" s="185"/>
      <c r="O163" s="185"/>
      <c r="P163" s="201"/>
      <c r="Q163" s="185"/>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371817</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371817.0608238671</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190"/>
      <c r="R167" s="5"/>
    </row>
    <row r="168" spans="1:19" ht="15.6" x14ac:dyDescent="0.3">
      <c r="A168" s="180"/>
      <c r="B168" s="181"/>
      <c r="C168" s="181"/>
      <c r="D168" s="181"/>
      <c r="E168" s="181"/>
      <c r="F168" s="181"/>
      <c r="G168" s="181"/>
      <c r="H168" s="181"/>
      <c r="I168" s="181"/>
      <c r="J168" s="181"/>
      <c r="K168" s="181"/>
      <c r="L168" s="181"/>
      <c r="M168" s="181"/>
      <c r="N168" s="181"/>
      <c r="O168" s="181"/>
      <c r="P168" s="200"/>
      <c r="Q168" s="181"/>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2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+'July 13'!M173</f>
        <v>88331</v>
      </c>
      <c r="N171" s="331">
        <f>+'July 13'!N173</f>
        <v>10223</v>
      </c>
      <c r="O171" s="261"/>
      <c r="P171" s="331">
        <f>M171+N171</f>
        <v>98554</v>
      </c>
      <c r="Q171" s="264"/>
      <c r="R171" s="5"/>
    </row>
    <row r="172" spans="1:19" ht="15.6" x14ac:dyDescent="0.3">
      <c r="A172" s="260"/>
      <c r="B172" s="261" t="s">
        <v>69</v>
      </c>
      <c r="C172" s="261"/>
      <c r="D172" s="261"/>
      <c r="E172" s="261"/>
      <c r="F172" s="261"/>
      <c r="G172" s="261"/>
      <c r="H172" s="261"/>
      <c r="I172" s="261"/>
      <c r="J172" s="261"/>
      <c r="K172" s="261"/>
      <c r="L172" s="261"/>
      <c r="M172" s="330">
        <v>183</v>
      </c>
      <c r="N172" s="330">
        <f>-N99-N122</f>
        <v>2</v>
      </c>
      <c r="O172" s="261"/>
      <c r="P172" s="331">
        <f>M172+N172</f>
        <v>185</v>
      </c>
      <c r="Q172" s="264"/>
      <c r="R172" s="5"/>
    </row>
    <row r="173" spans="1:19" ht="15.6" x14ac:dyDescent="0.3">
      <c r="A173" s="260"/>
      <c r="B173" s="261" t="s">
        <v>70</v>
      </c>
      <c r="C173" s="261"/>
      <c r="D173" s="261"/>
      <c r="E173" s="261"/>
      <c r="F173" s="261"/>
      <c r="G173" s="261"/>
      <c r="H173" s="261"/>
      <c r="I173" s="261"/>
      <c r="J173" s="261"/>
      <c r="K173" s="261"/>
      <c r="L173" s="261"/>
      <c r="M173" s="331">
        <f>M171+M172</f>
        <v>88514</v>
      </c>
      <c r="N173" s="331">
        <f>N172+N171</f>
        <v>10225</v>
      </c>
      <c r="O173" s="261"/>
      <c r="P173" s="331">
        <f>M173+N173</f>
        <v>98739</v>
      </c>
      <c r="Q173" s="264"/>
      <c r="R173" s="5"/>
    </row>
    <row r="174" spans="1:19" ht="15.6" x14ac:dyDescent="0.3">
      <c r="A174" s="260"/>
      <c r="B174" s="261" t="s">
        <v>71</v>
      </c>
      <c r="C174" s="261"/>
      <c r="D174" s="261"/>
      <c r="E174" s="261"/>
      <c r="F174" s="261"/>
      <c r="G174" s="261"/>
      <c r="H174" s="261"/>
      <c r="I174" s="261"/>
      <c r="J174" s="261"/>
      <c r="K174" s="261"/>
      <c r="L174" s="261"/>
      <c r="M174" s="331">
        <f>M170-M173-N173</f>
        <v>45261</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190"/>
      <c r="R175" s="5"/>
    </row>
    <row r="176" spans="1:19" ht="15.6" x14ac:dyDescent="0.3">
      <c r="A176" s="180"/>
      <c r="B176" s="181"/>
      <c r="C176" s="181"/>
      <c r="D176" s="181"/>
      <c r="E176" s="181"/>
      <c r="F176" s="181"/>
      <c r="G176" s="181"/>
      <c r="H176" s="181"/>
      <c r="I176" s="181"/>
      <c r="J176" s="181"/>
      <c r="K176" s="181"/>
      <c r="L176" s="181"/>
      <c r="M176" s="181"/>
      <c r="N176" s="181"/>
      <c r="O176" s="181"/>
      <c r="P176" s="200"/>
      <c r="Q176" s="181"/>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185"/>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2.8069738480697386</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1.53</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3.2533632286995515</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2.52</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190"/>
      <c r="R183" s="5"/>
    </row>
    <row r="184" spans="1:18" ht="15.6" x14ac:dyDescent="0.3">
      <c r="A184" s="183"/>
      <c r="B184" s="185"/>
      <c r="C184" s="185"/>
      <c r="D184" s="185"/>
      <c r="E184" s="185"/>
      <c r="F184" s="185"/>
      <c r="G184" s="185"/>
      <c r="H184" s="185"/>
      <c r="I184" s="185"/>
      <c r="J184" s="185"/>
      <c r="K184" s="185"/>
      <c r="L184" s="185"/>
      <c r="M184" s="185"/>
      <c r="N184" s="185"/>
      <c r="O184" s="185"/>
      <c r="P184" s="185"/>
      <c r="Q184" s="185"/>
      <c r="R184" s="5"/>
    </row>
    <row r="185" spans="1:18" ht="18" thickBot="1" x14ac:dyDescent="0.35">
      <c r="A185" s="199"/>
      <c r="B185" s="239" t="str">
        <f>B133</f>
        <v>PM7 INVESTOR REPORT QUARTER ENDING OCTOBER 2013</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41578</v>
      </c>
      <c r="O186" s="326"/>
      <c r="P186" s="326"/>
      <c r="Q186" s="326"/>
      <c r="R186" s="5"/>
    </row>
    <row r="187" spans="1:18" ht="15.6" x14ac:dyDescent="0.3">
      <c r="A187" s="217"/>
      <c r="B187" s="218"/>
      <c r="C187" s="219"/>
      <c r="D187" s="219"/>
      <c r="E187" s="220"/>
      <c r="F187" s="220"/>
      <c r="G187" s="220"/>
      <c r="H187" s="220"/>
      <c r="I187" s="220"/>
      <c r="J187" s="220"/>
      <c r="K187" s="220"/>
      <c r="L187" s="220"/>
      <c r="M187" s="220"/>
      <c r="N187" s="220"/>
      <c r="O187" s="185"/>
      <c r="P187" s="185"/>
      <c r="Q187" s="185"/>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2.324E-2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1.3181831367939156E-2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1.0058168632060844E-2</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6.5218779602567245E-3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12.98</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1.1122582567879685E-2</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0.1051</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190"/>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252"/>
      <c r="R205" s="5"/>
    </row>
    <row r="206" spans="1:18" ht="15.6" x14ac:dyDescent="0.3">
      <c r="A206" s="221"/>
      <c r="B206" s="230" t="s">
        <v>87</v>
      </c>
      <c r="C206" s="235"/>
      <c r="D206" s="230"/>
      <c r="E206" s="230"/>
      <c r="F206" s="234"/>
      <c r="G206" s="234"/>
      <c r="H206" s="234"/>
      <c r="I206" s="234"/>
      <c r="J206" s="234"/>
      <c r="K206" s="234"/>
      <c r="L206" s="234"/>
      <c r="M206" s="234">
        <v>4</v>
      </c>
      <c r="N206" s="305">
        <v>137</v>
      </c>
      <c r="O206" s="230"/>
      <c r="P206" s="306"/>
      <c r="Q206" s="307"/>
      <c r="R206" s="5"/>
    </row>
    <row r="207" spans="1:18" ht="15.6" x14ac:dyDescent="0.3">
      <c r="A207" s="351"/>
      <c r="B207" s="261" t="s">
        <v>203</v>
      </c>
      <c r="C207" s="330"/>
      <c r="D207" s="261"/>
      <c r="E207" s="261"/>
      <c r="F207" s="268"/>
      <c r="G207" s="268"/>
      <c r="H207" s="268"/>
      <c r="I207" s="268"/>
      <c r="J207" s="268"/>
      <c r="K207" s="268"/>
      <c r="L207" s="268"/>
      <c r="M207" s="352">
        <f>+L255</f>
        <v>42</v>
      </c>
      <c r="N207" s="353">
        <f>+N255</f>
        <v>7208</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1</v>
      </c>
      <c r="N208" s="353">
        <f>+N266</f>
        <v>38</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155</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'July 13'!N213+'Oct 13'!N212</f>
        <v>5646</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1</v>
      </c>
      <c r="N219" s="353">
        <v>390</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350"/>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393"/>
      <c r="R224" s="5"/>
    </row>
    <row r="225" spans="1:18" ht="15.6" x14ac:dyDescent="0.3">
      <c r="A225" s="198"/>
      <c r="B225" s="235" t="s">
        <v>98</v>
      </c>
      <c r="C225" s="309"/>
      <c r="D225" s="230"/>
      <c r="E225" s="309"/>
      <c r="F225" s="309"/>
      <c r="G225" s="309"/>
      <c r="H225" s="309"/>
      <c r="I225" s="309"/>
      <c r="J225" s="309"/>
      <c r="K225" s="309"/>
      <c r="L225" s="330">
        <f t="shared" ref="L225:L232" si="1">+L236+L247+L258</f>
        <v>3211</v>
      </c>
      <c r="M225" s="382">
        <f t="shared" ref="M225:M232" si="2">L225/$L$233</f>
        <v>0.99135535659154062</v>
      </c>
      <c r="N225" s="331">
        <f t="shared" ref="N225:N232" si="3">+N236+N247+N258</f>
        <v>369670</v>
      </c>
      <c r="O225" s="382">
        <f t="shared" ref="O225:O232" si="4">N225/$N$233</f>
        <v>0.99422565401797125</v>
      </c>
      <c r="P225" s="306"/>
      <c r="Q225" s="233"/>
      <c r="R225" s="5"/>
    </row>
    <row r="226" spans="1:18" ht="15.6" x14ac:dyDescent="0.3">
      <c r="A226" s="260"/>
      <c r="B226" s="330" t="s">
        <v>99</v>
      </c>
      <c r="C226" s="381"/>
      <c r="D226" s="261"/>
      <c r="E226" s="382"/>
      <c r="F226" s="381"/>
      <c r="G226" s="381"/>
      <c r="H226" s="381"/>
      <c r="I226" s="381"/>
      <c r="J226" s="381"/>
      <c r="K226" s="381"/>
      <c r="L226" s="330">
        <f t="shared" si="1"/>
        <v>10</v>
      </c>
      <c r="M226" s="382">
        <f t="shared" si="2"/>
        <v>3.0873726458783574E-3</v>
      </c>
      <c r="N226" s="331">
        <f t="shared" si="3"/>
        <v>712</v>
      </c>
      <c r="O226" s="382">
        <f t="shared" si="4"/>
        <v>1.9149205119722873E-3</v>
      </c>
      <c r="P226" s="354"/>
      <c r="Q226" s="373"/>
      <c r="R226" s="5"/>
    </row>
    <row r="227" spans="1:18" ht="15.6" x14ac:dyDescent="0.3">
      <c r="A227" s="260"/>
      <c r="B227" s="330" t="s">
        <v>100</v>
      </c>
      <c r="C227" s="381"/>
      <c r="D227" s="261"/>
      <c r="E227" s="382"/>
      <c r="F227" s="381"/>
      <c r="G227" s="381"/>
      <c r="H227" s="381"/>
      <c r="I227" s="381"/>
      <c r="J227" s="381"/>
      <c r="K227" s="381"/>
      <c r="L227" s="330">
        <f t="shared" si="1"/>
        <v>1</v>
      </c>
      <c r="M227" s="382">
        <f t="shared" si="2"/>
        <v>3.0873726458783575E-4</v>
      </c>
      <c r="N227" s="331">
        <f t="shared" si="3"/>
        <v>54</v>
      </c>
      <c r="O227" s="382">
        <f t="shared" si="4"/>
        <v>1.4523273545857237E-4</v>
      </c>
      <c r="P227" s="354"/>
      <c r="Q227" s="373"/>
      <c r="R227" s="5"/>
    </row>
    <row r="228" spans="1:18" ht="15.6" x14ac:dyDescent="0.3">
      <c r="A228" s="260"/>
      <c r="B228" s="330" t="s">
        <v>227</v>
      </c>
      <c r="C228" s="381"/>
      <c r="D228" s="261"/>
      <c r="E228" s="382"/>
      <c r="F228" s="381"/>
      <c r="G228" s="381"/>
      <c r="H228" s="381"/>
      <c r="I228" s="381"/>
      <c r="J228" s="381"/>
      <c r="K228" s="381"/>
      <c r="L228" s="330">
        <f t="shared" si="1"/>
        <v>4</v>
      </c>
      <c r="M228" s="382">
        <f t="shared" si="2"/>
        <v>1.234949058351343E-3</v>
      </c>
      <c r="N228" s="331">
        <f t="shared" si="3"/>
        <v>280</v>
      </c>
      <c r="O228" s="382">
        <f t="shared" si="4"/>
        <v>7.5305862830370857E-4</v>
      </c>
      <c r="P228" s="354"/>
      <c r="Q228" s="373"/>
      <c r="R228" s="5"/>
    </row>
    <row r="229" spans="1:18" ht="15.6" x14ac:dyDescent="0.3">
      <c r="A229" s="260"/>
      <c r="B229" s="330" t="s">
        <v>228</v>
      </c>
      <c r="C229" s="381"/>
      <c r="D229" s="261"/>
      <c r="E229" s="382"/>
      <c r="F229" s="381"/>
      <c r="G229" s="381"/>
      <c r="H229" s="381"/>
      <c r="I229" s="381"/>
      <c r="J229" s="381"/>
      <c r="K229" s="381"/>
      <c r="L229" s="330">
        <f t="shared" si="1"/>
        <v>3</v>
      </c>
      <c r="M229" s="382">
        <f t="shared" si="2"/>
        <v>9.2621179376350721E-4</v>
      </c>
      <c r="N229" s="331">
        <f t="shared" si="3"/>
        <v>91</v>
      </c>
      <c r="O229" s="382">
        <f t="shared" si="4"/>
        <v>2.4474405419870528E-4</v>
      </c>
      <c r="P229" s="354"/>
      <c r="Q229" s="373"/>
      <c r="R229" s="5"/>
    </row>
    <row r="230" spans="1:18" ht="15.6" x14ac:dyDescent="0.3">
      <c r="A230" s="260"/>
      <c r="B230" s="330" t="s">
        <v>229</v>
      </c>
      <c r="C230" s="381"/>
      <c r="D230" s="261"/>
      <c r="E230" s="382"/>
      <c r="F230" s="381"/>
      <c r="G230" s="381"/>
      <c r="H230" s="381"/>
      <c r="I230" s="381"/>
      <c r="J230" s="381"/>
      <c r="K230" s="381"/>
      <c r="L230" s="330">
        <f t="shared" si="1"/>
        <v>0</v>
      </c>
      <c r="M230" s="382">
        <f t="shared" si="2"/>
        <v>0</v>
      </c>
      <c r="N230" s="331">
        <f t="shared" si="3"/>
        <v>0</v>
      </c>
      <c r="O230" s="382">
        <f t="shared" si="4"/>
        <v>0</v>
      </c>
      <c r="P230" s="354"/>
      <c r="Q230" s="373"/>
      <c r="R230" s="5"/>
    </row>
    <row r="231" spans="1:18" ht="15.6" x14ac:dyDescent="0.3">
      <c r="A231" s="260"/>
      <c r="B231" s="330" t="s">
        <v>230</v>
      </c>
      <c r="C231" s="381"/>
      <c r="D231" s="261"/>
      <c r="E231" s="382"/>
      <c r="F231" s="381"/>
      <c r="G231" s="381"/>
      <c r="H231" s="381"/>
      <c r="I231" s="381"/>
      <c r="J231" s="381"/>
      <c r="K231" s="381"/>
      <c r="L231" s="330">
        <f t="shared" si="1"/>
        <v>6</v>
      </c>
      <c r="M231" s="382">
        <f t="shared" si="2"/>
        <v>1.8524235875270144E-3</v>
      </c>
      <c r="N231" s="331">
        <f t="shared" si="3"/>
        <v>379</v>
      </c>
      <c r="O231" s="382">
        <f t="shared" si="4"/>
        <v>1.0193186433110912E-3</v>
      </c>
      <c r="P231" s="354"/>
      <c r="Q231" s="373"/>
      <c r="R231" s="5"/>
    </row>
    <row r="232" spans="1:18" ht="15.6" x14ac:dyDescent="0.3">
      <c r="A232" s="260"/>
      <c r="B232" s="330" t="s">
        <v>231</v>
      </c>
      <c r="C232" s="381"/>
      <c r="D232" s="261"/>
      <c r="E232" s="382"/>
      <c r="F232" s="381"/>
      <c r="G232" s="381"/>
      <c r="H232" s="381"/>
      <c r="I232" s="381"/>
      <c r="J232" s="381"/>
      <c r="K232" s="381"/>
      <c r="L232" s="330">
        <f t="shared" si="1"/>
        <v>4</v>
      </c>
      <c r="M232" s="382">
        <f t="shared" si="2"/>
        <v>1.234949058351343E-3</v>
      </c>
      <c r="N232" s="331">
        <f t="shared" si="3"/>
        <v>631</v>
      </c>
      <c r="O232" s="382">
        <f t="shared" si="4"/>
        <v>1.6970714087844289E-3</v>
      </c>
      <c r="P232" s="354"/>
      <c r="Q232" s="373"/>
      <c r="R232" s="5"/>
    </row>
    <row r="233" spans="1:18" ht="15.6" x14ac:dyDescent="0.3">
      <c r="A233" s="260"/>
      <c r="B233" s="261" t="s">
        <v>129</v>
      </c>
      <c r="C233" s="261"/>
      <c r="D233" s="261"/>
      <c r="E233" s="261"/>
      <c r="F233" s="383"/>
      <c r="G233" s="383"/>
      <c r="H233" s="383"/>
      <c r="I233" s="383"/>
      <c r="J233" s="383"/>
      <c r="K233" s="383"/>
      <c r="L233" s="330">
        <f>SUM(L225:L232)</f>
        <v>3239</v>
      </c>
      <c r="M233" s="382">
        <f>SUM(M225:M232)</f>
        <v>0.99999999999999989</v>
      </c>
      <c r="N233" s="330">
        <f>SUM(N225:N232)</f>
        <v>371817</v>
      </c>
      <c r="O233" s="382">
        <f>SUM(O225:O232)</f>
        <v>0.99999999999999989</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350"/>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393"/>
      <c r="R235" s="5"/>
    </row>
    <row r="236" spans="1:18" ht="15.6" x14ac:dyDescent="0.3">
      <c r="A236" s="198"/>
      <c r="B236" s="235" t="s">
        <v>98</v>
      </c>
      <c r="C236" s="309"/>
      <c r="D236" s="230"/>
      <c r="E236" s="309"/>
      <c r="F236" s="309"/>
      <c r="G236" s="309"/>
      <c r="H236" s="309"/>
      <c r="I236" s="309"/>
      <c r="J236" s="309"/>
      <c r="K236" s="309"/>
      <c r="L236" s="235">
        <v>3174</v>
      </c>
      <c r="M236" s="310">
        <f t="shared" ref="M236:M243" si="5">L236/$L$244</f>
        <v>0.99311639549436792</v>
      </c>
      <c r="N236" s="300">
        <v>363448</v>
      </c>
      <c r="O236" s="310">
        <f t="shared" ref="O236:O243" si="6">N236/$N$244</f>
        <v>0.99691966722531411</v>
      </c>
      <c r="P236" s="306"/>
      <c r="Q236" s="233"/>
      <c r="R236" s="5"/>
    </row>
    <row r="237" spans="1:18" ht="15.6" x14ac:dyDescent="0.3">
      <c r="A237" s="260"/>
      <c r="B237" s="330" t="s">
        <v>99</v>
      </c>
      <c r="C237" s="381"/>
      <c r="D237" s="261"/>
      <c r="E237" s="382"/>
      <c r="F237" s="381"/>
      <c r="G237" s="381"/>
      <c r="H237" s="381"/>
      <c r="I237" s="381"/>
      <c r="J237" s="381"/>
      <c r="K237" s="381"/>
      <c r="L237" s="330">
        <v>10</v>
      </c>
      <c r="M237" s="382">
        <f t="shared" si="5"/>
        <v>3.1289111389236545E-3</v>
      </c>
      <c r="N237" s="331">
        <v>712</v>
      </c>
      <c r="O237" s="382">
        <f t="shared" si="6"/>
        <v>1.9529803522496303E-3</v>
      </c>
      <c r="P237" s="354"/>
      <c r="Q237" s="373"/>
      <c r="R237" s="5"/>
    </row>
    <row r="238" spans="1:18" ht="15.6" x14ac:dyDescent="0.3">
      <c r="A238" s="260"/>
      <c r="B238" s="330" t="s">
        <v>100</v>
      </c>
      <c r="C238" s="381"/>
      <c r="D238" s="261"/>
      <c r="E238" s="382"/>
      <c r="F238" s="381"/>
      <c r="G238" s="381"/>
      <c r="H238" s="381"/>
      <c r="I238" s="381"/>
      <c r="J238" s="381"/>
      <c r="K238" s="381"/>
      <c r="L238" s="330">
        <v>1</v>
      </c>
      <c r="M238" s="382">
        <f t="shared" si="5"/>
        <v>3.1289111389236547E-4</v>
      </c>
      <c r="N238" s="331">
        <v>54</v>
      </c>
      <c r="O238" s="382">
        <f t="shared" si="6"/>
        <v>1.4811929637848319E-4</v>
      </c>
      <c r="P238" s="354"/>
      <c r="Q238" s="373"/>
      <c r="R238" s="5"/>
    </row>
    <row r="239" spans="1:18" ht="15.6" x14ac:dyDescent="0.3">
      <c r="A239" s="260"/>
      <c r="B239" s="330" t="s">
        <v>227</v>
      </c>
      <c r="C239" s="381"/>
      <c r="D239" s="261"/>
      <c r="E239" s="382"/>
      <c r="F239" s="381"/>
      <c r="G239" s="381"/>
      <c r="H239" s="381"/>
      <c r="I239" s="381"/>
      <c r="J239" s="381"/>
      <c r="K239" s="381"/>
      <c r="L239" s="330">
        <v>3</v>
      </c>
      <c r="M239" s="382">
        <f t="shared" si="5"/>
        <v>9.3867334167709634E-4</v>
      </c>
      <c r="N239" s="331">
        <v>97</v>
      </c>
      <c r="O239" s="382">
        <f t="shared" si="6"/>
        <v>2.6606614349468279E-4</v>
      </c>
      <c r="P239" s="354"/>
      <c r="Q239" s="373"/>
      <c r="R239" s="5"/>
    </row>
    <row r="240" spans="1:18" ht="15.6" x14ac:dyDescent="0.3">
      <c r="A240" s="260"/>
      <c r="B240" s="330" t="s">
        <v>228</v>
      </c>
      <c r="C240" s="381"/>
      <c r="D240" s="261"/>
      <c r="E240" s="382"/>
      <c r="F240" s="381"/>
      <c r="G240" s="381"/>
      <c r="H240" s="381"/>
      <c r="I240" s="381"/>
      <c r="J240" s="381"/>
      <c r="K240" s="381"/>
      <c r="L240" s="330">
        <v>3</v>
      </c>
      <c r="M240" s="382">
        <f t="shared" si="5"/>
        <v>9.3867334167709634E-4</v>
      </c>
      <c r="N240" s="331">
        <v>91</v>
      </c>
      <c r="O240" s="382">
        <f t="shared" si="6"/>
        <v>2.4960844389707357E-4</v>
      </c>
      <c r="P240" s="354"/>
      <c r="Q240" s="373"/>
      <c r="R240" s="5"/>
    </row>
    <row r="241" spans="1:18" ht="15.6" x14ac:dyDescent="0.3">
      <c r="A241" s="260"/>
      <c r="B241" s="330" t="s">
        <v>229</v>
      </c>
      <c r="C241" s="381"/>
      <c r="D241" s="261"/>
      <c r="E241" s="382"/>
      <c r="F241" s="381"/>
      <c r="G241" s="381"/>
      <c r="H241" s="381"/>
      <c r="I241" s="381"/>
      <c r="J241" s="381"/>
      <c r="K241" s="381"/>
      <c r="L241" s="330">
        <v>0</v>
      </c>
      <c r="M241" s="382">
        <f t="shared" si="5"/>
        <v>0</v>
      </c>
      <c r="N241" s="331">
        <v>0</v>
      </c>
      <c r="O241" s="382">
        <f t="shared" si="6"/>
        <v>0</v>
      </c>
      <c r="P241" s="354"/>
      <c r="Q241" s="373"/>
      <c r="R241" s="5"/>
    </row>
    <row r="242" spans="1:18" ht="15.6" x14ac:dyDescent="0.3">
      <c r="A242" s="260"/>
      <c r="B242" s="330" t="s">
        <v>230</v>
      </c>
      <c r="C242" s="381"/>
      <c r="D242" s="261"/>
      <c r="E242" s="382"/>
      <c r="F242" s="381"/>
      <c r="G242" s="381"/>
      <c r="H242" s="381"/>
      <c r="I242" s="381"/>
      <c r="J242" s="381"/>
      <c r="K242" s="381"/>
      <c r="L242" s="330">
        <v>4</v>
      </c>
      <c r="M242" s="382">
        <f t="shared" si="5"/>
        <v>1.2515644555694619E-3</v>
      </c>
      <c r="N242" s="331">
        <v>158</v>
      </c>
      <c r="O242" s="382">
        <f t="shared" si="6"/>
        <v>4.3338608940371009E-4</v>
      </c>
      <c r="P242" s="354"/>
      <c r="Q242" s="373"/>
      <c r="R242" s="5"/>
    </row>
    <row r="243" spans="1:18" ht="15.6" x14ac:dyDescent="0.3">
      <c r="A243" s="260"/>
      <c r="B243" s="330" t="s">
        <v>231</v>
      </c>
      <c r="C243" s="381"/>
      <c r="D243" s="261"/>
      <c r="E243" s="382"/>
      <c r="F243" s="381"/>
      <c r="G243" s="381"/>
      <c r="H243" s="381"/>
      <c r="I243" s="381"/>
      <c r="J243" s="381"/>
      <c r="K243" s="381"/>
      <c r="L243" s="330">
        <v>1</v>
      </c>
      <c r="M243" s="382">
        <f t="shared" si="5"/>
        <v>3.1289111389236547E-4</v>
      </c>
      <c r="N243" s="331">
        <v>11</v>
      </c>
      <c r="O243" s="382">
        <f t="shared" si="6"/>
        <v>3.0172449262283617E-5</v>
      </c>
      <c r="P243" s="354"/>
      <c r="Q243" s="373"/>
      <c r="R243" s="5"/>
    </row>
    <row r="244" spans="1:18" ht="15.6" x14ac:dyDescent="0.3">
      <c r="A244" s="260"/>
      <c r="B244" s="261" t="s">
        <v>129</v>
      </c>
      <c r="C244" s="261"/>
      <c r="D244" s="261"/>
      <c r="E244" s="261"/>
      <c r="F244" s="383"/>
      <c r="G244" s="383"/>
      <c r="H244" s="383"/>
      <c r="I244" s="383"/>
      <c r="J244" s="383"/>
      <c r="K244" s="383"/>
      <c r="L244" s="330">
        <f>SUM(L236:L243)</f>
        <v>3196</v>
      </c>
      <c r="M244" s="382">
        <f>SUM(M236:M243)</f>
        <v>0.99999999999999989</v>
      </c>
      <c r="N244" s="331">
        <f>SUM(N236:N243)</f>
        <v>364571</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257"/>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37</v>
      </c>
      <c r="M247" s="310">
        <f t="shared" ref="M247:M254" si="7">L247/$L$255</f>
        <v>0.88095238095238093</v>
      </c>
      <c r="N247" s="300">
        <v>6222</v>
      </c>
      <c r="O247" s="310">
        <f t="shared" ref="O247:O254" si="8">N247/$N$255</f>
        <v>0.8632075471698113</v>
      </c>
      <c r="P247" s="306"/>
      <c r="Q247" s="230"/>
      <c r="R247" s="5"/>
    </row>
    <row r="248" spans="1:18" ht="15.6" x14ac:dyDescent="0.3">
      <c r="A248" s="260"/>
      <c r="B248" s="330" t="s">
        <v>99</v>
      </c>
      <c r="C248" s="381"/>
      <c r="D248" s="261"/>
      <c r="E248" s="382"/>
      <c r="F248" s="381"/>
      <c r="G248" s="381"/>
      <c r="H248" s="381"/>
      <c r="I248" s="381"/>
      <c r="J248" s="381"/>
      <c r="K248" s="381"/>
      <c r="L248" s="330">
        <v>0</v>
      </c>
      <c r="M248" s="382">
        <f t="shared" si="7"/>
        <v>0</v>
      </c>
      <c r="N248" s="331">
        <v>0</v>
      </c>
      <c r="O248" s="382">
        <f t="shared" si="8"/>
        <v>0</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1</v>
      </c>
      <c r="M250" s="382">
        <f t="shared" si="7"/>
        <v>2.3809523809523808E-2</v>
      </c>
      <c r="N250" s="331">
        <v>183</v>
      </c>
      <c r="O250" s="382">
        <f t="shared" si="8"/>
        <v>2.5388457269700335E-2</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1</v>
      </c>
      <c r="M253" s="382">
        <f t="shared" si="7"/>
        <v>2.3809523809523808E-2</v>
      </c>
      <c r="N253" s="331">
        <v>183</v>
      </c>
      <c r="O253" s="382">
        <f t="shared" si="8"/>
        <v>2.5388457269700335E-2</v>
      </c>
      <c r="P253" s="354"/>
      <c r="Q253" s="264"/>
      <c r="R253" s="5"/>
    </row>
    <row r="254" spans="1:18" ht="15.6" x14ac:dyDescent="0.3">
      <c r="A254" s="260"/>
      <c r="B254" s="330" t="s">
        <v>231</v>
      </c>
      <c r="C254" s="381"/>
      <c r="D254" s="261"/>
      <c r="E254" s="382"/>
      <c r="F254" s="381"/>
      <c r="G254" s="381"/>
      <c r="H254" s="381"/>
      <c r="I254" s="381"/>
      <c r="J254" s="381"/>
      <c r="K254" s="381"/>
      <c r="L254" s="330">
        <v>3</v>
      </c>
      <c r="M254" s="382">
        <f t="shared" si="7"/>
        <v>7.1428571428571425E-2</v>
      </c>
      <c r="N254" s="331">
        <v>620</v>
      </c>
      <c r="O254" s="382">
        <f t="shared" si="8"/>
        <v>8.6015538290788007E-2</v>
      </c>
      <c r="P254" s="354"/>
      <c r="Q254" s="264"/>
      <c r="R254" s="5"/>
    </row>
    <row r="255" spans="1:18" ht="15.6" x14ac:dyDescent="0.3">
      <c r="A255" s="260"/>
      <c r="B255" s="261" t="s">
        <v>129</v>
      </c>
      <c r="C255" s="261"/>
      <c r="D255" s="261"/>
      <c r="E255" s="261"/>
      <c r="F255" s="383"/>
      <c r="G255" s="383"/>
      <c r="H255" s="383"/>
      <c r="I255" s="383"/>
      <c r="J255" s="383"/>
      <c r="K255" s="383"/>
      <c r="L255" s="330">
        <f>SUM(L247:L254)</f>
        <v>42</v>
      </c>
      <c r="M255" s="382">
        <f>SUM(M247:M254)</f>
        <v>1</v>
      </c>
      <c r="N255" s="331">
        <f>SUM(N247:N254)</f>
        <v>7208</v>
      </c>
      <c r="O255" s="382">
        <f>SUM(O247:O254)</f>
        <v>0.99999999999999989</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257"/>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230"/>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1</v>
      </c>
      <c r="M264" s="382">
        <f>L264/L266</f>
        <v>1</v>
      </c>
      <c r="N264" s="331">
        <v>38</v>
      </c>
      <c r="O264" s="382">
        <f>N264/N266</f>
        <v>1</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1</v>
      </c>
      <c r="M266" s="382">
        <f>SUM(M258:M265)</f>
        <v>1</v>
      </c>
      <c r="N266" s="331">
        <f>SUM(N258:N265)</f>
        <v>38</v>
      </c>
      <c r="O266" s="382">
        <f>SUM(O258:O265)</f>
        <v>1</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3239</v>
      </c>
      <c r="M268" s="382"/>
      <c r="N268" s="386">
        <f>+N266+N255+N244</f>
        <v>371817</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257"/>
      <c r="R269" s="5"/>
    </row>
    <row r="270" spans="1:18" ht="15.6" x14ac:dyDescent="0.3">
      <c r="A270" s="183"/>
      <c r="B270" s="236"/>
      <c r="C270" s="236"/>
      <c r="D270" s="236"/>
      <c r="E270" s="236"/>
      <c r="F270" s="311"/>
      <c r="G270" s="311"/>
      <c r="H270" s="311"/>
      <c r="I270" s="311"/>
      <c r="J270" s="311"/>
      <c r="K270" s="311"/>
      <c r="L270" s="311"/>
      <c r="M270" s="311"/>
      <c r="N270" s="312"/>
      <c r="O270" s="311"/>
      <c r="P270" s="236"/>
      <c r="Q270" s="236"/>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249"/>
      <c r="R271" s="5"/>
    </row>
    <row r="272" spans="1:18" ht="15.6" x14ac:dyDescent="0.3">
      <c r="A272" s="225"/>
      <c r="B272" s="249"/>
      <c r="C272" s="236"/>
      <c r="D272" s="236"/>
      <c r="E272" s="236"/>
      <c r="F272" s="236"/>
      <c r="G272" s="236"/>
      <c r="H272" s="236"/>
      <c r="I272" s="249"/>
      <c r="J272" s="249"/>
      <c r="K272" s="249"/>
      <c r="L272" s="249"/>
      <c r="M272" s="249"/>
      <c r="N272" s="249"/>
      <c r="O272" s="249"/>
      <c r="P272" s="249"/>
      <c r="Q272" s="249"/>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249"/>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249"/>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5.6" x14ac:dyDescent="0.3">
      <c r="A277" s="225"/>
      <c r="B277" s="228"/>
      <c r="C277" s="228"/>
      <c r="D277" s="228"/>
      <c r="E277" s="314"/>
      <c r="F277" s="249"/>
      <c r="G277" s="249"/>
      <c r="H277" s="249"/>
      <c r="I277" s="249"/>
      <c r="J277" s="249"/>
      <c r="K277" s="249"/>
      <c r="L277" s="249"/>
      <c r="M277" s="249"/>
      <c r="N277" s="249"/>
      <c r="O277" s="249"/>
      <c r="P277" s="249"/>
      <c r="Q277" s="249"/>
      <c r="R277" s="5"/>
    </row>
    <row r="278" spans="1:18" ht="18" thickBot="1" x14ac:dyDescent="0.35">
      <c r="A278" s="225"/>
      <c r="B278" s="315" t="str">
        <f>B185</f>
        <v>PM7 INVESTOR REPORT QUARTER ENDING OCTOBER 2013</v>
      </c>
      <c r="C278" s="228"/>
      <c r="D278" s="228"/>
      <c r="E278" s="314"/>
      <c r="F278" s="249"/>
      <c r="G278" s="249"/>
      <c r="H278" s="249"/>
      <c r="I278" s="249"/>
      <c r="J278" s="249"/>
      <c r="K278" s="249"/>
      <c r="L278" s="249"/>
      <c r="M278" s="249"/>
      <c r="N278" s="249"/>
      <c r="O278" s="249"/>
      <c r="P278" s="249"/>
      <c r="Q278" s="24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7" man="1"/>
    <brk id="133" max="14" man="1"/>
    <brk id="185" max="14" man="1"/>
    <brk id="278" max="17" man="1"/>
  </row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0.96020000000000005</v>
      </c>
      <c r="N17" s="246" t="s">
        <v>173</v>
      </c>
      <c r="O17" s="245">
        <v>3.9800000000000002E-2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41694</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175</v>
      </c>
      <c r="E27" s="392"/>
      <c r="F27" s="392" t="s">
        <v>175</v>
      </c>
      <c r="G27" s="392"/>
      <c r="H27" s="392" t="s">
        <v>175</v>
      </c>
      <c r="I27" s="392"/>
      <c r="J27" s="392" t="s">
        <v>176</v>
      </c>
      <c r="K27" s="392"/>
      <c r="L27" s="392" t="s">
        <v>176</v>
      </c>
      <c r="M27" s="392"/>
      <c r="N27" s="262"/>
      <c r="O27" s="263"/>
      <c r="P27" s="263"/>
      <c r="Q27" s="264"/>
      <c r="R27" s="5"/>
    </row>
    <row r="28" spans="1:19" ht="15.6" x14ac:dyDescent="0.3">
      <c r="A28" s="265"/>
      <c r="B28" s="266" t="s">
        <v>10</v>
      </c>
      <c r="C28" s="392"/>
      <c r="D28" s="392" t="s">
        <v>178</v>
      </c>
      <c r="E28" s="392"/>
      <c r="F28" s="392" t="s">
        <v>178</v>
      </c>
      <c r="G28" s="392"/>
      <c r="H28" s="392" t="s">
        <v>178</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165086.23500000002</v>
      </c>
      <c r="E34" s="271"/>
      <c r="F34" s="272">
        <f>+F33*F40</f>
        <v>80685.527999999991</v>
      </c>
      <c r="G34" s="271"/>
      <c r="H34" s="273">
        <f>+H33*H40</f>
        <v>183440.75</v>
      </c>
      <c r="I34" s="271"/>
      <c r="J34" s="270">
        <f>J33*J40</f>
        <v>68114.037750000003</v>
      </c>
      <c r="K34" s="271"/>
      <c r="L34" s="273">
        <f>L33*L40</f>
        <v>53665.566500000001</v>
      </c>
      <c r="M34" s="271"/>
      <c r="N34" s="271"/>
      <c r="O34" s="274"/>
      <c r="P34" s="271"/>
      <c r="Q34" s="275"/>
      <c r="R34" s="5"/>
    </row>
    <row r="35" spans="1:19" ht="15.6" x14ac:dyDescent="0.3">
      <c r="A35" s="265"/>
      <c r="B35" s="266" t="s">
        <v>158</v>
      </c>
      <c r="C35" s="276"/>
      <c r="D35" s="277">
        <f>+D33*D39</f>
        <v>163886.715</v>
      </c>
      <c r="E35" s="278"/>
      <c r="F35" s="279">
        <f>+F33*F39</f>
        <v>80099.271999999997</v>
      </c>
      <c r="G35" s="278"/>
      <c r="H35" s="280">
        <f>+H33*H39</f>
        <v>182107.84999999998</v>
      </c>
      <c r="I35" s="278"/>
      <c r="J35" s="277">
        <f>J33*J39</f>
        <v>67619.120250000007</v>
      </c>
      <c r="K35" s="278"/>
      <c r="L35" s="280">
        <f>L33*L39</f>
        <v>53275.631500000003</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92797.209106239476</v>
      </c>
      <c r="E37" s="271"/>
      <c r="F37" s="271">
        <f>+F34</f>
        <v>80685.527999999991</v>
      </c>
      <c r="G37" s="271"/>
      <c r="H37" s="271">
        <f>+H34/1.481481</f>
        <v>123822.5464923276</v>
      </c>
      <c r="I37" s="271"/>
      <c r="J37" s="271">
        <f>J36*J40</f>
        <v>38287.519837799999</v>
      </c>
      <c r="K37" s="271"/>
      <c r="L37" s="271">
        <f>L36*L40</f>
        <v>36224.257387500002</v>
      </c>
      <c r="M37" s="271"/>
      <c r="N37" s="271"/>
      <c r="O37" s="274"/>
      <c r="P37" s="271">
        <f>SUM(C37:L37)</f>
        <v>371817.0608238671</v>
      </c>
      <c r="Q37" s="275"/>
      <c r="R37" s="5"/>
      <c r="S37" s="154"/>
    </row>
    <row r="38" spans="1:19" ht="15.6" x14ac:dyDescent="0.3">
      <c r="A38" s="265"/>
      <c r="B38" s="266" t="s">
        <v>281</v>
      </c>
      <c r="C38" s="276"/>
      <c r="D38" s="278">
        <f>D35/1.779</f>
        <v>92122.942664418209</v>
      </c>
      <c r="E38" s="278"/>
      <c r="F38" s="278">
        <f>+F35</f>
        <v>80099.271999999997</v>
      </c>
      <c r="G38" s="278"/>
      <c r="H38" s="278">
        <f>H35/1.481481</f>
        <v>122922.83869992256</v>
      </c>
      <c r="I38" s="278"/>
      <c r="J38" s="278">
        <f>J36*J39</f>
        <v>38009.322211799998</v>
      </c>
      <c r="K38" s="278"/>
      <c r="L38" s="278">
        <f>L36*L39</f>
        <v>35961.051262499997</v>
      </c>
      <c r="M38" s="278"/>
      <c r="N38" s="278"/>
      <c r="O38" s="281"/>
      <c r="P38" s="278">
        <f>SUM(D38:L38)</f>
        <v>369115.42683864071</v>
      </c>
      <c r="Q38" s="275"/>
      <c r="R38" s="5"/>
      <c r="S38" s="176"/>
    </row>
    <row r="39" spans="1:19" ht="15.6" x14ac:dyDescent="0.3">
      <c r="A39" s="265"/>
      <c r="B39" s="282" t="s">
        <v>154</v>
      </c>
      <c r="C39" s="283"/>
      <c r="D39" s="284">
        <v>0.36419269999999998</v>
      </c>
      <c r="E39" s="284"/>
      <c r="F39" s="284">
        <v>0.36408760000000001</v>
      </c>
      <c r="G39" s="284"/>
      <c r="H39" s="284">
        <v>0.36421569999999998</v>
      </c>
      <c r="I39" s="284"/>
      <c r="J39" s="284">
        <v>0.81962570000000001</v>
      </c>
      <c r="K39" s="284"/>
      <c r="L39" s="284">
        <v>0.8196251</v>
      </c>
      <c r="M39" s="285"/>
      <c r="N39" s="285"/>
      <c r="O39" s="286"/>
      <c r="P39" s="285"/>
      <c r="Q39" s="287"/>
      <c r="R39" s="5"/>
    </row>
    <row r="40" spans="1:19" ht="15.6" x14ac:dyDescent="0.3">
      <c r="A40" s="265"/>
      <c r="B40" s="282" t="s">
        <v>155</v>
      </c>
      <c r="C40" s="283"/>
      <c r="D40" s="284">
        <v>0.36685830000000003</v>
      </c>
      <c r="E40" s="284"/>
      <c r="F40" s="284">
        <v>0.36675239999999998</v>
      </c>
      <c r="G40" s="284"/>
      <c r="H40" s="284">
        <v>0.36688150000000003</v>
      </c>
      <c r="I40" s="284"/>
      <c r="J40" s="284">
        <v>0.82562469999999999</v>
      </c>
      <c r="K40" s="284"/>
      <c r="L40" s="284">
        <v>0.82562409999999997</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6.6059999999999999E-3</v>
      </c>
      <c r="E42" s="290"/>
      <c r="F42" s="289">
        <v>9.4406000000000004E-3</v>
      </c>
      <c r="G42" s="290"/>
      <c r="H42" s="289">
        <v>6.3800000000000003E-3</v>
      </c>
      <c r="I42" s="290"/>
      <c r="J42" s="289">
        <v>1.7406000000000001E-2</v>
      </c>
      <c r="K42" s="290"/>
      <c r="L42" s="289">
        <v>1.7180000000000001E-2</v>
      </c>
      <c r="M42" s="290"/>
      <c r="N42" s="289"/>
      <c r="O42" s="263"/>
      <c r="P42" s="290"/>
      <c r="Q42" s="264"/>
      <c r="R42" s="5"/>
    </row>
    <row r="43" spans="1:19" ht="15.6" x14ac:dyDescent="0.3">
      <c r="A43" s="260"/>
      <c r="B43" s="261" t="s">
        <v>14</v>
      </c>
      <c r="C43" s="261"/>
      <c r="D43" s="289">
        <v>6.842E-3</v>
      </c>
      <c r="E43" s="290"/>
      <c r="F43" s="289">
        <v>9.325E-3</v>
      </c>
      <c r="G43" s="290"/>
      <c r="H43" s="289">
        <v>6.45E-3</v>
      </c>
      <c r="I43" s="290"/>
      <c r="J43" s="289">
        <v>1.7642000000000001E-2</v>
      </c>
      <c r="K43" s="290"/>
      <c r="L43" s="289">
        <v>1.7250000000000001E-2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1.13306E-2</v>
      </c>
      <c r="E45" s="290"/>
      <c r="F45" s="289">
        <f>+F42</f>
        <v>9.4406000000000004E-3</v>
      </c>
      <c r="G45" s="290"/>
      <c r="H45" s="289">
        <v>1.1090600000000001E-2</v>
      </c>
      <c r="I45" s="290"/>
      <c r="J45" s="289">
        <v>2.35906E-2</v>
      </c>
      <c r="K45" s="290"/>
      <c r="L45" s="289">
        <v>2.35906E-2</v>
      </c>
      <c r="M45" s="290"/>
      <c r="N45" s="289"/>
      <c r="O45" s="263"/>
      <c r="P45" s="290">
        <f>SUMPRODUCT(D45:L45,D37:L37)/P37</f>
        <v>1.3297431021910645E-2</v>
      </c>
      <c r="Q45" s="264"/>
      <c r="R45" s="5"/>
    </row>
    <row r="46" spans="1:19" ht="15.6" x14ac:dyDescent="0.3">
      <c r="A46" s="260"/>
      <c r="B46" s="261" t="s">
        <v>283</v>
      </c>
      <c r="C46" s="261"/>
      <c r="D46" s="289">
        <v>1.1214999999999999E-2</v>
      </c>
      <c r="E46" s="290"/>
      <c r="F46" s="289">
        <f>+F43</f>
        <v>9.325E-3</v>
      </c>
      <c r="G46" s="290"/>
      <c r="H46" s="289">
        <v>1.0975E-2</v>
      </c>
      <c r="I46" s="290"/>
      <c r="J46" s="289">
        <v>2.3474999999999999E-2</v>
      </c>
      <c r="K46" s="290"/>
      <c r="L46" s="289">
        <v>2.3474999999999999E-2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0.25062379542233948</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41688</v>
      </c>
      <c r="Q57" s="264"/>
      <c r="R57" s="5"/>
    </row>
    <row r="58" spans="1:18" ht="15.6" x14ac:dyDescent="0.3">
      <c r="A58" s="260"/>
      <c r="B58" s="261" t="s">
        <v>142</v>
      </c>
      <c r="C58" s="261"/>
      <c r="D58" s="261"/>
      <c r="E58" s="261"/>
      <c r="F58" s="297"/>
      <c r="G58" s="297"/>
      <c r="H58" s="297"/>
      <c r="I58" s="297"/>
      <c r="J58" s="297"/>
      <c r="K58" s="297"/>
      <c r="L58" s="261">
        <f>+P58-N58+1</f>
        <v>92</v>
      </c>
      <c r="M58" s="297"/>
      <c r="N58" s="298">
        <v>41501</v>
      </c>
      <c r="O58" s="299"/>
      <c r="P58" s="298">
        <v>41592</v>
      </c>
      <c r="Q58" s="264"/>
      <c r="R58" s="5"/>
    </row>
    <row r="59" spans="1:18" ht="15.6" x14ac:dyDescent="0.3">
      <c r="A59" s="260"/>
      <c r="B59" s="261" t="s">
        <v>143</v>
      </c>
      <c r="C59" s="261"/>
      <c r="D59" s="261"/>
      <c r="E59" s="261"/>
      <c r="F59" s="261"/>
      <c r="G59" s="261"/>
      <c r="H59" s="261"/>
      <c r="I59" s="261"/>
      <c r="J59" s="261"/>
      <c r="K59" s="261"/>
      <c r="L59" s="261">
        <f>+P59-N59+1</f>
        <v>95</v>
      </c>
      <c r="M59" s="261"/>
      <c r="N59" s="298">
        <v>41593</v>
      </c>
      <c r="O59" s="299"/>
      <c r="P59" s="298">
        <v>41687</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41673</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313</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371817</v>
      </c>
      <c r="I69" s="330"/>
      <c r="J69" s="330">
        <f>2702+111</f>
        <v>2813</v>
      </c>
      <c r="K69" s="330"/>
      <c r="L69" s="330">
        <v>111</v>
      </c>
      <c r="M69" s="330"/>
      <c r="N69" s="330">
        <v>0</v>
      </c>
      <c r="O69" s="330"/>
      <c r="P69" s="331">
        <f>+H69-J69+L69-N69</f>
        <v>369115</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371817</v>
      </c>
      <c r="I72" s="330"/>
      <c r="J72" s="330">
        <f>SUM(J69:J71)</f>
        <v>2813</v>
      </c>
      <c r="K72" s="330"/>
      <c r="L72" s="330">
        <f>SUM(L69:L71)</f>
        <v>111</v>
      </c>
      <c r="M72" s="330"/>
      <c r="N72" s="330">
        <f>SUM(N69:N71)</f>
        <v>0</v>
      </c>
      <c r="O72" s="330"/>
      <c r="P72" s="330">
        <f>SUM(P69:P71)</f>
        <v>369115</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371817</v>
      </c>
      <c r="I86" s="330"/>
      <c r="J86" s="330">
        <f>SUM(J72:J85)</f>
        <v>2813</v>
      </c>
      <c r="K86" s="330"/>
      <c r="L86" s="330">
        <f>SUM(L72:L85)</f>
        <v>111</v>
      </c>
      <c r="M86" s="330"/>
      <c r="N86" s="330"/>
      <c r="O86" s="330"/>
      <c r="P86" s="330">
        <f>SUM(P72:P85)</f>
        <v>369115</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v>41670</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2813-115</f>
        <v>2698</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2734+167-655-83</f>
        <v>2163</v>
      </c>
      <c r="Q92" s="264"/>
      <c r="R92" s="5"/>
    </row>
    <row r="93" spans="1:18" ht="15.6" x14ac:dyDescent="0.3">
      <c r="A93" s="260"/>
      <c r="B93" s="261" t="s">
        <v>249</v>
      </c>
      <c r="C93" s="261"/>
      <c r="D93" s="261"/>
      <c r="E93" s="261"/>
      <c r="F93" s="292"/>
      <c r="G93" s="332"/>
      <c r="H93" s="333"/>
      <c r="I93" s="261"/>
      <c r="J93" s="261"/>
      <c r="K93" s="261"/>
      <c r="L93" s="261"/>
      <c r="M93" s="261"/>
      <c r="N93" s="330"/>
      <c r="O93" s="261"/>
      <c r="P93" s="331">
        <f>39+2</f>
        <v>41</v>
      </c>
      <c r="Q93" s="264"/>
      <c r="R93" s="5"/>
    </row>
    <row r="94" spans="1:18" ht="15.6" x14ac:dyDescent="0.3">
      <c r="A94" s="260"/>
      <c r="B94" s="261" t="s">
        <v>250</v>
      </c>
      <c r="C94" s="261"/>
      <c r="D94" s="261"/>
      <c r="E94" s="261"/>
      <c r="F94" s="292"/>
      <c r="G94" s="332"/>
      <c r="H94" s="333"/>
      <c r="I94" s="261"/>
      <c r="J94" s="261"/>
      <c r="K94" s="261"/>
      <c r="L94" s="261"/>
      <c r="M94" s="261"/>
      <c r="N94" s="330"/>
      <c r="O94" s="261"/>
      <c r="P94" s="331">
        <v>21</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167</v>
      </c>
      <c r="Q97" s="264"/>
      <c r="R97" s="5"/>
    </row>
    <row r="98" spans="1:19" ht="15.6" x14ac:dyDescent="0.3">
      <c r="A98" s="260"/>
      <c r="B98" s="261" t="s">
        <v>35</v>
      </c>
      <c r="C98" s="261"/>
      <c r="D98" s="261"/>
      <c r="E98" s="261"/>
      <c r="F98" s="261"/>
      <c r="G98" s="261"/>
      <c r="H98" s="261"/>
      <c r="I98" s="261"/>
      <c r="J98" s="261"/>
      <c r="K98" s="261"/>
      <c r="L98" s="261"/>
      <c r="M98" s="261"/>
      <c r="N98" s="330">
        <f>SUM(N90:N97)</f>
        <v>2698</v>
      </c>
      <c r="O98" s="261"/>
      <c r="P98" s="330">
        <f>SUM(P90:P97)</f>
        <v>2392</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5</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2698</v>
      </c>
      <c r="O102" s="261"/>
      <c r="P102" s="330">
        <f>P98+P100+P99+P101</f>
        <v>2397</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-94-77-5</f>
        <v>-176</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-274</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-198</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-357</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-235</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-222</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115</v>
      </c>
      <c r="O115" s="261"/>
      <c r="P115" s="331">
        <v>-115</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-191</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-619</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-111</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-675</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-586</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-900</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-278</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-263</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-2813</v>
      </c>
      <c r="O129" s="330"/>
      <c r="P129" s="330">
        <f>SUM(P103:P128)</f>
        <v>-2397</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5.6" x14ac:dyDescent="0.3">
      <c r="A132" s="301"/>
      <c r="B132" s="257"/>
      <c r="C132" s="257"/>
      <c r="D132" s="257"/>
      <c r="E132" s="257"/>
      <c r="F132" s="257"/>
      <c r="G132" s="257"/>
      <c r="H132" s="257"/>
      <c r="I132" s="257"/>
      <c r="J132" s="257"/>
      <c r="K132" s="257"/>
      <c r="L132" s="257"/>
      <c r="M132" s="257"/>
      <c r="N132" s="302"/>
      <c r="O132" s="302"/>
      <c r="P132" s="302"/>
      <c r="Q132" s="257"/>
      <c r="R132" s="5"/>
    </row>
    <row r="133" spans="1:19" ht="18" thickBot="1" x14ac:dyDescent="0.35">
      <c r="A133" s="303"/>
      <c r="B133" s="239" t="str">
        <f>B65</f>
        <v>PM7 INVESTOR REPORT QUARTER ENDING JANAURY 2014</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326"/>
      <c r="R134" s="5"/>
    </row>
    <row r="135" spans="1:19" ht="15.6" x14ac:dyDescent="0.3">
      <c r="A135" s="183"/>
      <c r="B135" s="196"/>
      <c r="C135" s="185"/>
      <c r="D135" s="185"/>
      <c r="E135" s="185"/>
      <c r="F135" s="185"/>
      <c r="G135" s="185"/>
      <c r="H135" s="185"/>
      <c r="I135" s="185"/>
      <c r="J135" s="185"/>
      <c r="K135" s="185"/>
      <c r="L135" s="185"/>
      <c r="M135" s="185"/>
      <c r="N135" s="185"/>
      <c r="O135" s="185"/>
      <c r="P135" s="201"/>
      <c r="Q135" s="185"/>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185"/>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190"/>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185"/>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190"/>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185"/>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115</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115</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-115</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190"/>
      <c r="R160" s="5"/>
    </row>
    <row r="161" spans="1:19" ht="15.6" x14ac:dyDescent="0.3">
      <c r="A161" s="180"/>
      <c r="B161" s="181"/>
      <c r="C161" s="181"/>
      <c r="D161" s="181"/>
      <c r="E161" s="181"/>
      <c r="F161" s="181"/>
      <c r="G161" s="181"/>
      <c r="H161" s="181"/>
      <c r="I161" s="181"/>
      <c r="J161" s="181"/>
      <c r="K161" s="181"/>
      <c r="L161" s="181"/>
      <c r="M161" s="181"/>
      <c r="N161" s="181"/>
      <c r="O161" s="181"/>
      <c r="P161" s="200"/>
      <c r="Q161" s="181"/>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185"/>
      <c r="R162" s="5"/>
    </row>
    <row r="163" spans="1:19" ht="15.6" x14ac:dyDescent="0.3">
      <c r="A163" s="183"/>
      <c r="B163" s="196"/>
      <c r="C163" s="185"/>
      <c r="D163" s="185"/>
      <c r="E163" s="185"/>
      <c r="F163" s="185"/>
      <c r="G163" s="185"/>
      <c r="H163" s="185"/>
      <c r="I163" s="185"/>
      <c r="J163" s="185"/>
      <c r="K163" s="185"/>
      <c r="L163" s="185"/>
      <c r="M163" s="185"/>
      <c r="N163" s="185"/>
      <c r="O163" s="185"/>
      <c r="P163" s="201"/>
      <c r="Q163" s="185"/>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369115</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369115.42683864071</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190"/>
      <c r="R167" s="5"/>
    </row>
    <row r="168" spans="1:19" ht="15.6" x14ac:dyDescent="0.3">
      <c r="A168" s="180"/>
      <c r="B168" s="181"/>
      <c r="C168" s="181"/>
      <c r="D168" s="181"/>
      <c r="E168" s="181"/>
      <c r="F168" s="181"/>
      <c r="G168" s="181"/>
      <c r="H168" s="181"/>
      <c r="I168" s="181"/>
      <c r="J168" s="181"/>
      <c r="K168" s="181"/>
      <c r="L168" s="181"/>
      <c r="M168" s="181"/>
      <c r="N168" s="181"/>
      <c r="O168" s="181"/>
      <c r="P168" s="200"/>
      <c r="Q168" s="181"/>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2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+'Oct 13'!M173</f>
        <v>88514</v>
      </c>
      <c r="N171" s="331">
        <f>+'Oct 13'!N173</f>
        <v>10225</v>
      </c>
      <c r="O171" s="261"/>
      <c r="P171" s="331">
        <f>M171+N171</f>
        <v>98739</v>
      </c>
      <c r="Q171" s="264"/>
      <c r="R171" s="5"/>
    </row>
    <row r="172" spans="1:19" ht="15.6" x14ac:dyDescent="0.3">
      <c r="A172" s="260"/>
      <c r="B172" s="261" t="s">
        <v>69</v>
      </c>
      <c r="C172" s="261"/>
      <c r="D172" s="261"/>
      <c r="E172" s="261"/>
      <c r="F172" s="261"/>
      <c r="G172" s="261"/>
      <c r="H172" s="261"/>
      <c r="I172" s="261"/>
      <c r="J172" s="261"/>
      <c r="K172" s="261"/>
      <c r="L172" s="261"/>
      <c r="M172" s="330">
        <v>111</v>
      </c>
      <c r="N172" s="330">
        <f>-N99-N122</f>
        <v>0</v>
      </c>
      <c r="O172" s="261"/>
      <c r="P172" s="331">
        <f>M172+N172</f>
        <v>111</v>
      </c>
      <c r="Q172" s="264"/>
      <c r="R172" s="5"/>
    </row>
    <row r="173" spans="1:19" ht="15.6" x14ac:dyDescent="0.3">
      <c r="A173" s="260"/>
      <c r="B173" s="261" t="s">
        <v>70</v>
      </c>
      <c r="C173" s="261"/>
      <c r="D173" s="261"/>
      <c r="E173" s="261"/>
      <c r="F173" s="261"/>
      <c r="G173" s="261"/>
      <c r="H173" s="261"/>
      <c r="I173" s="261"/>
      <c r="J173" s="261"/>
      <c r="K173" s="261"/>
      <c r="L173" s="261"/>
      <c r="M173" s="331">
        <f>M171+M172</f>
        <v>88625</v>
      </c>
      <c r="N173" s="331">
        <f>N172+N171</f>
        <v>10225</v>
      </c>
      <c r="O173" s="261"/>
      <c r="P173" s="331">
        <f>M173+N173</f>
        <v>98850</v>
      </c>
      <c r="Q173" s="264"/>
      <c r="R173" s="5"/>
    </row>
    <row r="174" spans="1:19" ht="15.6" x14ac:dyDescent="0.3">
      <c r="A174" s="260"/>
      <c r="B174" s="261" t="s">
        <v>71</v>
      </c>
      <c r="C174" s="261"/>
      <c r="D174" s="261"/>
      <c r="E174" s="261"/>
      <c r="F174" s="261"/>
      <c r="G174" s="261"/>
      <c r="H174" s="261"/>
      <c r="I174" s="261"/>
      <c r="J174" s="261"/>
      <c r="K174" s="261"/>
      <c r="L174" s="261"/>
      <c r="M174" s="331">
        <f>M170-M173-N173</f>
        <v>45150</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190"/>
      <c r="R175" s="5"/>
    </row>
    <row r="176" spans="1:19" ht="15.6" x14ac:dyDescent="0.3">
      <c r="A176" s="180"/>
      <c r="B176" s="181"/>
      <c r="C176" s="181"/>
      <c r="D176" s="181"/>
      <c r="E176" s="181"/>
      <c r="F176" s="181"/>
      <c r="G176" s="181"/>
      <c r="H176" s="181"/>
      <c r="I176" s="181"/>
      <c r="J176" s="181"/>
      <c r="K176" s="181"/>
      <c r="L176" s="181"/>
      <c r="M176" s="181"/>
      <c r="N176" s="181"/>
      <c r="O176" s="181"/>
      <c r="P176" s="200"/>
      <c r="Q176" s="181"/>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185"/>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2.6767189384800965</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1.54</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3.0415754923413565</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2.5299999999999998</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190"/>
      <c r="R183" s="5"/>
    </row>
    <row r="184" spans="1:18" ht="15.6" x14ac:dyDescent="0.3">
      <c r="A184" s="183"/>
      <c r="B184" s="185"/>
      <c r="C184" s="185"/>
      <c r="D184" s="185"/>
      <c r="E184" s="185"/>
      <c r="F184" s="185"/>
      <c r="G184" s="185"/>
      <c r="H184" s="185"/>
      <c r="I184" s="185"/>
      <c r="J184" s="185"/>
      <c r="K184" s="185"/>
      <c r="L184" s="185"/>
      <c r="M184" s="185"/>
      <c r="N184" s="185"/>
      <c r="O184" s="185"/>
      <c r="P184" s="185"/>
      <c r="Q184" s="185"/>
      <c r="R184" s="5"/>
    </row>
    <row r="185" spans="1:18" ht="18" thickBot="1" x14ac:dyDescent="0.35">
      <c r="A185" s="199"/>
      <c r="B185" s="239" t="str">
        <f>B133</f>
        <v>PM7 INVESTOR REPORT QUARTER ENDING JANAURY 2014</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41670</v>
      </c>
      <c r="O186" s="326"/>
      <c r="P186" s="326"/>
      <c r="Q186" s="326"/>
      <c r="R186" s="5"/>
    </row>
    <row r="187" spans="1:18" ht="15.6" x14ac:dyDescent="0.3">
      <c r="A187" s="217"/>
      <c r="B187" s="218"/>
      <c r="C187" s="219"/>
      <c r="D187" s="219"/>
      <c r="E187" s="220"/>
      <c r="F187" s="220"/>
      <c r="G187" s="220"/>
      <c r="H187" s="220"/>
      <c r="I187" s="220"/>
      <c r="J187" s="220"/>
      <c r="K187" s="220"/>
      <c r="L187" s="220"/>
      <c r="M187" s="220"/>
      <c r="N187" s="220"/>
      <c r="O187" s="185"/>
      <c r="P187" s="185"/>
      <c r="Q187" s="185"/>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2.3220000000000001E-2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1.3297431021910645E-2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9.9225689780893557E-3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6.4467197572999624E-3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12.79</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7.5655497193511858E-3</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0.1033</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190"/>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252"/>
      <c r="R205" s="5"/>
    </row>
    <row r="206" spans="1:18" ht="15.6" x14ac:dyDescent="0.3">
      <c r="A206" s="221"/>
      <c r="B206" s="230" t="s">
        <v>87</v>
      </c>
      <c r="C206" s="235"/>
      <c r="D206" s="230"/>
      <c r="E206" s="230"/>
      <c r="F206" s="234"/>
      <c r="G206" s="234"/>
      <c r="H206" s="234"/>
      <c r="I206" s="234"/>
      <c r="J206" s="234"/>
      <c r="K206" s="234"/>
      <c r="L206" s="234"/>
      <c r="M206" s="234">
        <v>1</v>
      </c>
      <c r="N206" s="305">
        <v>26</v>
      </c>
      <c r="O206" s="230"/>
      <c r="P206" s="306"/>
      <c r="Q206" s="307"/>
      <c r="R206" s="5"/>
    </row>
    <row r="207" spans="1:18" ht="15.6" x14ac:dyDescent="0.3">
      <c r="A207" s="351"/>
      <c r="B207" s="261" t="s">
        <v>203</v>
      </c>
      <c r="C207" s="330"/>
      <c r="D207" s="261"/>
      <c r="E207" s="261"/>
      <c r="F207" s="268"/>
      <c r="G207" s="268"/>
      <c r="H207" s="268"/>
      <c r="I207" s="268"/>
      <c r="J207" s="268"/>
      <c r="K207" s="268"/>
      <c r="L207" s="268"/>
      <c r="M207" s="352">
        <f>+L255</f>
        <v>42</v>
      </c>
      <c r="N207" s="353">
        <f>+N255</f>
        <v>7133</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115</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'Oct 13'!N213+'Jan 14'!N212</f>
        <v>5761</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1</v>
      </c>
      <c r="N215" s="353">
        <v>37</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11.82</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8.15</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1</v>
      </c>
      <c r="N219" s="353">
        <v>216</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0.86</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350"/>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393"/>
      <c r="R224" s="5"/>
    </row>
    <row r="225" spans="1:18" ht="15.6" x14ac:dyDescent="0.3">
      <c r="A225" s="198"/>
      <c r="B225" s="235" t="s">
        <v>98</v>
      </c>
      <c r="C225" s="309"/>
      <c r="D225" s="230"/>
      <c r="E225" s="309"/>
      <c r="F225" s="309"/>
      <c r="G225" s="309"/>
      <c r="H225" s="309"/>
      <c r="I225" s="309"/>
      <c r="J225" s="309"/>
      <c r="K225" s="309"/>
      <c r="L225" s="330">
        <f t="shared" ref="L225:L232" si="1">+L236+L247+L258</f>
        <v>3178</v>
      </c>
      <c r="M225" s="382">
        <f t="shared" ref="M225:M232" si="2">L225/$L$233</f>
        <v>0.99343544857768051</v>
      </c>
      <c r="N225" s="331">
        <f t="shared" ref="N225:N232" si="3">+N236+N247+N258</f>
        <v>367342</v>
      </c>
      <c r="O225" s="382">
        <f t="shared" ref="O225:O232" si="4">N225/$N$233</f>
        <v>0.99519661893989675</v>
      </c>
      <c r="P225" s="306"/>
      <c r="Q225" s="233"/>
      <c r="R225" s="5"/>
    </row>
    <row r="226" spans="1:18" ht="15.6" x14ac:dyDescent="0.3">
      <c r="A226" s="260"/>
      <c r="B226" s="330" t="s">
        <v>99</v>
      </c>
      <c r="C226" s="381"/>
      <c r="D226" s="261"/>
      <c r="E226" s="382"/>
      <c r="F226" s="381"/>
      <c r="G226" s="381"/>
      <c r="H226" s="381"/>
      <c r="I226" s="381"/>
      <c r="J226" s="381"/>
      <c r="K226" s="381"/>
      <c r="L226" s="330">
        <f t="shared" si="1"/>
        <v>6</v>
      </c>
      <c r="M226" s="382">
        <f t="shared" si="2"/>
        <v>1.8755861206627071E-3</v>
      </c>
      <c r="N226" s="331">
        <f t="shared" si="3"/>
        <v>485</v>
      </c>
      <c r="O226" s="382">
        <f t="shared" si="4"/>
        <v>1.3139536458827196E-3</v>
      </c>
      <c r="P226" s="354"/>
      <c r="Q226" s="373"/>
      <c r="R226" s="5"/>
    </row>
    <row r="227" spans="1:18" ht="15.6" x14ac:dyDescent="0.3">
      <c r="A227" s="260"/>
      <c r="B227" s="330" t="s">
        <v>100</v>
      </c>
      <c r="C227" s="381"/>
      <c r="D227" s="261"/>
      <c r="E227" s="382"/>
      <c r="F227" s="381"/>
      <c r="G227" s="381"/>
      <c r="H227" s="381"/>
      <c r="I227" s="381"/>
      <c r="J227" s="381"/>
      <c r="K227" s="381"/>
      <c r="L227" s="330">
        <f t="shared" si="1"/>
        <v>0</v>
      </c>
      <c r="M227" s="382">
        <f t="shared" si="2"/>
        <v>0</v>
      </c>
      <c r="N227" s="331">
        <f t="shared" si="3"/>
        <v>0</v>
      </c>
      <c r="O227" s="382">
        <f t="shared" si="4"/>
        <v>0</v>
      </c>
      <c r="P227" s="354"/>
      <c r="Q227" s="373"/>
      <c r="R227" s="5"/>
    </row>
    <row r="228" spans="1:18" ht="15.6" x14ac:dyDescent="0.3">
      <c r="A228" s="260"/>
      <c r="B228" s="330" t="s">
        <v>227</v>
      </c>
      <c r="C228" s="381"/>
      <c r="D228" s="261"/>
      <c r="E228" s="382"/>
      <c r="F228" s="381"/>
      <c r="G228" s="381"/>
      <c r="H228" s="381"/>
      <c r="I228" s="381"/>
      <c r="J228" s="381"/>
      <c r="K228" s="381"/>
      <c r="L228" s="330">
        <f t="shared" si="1"/>
        <v>4</v>
      </c>
      <c r="M228" s="382">
        <f t="shared" si="2"/>
        <v>1.2503907471084713E-3</v>
      </c>
      <c r="N228" s="331">
        <f t="shared" si="3"/>
        <v>262</v>
      </c>
      <c r="O228" s="382">
        <f t="shared" si="4"/>
        <v>7.0980588705417012E-4</v>
      </c>
      <c r="P228" s="354"/>
      <c r="Q228" s="373"/>
      <c r="R228" s="5"/>
    </row>
    <row r="229" spans="1:18" ht="15.6" x14ac:dyDescent="0.3">
      <c r="A229" s="260"/>
      <c r="B229" s="330" t="s">
        <v>228</v>
      </c>
      <c r="C229" s="381"/>
      <c r="D229" s="261"/>
      <c r="E229" s="382"/>
      <c r="F229" s="381"/>
      <c r="G229" s="381"/>
      <c r="H229" s="381"/>
      <c r="I229" s="381"/>
      <c r="J229" s="381"/>
      <c r="K229" s="381"/>
      <c r="L229" s="330">
        <f t="shared" si="1"/>
        <v>1</v>
      </c>
      <c r="M229" s="382">
        <f t="shared" si="2"/>
        <v>3.1259768677711783E-4</v>
      </c>
      <c r="N229" s="331">
        <f t="shared" si="3"/>
        <v>19</v>
      </c>
      <c r="O229" s="382">
        <f t="shared" si="4"/>
        <v>5.1474472725302414E-5</v>
      </c>
      <c r="P229" s="354"/>
      <c r="Q229" s="373"/>
      <c r="R229" s="5"/>
    </row>
    <row r="230" spans="1:18" ht="15.6" x14ac:dyDescent="0.3">
      <c r="A230" s="260"/>
      <c r="B230" s="330" t="s">
        <v>229</v>
      </c>
      <c r="C230" s="381"/>
      <c r="D230" s="261"/>
      <c r="E230" s="382"/>
      <c r="F230" s="381"/>
      <c r="G230" s="381"/>
      <c r="H230" s="381"/>
      <c r="I230" s="381"/>
      <c r="J230" s="381"/>
      <c r="K230" s="381"/>
      <c r="L230" s="330">
        <f t="shared" si="1"/>
        <v>1</v>
      </c>
      <c r="M230" s="382">
        <f t="shared" si="2"/>
        <v>3.1259768677711783E-4</v>
      </c>
      <c r="N230" s="331">
        <f t="shared" si="3"/>
        <v>33</v>
      </c>
      <c r="O230" s="382">
        <f t="shared" si="4"/>
        <v>8.9403031575525246E-5</v>
      </c>
      <c r="P230" s="354"/>
      <c r="Q230" s="373"/>
      <c r="R230" s="5"/>
    </row>
    <row r="231" spans="1:18" ht="15.6" x14ac:dyDescent="0.3">
      <c r="A231" s="260"/>
      <c r="B231" s="330" t="s">
        <v>230</v>
      </c>
      <c r="C231" s="381"/>
      <c r="D231" s="261"/>
      <c r="E231" s="382"/>
      <c r="F231" s="381"/>
      <c r="G231" s="381"/>
      <c r="H231" s="381"/>
      <c r="I231" s="381"/>
      <c r="J231" s="381"/>
      <c r="K231" s="381"/>
      <c r="L231" s="330">
        <f t="shared" si="1"/>
        <v>3</v>
      </c>
      <c r="M231" s="382">
        <f t="shared" si="2"/>
        <v>9.3779306033135354E-4</v>
      </c>
      <c r="N231" s="331">
        <f t="shared" si="3"/>
        <v>117</v>
      </c>
      <c r="O231" s="382">
        <f t="shared" si="4"/>
        <v>3.1697438467686223E-4</v>
      </c>
      <c r="P231" s="354"/>
      <c r="Q231" s="373"/>
      <c r="R231" s="5"/>
    </row>
    <row r="232" spans="1:18" ht="15.6" x14ac:dyDescent="0.3">
      <c r="A232" s="260"/>
      <c r="B232" s="330" t="s">
        <v>231</v>
      </c>
      <c r="C232" s="381"/>
      <c r="D232" s="261"/>
      <c r="E232" s="382"/>
      <c r="F232" s="381"/>
      <c r="G232" s="381"/>
      <c r="H232" s="381"/>
      <c r="I232" s="381"/>
      <c r="J232" s="381"/>
      <c r="K232" s="381"/>
      <c r="L232" s="330">
        <f t="shared" si="1"/>
        <v>6</v>
      </c>
      <c r="M232" s="382">
        <f t="shared" si="2"/>
        <v>1.8755861206627071E-3</v>
      </c>
      <c r="N232" s="331">
        <f t="shared" si="3"/>
        <v>857</v>
      </c>
      <c r="O232" s="382">
        <f t="shared" si="4"/>
        <v>2.3217696381886404E-3</v>
      </c>
      <c r="P232" s="354"/>
      <c r="Q232" s="373"/>
      <c r="R232" s="5"/>
    </row>
    <row r="233" spans="1:18" ht="15.6" x14ac:dyDescent="0.3">
      <c r="A233" s="260"/>
      <c r="B233" s="261" t="s">
        <v>129</v>
      </c>
      <c r="C233" s="261"/>
      <c r="D233" s="261"/>
      <c r="E233" s="261"/>
      <c r="F233" s="383"/>
      <c r="G233" s="383"/>
      <c r="H233" s="383"/>
      <c r="I233" s="383"/>
      <c r="J233" s="383"/>
      <c r="K233" s="383"/>
      <c r="L233" s="330">
        <f>SUM(L225:L232)</f>
        <v>3199</v>
      </c>
      <c r="M233" s="382">
        <f>SUM(M225:M232)</f>
        <v>1</v>
      </c>
      <c r="N233" s="330">
        <f>SUM(N225:N232)</f>
        <v>369115</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350"/>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393"/>
      <c r="R235" s="5"/>
    </row>
    <row r="236" spans="1:18" ht="15.6" x14ac:dyDescent="0.3">
      <c r="A236" s="198"/>
      <c r="B236" s="235" t="s">
        <v>98</v>
      </c>
      <c r="C236" s="309"/>
      <c r="D236" s="230"/>
      <c r="E236" s="309"/>
      <c r="F236" s="309"/>
      <c r="G236" s="309"/>
      <c r="H236" s="309"/>
      <c r="I236" s="309"/>
      <c r="J236" s="309"/>
      <c r="K236" s="309"/>
      <c r="L236" s="235">
        <v>3142</v>
      </c>
      <c r="M236" s="310">
        <f t="shared" ref="M236:M243" si="5">L236/$L$244</f>
        <v>0.99524865378523919</v>
      </c>
      <c r="N236" s="300">
        <v>361336</v>
      </c>
      <c r="O236" s="310">
        <f t="shared" ref="O236:O243" si="6">N236/$N$244</f>
        <v>0.99821538087529216</v>
      </c>
      <c r="P236" s="306"/>
      <c r="Q236" s="233"/>
      <c r="R236" s="5"/>
    </row>
    <row r="237" spans="1:18" ht="15.6" x14ac:dyDescent="0.3">
      <c r="A237" s="260"/>
      <c r="B237" s="330" t="s">
        <v>99</v>
      </c>
      <c r="C237" s="381"/>
      <c r="D237" s="261"/>
      <c r="E237" s="382"/>
      <c r="F237" s="381"/>
      <c r="G237" s="381"/>
      <c r="H237" s="381"/>
      <c r="I237" s="381"/>
      <c r="J237" s="381"/>
      <c r="K237" s="381"/>
      <c r="L237" s="330">
        <v>5</v>
      </c>
      <c r="M237" s="382">
        <f t="shared" si="5"/>
        <v>1.5837820715869496E-3</v>
      </c>
      <c r="N237" s="331">
        <v>302</v>
      </c>
      <c r="O237" s="382">
        <f t="shared" si="6"/>
        <v>8.3429562795940126E-4</v>
      </c>
      <c r="P237" s="354"/>
      <c r="Q237" s="373"/>
      <c r="R237" s="5"/>
    </row>
    <row r="238" spans="1:18" ht="15.6" x14ac:dyDescent="0.3">
      <c r="A238" s="260"/>
      <c r="B238" s="330" t="s">
        <v>100</v>
      </c>
      <c r="C238" s="381"/>
      <c r="D238" s="261"/>
      <c r="E238" s="382"/>
      <c r="F238" s="381"/>
      <c r="G238" s="381"/>
      <c r="H238" s="381"/>
      <c r="I238" s="381"/>
      <c r="J238" s="381"/>
      <c r="K238" s="381"/>
      <c r="L238" s="330">
        <v>0</v>
      </c>
      <c r="M238" s="382">
        <f t="shared" si="5"/>
        <v>0</v>
      </c>
      <c r="N238" s="331">
        <v>0</v>
      </c>
      <c r="O238" s="382">
        <f t="shared" si="6"/>
        <v>0</v>
      </c>
      <c r="P238" s="354"/>
      <c r="Q238" s="373"/>
      <c r="R238" s="5"/>
    </row>
    <row r="239" spans="1:18" ht="15.6" x14ac:dyDescent="0.3">
      <c r="A239" s="260"/>
      <c r="B239" s="330" t="s">
        <v>227</v>
      </c>
      <c r="C239" s="381"/>
      <c r="D239" s="261"/>
      <c r="E239" s="382"/>
      <c r="F239" s="381"/>
      <c r="G239" s="381"/>
      <c r="H239" s="381"/>
      <c r="I239" s="381"/>
      <c r="J239" s="381"/>
      <c r="K239" s="381"/>
      <c r="L239" s="330">
        <v>3</v>
      </c>
      <c r="M239" s="382">
        <f t="shared" si="5"/>
        <v>9.5026924295216978E-4</v>
      </c>
      <c r="N239" s="331">
        <v>122</v>
      </c>
      <c r="O239" s="382">
        <f t="shared" si="6"/>
        <v>3.370333331491621E-4</v>
      </c>
      <c r="P239" s="354"/>
      <c r="Q239" s="373"/>
      <c r="R239" s="5"/>
    </row>
    <row r="240" spans="1:18" ht="15.6" x14ac:dyDescent="0.3">
      <c r="A240" s="260"/>
      <c r="B240" s="330" t="s">
        <v>228</v>
      </c>
      <c r="C240" s="381"/>
      <c r="D240" s="261"/>
      <c r="E240" s="382"/>
      <c r="F240" s="381"/>
      <c r="G240" s="381"/>
      <c r="H240" s="381"/>
      <c r="I240" s="381"/>
      <c r="J240" s="381"/>
      <c r="K240" s="381"/>
      <c r="L240" s="330">
        <v>1</v>
      </c>
      <c r="M240" s="382">
        <f t="shared" si="5"/>
        <v>3.1675641431738993E-4</v>
      </c>
      <c r="N240" s="331">
        <v>19</v>
      </c>
      <c r="O240" s="382">
        <f t="shared" si="6"/>
        <v>5.2488797785525246E-5</v>
      </c>
      <c r="P240" s="354"/>
      <c r="Q240" s="373"/>
      <c r="R240" s="5"/>
    </row>
    <row r="241" spans="1:18" ht="15.6" x14ac:dyDescent="0.3">
      <c r="A241" s="260"/>
      <c r="B241" s="330" t="s">
        <v>229</v>
      </c>
      <c r="C241" s="381"/>
      <c r="D241" s="261"/>
      <c r="E241" s="382"/>
      <c r="F241" s="381"/>
      <c r="G241" s="381"/>
      <c r="H241" s="381"/>
      <c r="I241" s="381"/>
      <c r="J241" s="381"/>
      <c r="K241" s="381"/>
      <c r="L241" s="330">
        <v>1</v>
      </c>
      <c r="M241" s="382">
        <f t="shared" si="5"/>
        <v>3.1675641431738993E-4</v>
      </c>
      <c r="N241" s="331">
        <v>33</v>
      </c>
      <c r="O241" s="382">
        <f t="shared" si="6"/>
        <v>9.1164754048543844E-5</v>
      </c>
      <c r="P241" s="354"/>
      <c r="Q241" s="373"/>
      <c r="R241" s="5"/>
    </row>
    <row r="242" spans="1:18" ht="15.6" x14ac:dyDescent="0.3">
      <c r="A242" s="260"/>
      <c r="B242" s="330" t="s">
        <v>230</v>
      </c>
      <c r="C242" s="381"/>
      <c r="D242" s="261"/>
      <c r="E242" s="382"/>
      <c r="F242" s="381"/>
      <c r="G242" s="381"/>
      <c r="H242" s="381"/>
      <c r="I242" s="381"/>
      <c r="J242" s="381"/>
      <c r="K242" s="381"/>
      <c r="L242" s="330">
        <v>3</v>
      </c>
      <c r="M242" s="382">
        <f t="shared" si="5"/>
        <v>9.5026924295216978E-4</v>
      </c>
      <c r="N242" s="331">
        <v>117</v>
      </c>
      <c r="O242" s="382">
        <f t="shared" si="6"/>
        <v>3.2322049162665549E-4</v>
      </c>
      <c r="P242" s="354"/>
      <c r="Q242" s="373"/>
      <c r="R242" s="5"/>
    </row>
    <row r="243" spans="1:18" ht="15.6" x14ac:dyDescent="0.3">
      <c r="A243" s="260"/>
      <c r="B243" s="330" t="s">
        <v>231</v>
      </c>
      <c r="C243" s="381"/>
      <c r="D243" s="261"/>
      <c r="E243" s="382"/>
      <c r="F243" s="381"/>
      <c r="G243" s="381"/>
      <c r="H243" s="381"/>
      <c r="I243" s="381"/>
      <c r="J243" s="381"/>
      <c r="K243" s="381"/>
      <c r="L243" s="330">
        <v>2</v>
      </c>
      <c r="M243" s="382">
        <f t="shared" si="5"/>
        <v>6.3351282863477985E-4</v>
      </c>
      <c r="N243" s="331">
        <v>53</v>
      </c>
      <c r="O243" s="382">
        <f t="shared" si="6"/>
        <v>1.4641612013857041E-4</v>
      </c>
      <c r="P243" s="354"/>
      <c r="Q243" s="373"/>
      <c r="R243" s="5"/>
    </row>
    <row r="244" spans="1:18" ht="15.6" x14ac:dyDescent="0.3">
      <c r="A244" s="260"/>
      <c r="B244" s="261" t="s">
        <v>129</v>
      </c>
      <c r="C244" s="261"/>
      <c r="D244" s="261"/>
      <c r="E244" s="261"/>
      <c r="F244" s="383"/>
      <c r="G244" s="383"/>
      <c r="H244" s="383"/>
      <c r="I244" s="383"/>
      <c r="J244" s="383"/>
      <c r="K244" s="383"/>
      <c r="L244" s="330">
        <f>SUM(L236:L243)</f>
        <v>3157</v>
      </c>
      <c r="M244" s="382">
        <f>SUM(M236:M243)</f>
        <v>1</v>
      </c>
      <c r="N244" s="331">
        <f>SUM(N236:N243)</f>
        <v>361982</v>
      </c>
      <c r="O244" s="382">
        <f>SUM(O236:O243)</f>
        <v>1.0000000000000002</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257"/>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36</v>
      </c>
      <c r="M247" s="310">
        <f t="shared" ref="M247:M254" si="7">L247/$L$255</f>
        <v>0.8571428571428571</v>
      </c>
      <c r="N247" s="300">
        <v>6006</v>
      </c>
      <c r="O247" s="310">
        <f t="shared" ref="O247:O254" si="8">N247/$N$255</f>
        <v>0.84200196270853778</v>
      </c>
      <c r="P247" s="306"/>
      <c r="Q247" s="230"/>
      <c r="R247" s="5"/>
    </row>
    <row r="248" spans="1:18" ht="15.6" x14ac:dyDescent="0.3">
      <c r="A248" s="260"/>
      <c r="B248" s="330" t="s">
        <v>99</v>
      </c>
      <c r="C248" s="381"/>
      <c r="D248" s="261"/>
      <c r="E248" s="382"/>
      <c r="F248" s="381"/>
      <c r="G248" s="381"/>
      <c r="H248" s="381"/>
      <c r="I248" s="381"/>
      <c r="J248" s="381"/>
      <c r="K248" s="381"/>
      <c r="L248" s="330">
        <v>1</v>
      </c>
      <c r="M248" s="382">
        <f t="shared" si="7"/>
        <v>2.3809523809523808E-2</v>
      </c>
      <c r="N248" s="331">
        <v>183</v>
      </c>
      <c r="O248" s="382">
        <f t="shared" si="8"/>
        <v>2.5655404458152248E-2</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1</v>
      </c>
      <c r="M250" s="382">
        <f t="shared" si="7"/>
        <v>2.3809523809523808E-2</v>
      </c>
      <c r="N250" s="331">
        <v>140</v>
      </c>
      <c r="O250" s="382">
        <f t="shared" si="8"/>
        <v>1.9627085377821395E-2</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0</v>
      </c>
      <c r="M253" s="382">
        <f t="shared" si="7"/>
        <v>0</v>
      </c>
      <c r="N253" s="331">
        <v>0</v>
      </c>
      <c r="O253" s="382">
        <f t="shared" si="8"/>
        <v>0</v>
      </c>
      <c r="P253" s="354"/>
      <c r="Q253" s="264"/>
      <c r="R253" s="5"/>
    </row>
    <row r="254" spans="1:18" ht="15.6" x14ac:dyDescent="0.3">
      <c r="A254" s="260"/>
      <c r="B254" s="330" t="s">
        <v>231</v>
      </c>
      <c r="C254" s="381"/>
      <c r="D254" s="261"/>
      <c r="E254" s="382"/>
      <c r="F254" s="381"/>
      <c r="G254" s="381"/>
      <c r="H254" s="381"/>
      <c r="I254" s="381"/>
      <c r="J254" s="381"/>
      <c r="K254" s="381"/>
      <c r="L254" s="330">
        <v>4</v>
      </c>
      <c r="M254" s="382">
        <f t="shared" si="7"/>
        <v>9.5238095238095233E-2</v>
      </c>
      <c r="N254" s="331">
        <v>804</v>
      </c>
      <c r="O254" s="382">
        <f t="shared" si="8"/>
        <v>0.11271554745548858</v>
      </c>
      <c r="P254" s="354"/>
      <c r="Q254" s="264"/>
      <c r="R254" s="5"/>
    </row>
    <row r="255" spans="1:18" ht="15.6" x14ac:dyDescent="0.3">
      <c r="A255" s="260"/>
      <c r="B255" s="261" t="s">
        <v>129</v>
      </c>
      <c r="C255" s="261"/>
      <c r="D255" s="261"/>
      <c r="E255" s="261"/>
      <c r="F255" s="383"/>
      <c r="G255" s="383"/>
      <c r="H255" s="383"/>
      <c r="I255" s="383"/>
      <c r="J255" s="383"/>
      <c r="K255" s="383"/>
      <c r="L255" s="330">
        <f>SUM(L247:L254)</f>
        <v>42</v>
      </c>
      <c r="M255" s="382">
        <f>SUM(M247:M254)</f>
        <v>1</v>
      </c>
      <c r="N255" s="331">
        <f>SUM(N247:N254)</f>
        <v>7133</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257"/>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230"/>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f>SUM(M258:M265)</f>
        <v>0</v>
      </c>
      <c r="N266" s="331">
        <f>SUM(N258:N265)</f>
        <v>0</v>
      </c>
      <c r="O266" s="382">
        <f>SUM(O258:O265)</f>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3199</v>
      </c>
      <c r="M268" s="382"/>
      <c r="N268" s="386">
        <f>+N266+N255+N244</f>
        <v>369115</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257"/>
      <c r="R269" s="5"/>
    </row>
    <row r="270" spans="1:18" ht="15.6" x14ac:dyDescent="0.3">
      <c r="A270" s="183"/>
      <c r="B270" s="236"/>
      <c r="C270" s="236"/>
      <c r="D270" s="236"/>
      <c r="E270" s="236"/>
      <c r="F270" s="311"/>
      <c r="G270" s="311"/>
      <c r="H270" s="311"/>
      <c r="I270" s="311"/>
      <c r="J270" s="311"/>
      <c r="K270" s="311"/>
      <c r="L270" s="311"/>
      <c r="M270" s="311"/>
      <c r="N270" s="312"/>
      <c r="O270" s="311"/>
      <c r="P270" s="236"/>
      <c r="Q270" s="236"/>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249"/>
      <c r="R271" s="5"/>
    </row>
    <row r="272" spans="1:18" ht="15.6" x14ac:dyDescent="0.3">
      <c r="A272" s="225"/>
      <c r="B272" s="249"/>
      <c r="C272" s="236"/>
      <c r="D272" s="236"/>
      <c r="E272" s="236"/>
      <c r="F272" s="236"/>
      <c r="G272" s="236"/>
      <c r="H272" s="236"/>
      <c r="I272" s="249"/>
      <c r="J272" s="249"/>
      <c r="K272" s="249"/>
      <c r="L272" s="249"/>
      <c r="M272" s="249"/>
      <c r="N272" s="249"/>
      <c r="O272" s="249"/>
      <c r="P272" s="249"/>
      <c r="Q272" s="249"/>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249"/>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249"/>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5.6" x14ac:dyDescent="0.3">
      <c r="A277" s="225"/>
      <c r="B277" s="228"/>
      <c r="C277" s="228"/>
      <c r="D277" s="228"/>
      <c r="E277" s="314"/>
      <c r="F277" s="249"/>
      <c r="G277" s="249"/>
      <c r="H277" s="249"/>
      <c r="I277" s="249"/>
      <c r="J277" s="249"/>
      <c r="K277" s="249"/>
      <c r="L277" s="249"/>
      <c r="M277" s="249"/>
      <c r="N277" s="249"/>
      <c r="O277" s="249"/>
      <c r="P277" s="249"/>
      <c r="Q277" s="249"/>
      <c r="R277" s="5"/>
    </row>
    <row r="278" spans="1:18" ht="18" thickBot="1" x14ac:dyDescent="0.35">
      <c r="A278" s="225"/>
      <c r="B278" s="315" t="str">
        <f>B185</f>
        <v>PM7 INVESTOR REPORT QUARTER ENDING JANAURY 2014</v>
      </c>
      <c r="C278" s="228"/>
      <c r="D278" s="228"/>
      <c r="E278" s="314"/>
      <c r="F278" s="249"/>
      <c r="G278" s="249"/>
      <c r="H278" s="249"/>
      <c r="I278" s="249"/>
      <c r="J278" s="249"/>
      <c r="K278" s="249"/>
      <c r="L278" s="249"/>
      <c r="M278" s="249"/>
      <c r="N278" s="249"/>
      <c r="O278" s="249"/>
      <c r="P278" s="249"/>
      <c r="Q278" s="24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7" man="1"/>
    <brk id="133" max="14" man="1"/>
    <brk id="185" max="14" man="1"/>
    <brk id="278" max="17"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185"/>
      <c r="R2" s="5"/>
    </row>
    <row r="3" spans="1:18" ht="15.6" x14ac:dyDescent="0.3">
      <c r="A3" s="186"/>
      <c r="B3" s="187" t="s">
        <v>163</v>
      </c>
      <c r="C3" s="185"/>
      <c r="D3" s="185"/>
      <c r="E3" s="185"/>
      <c r="F3" s="185"/>
      <c r="G3" s="185"/>
      <c r="H3" s="185"/>
      <c r="I3" s="185"/>
      <c r="J3" s="185"/>
      <c r="K3" s="185"/>
      <c r="L3" s="185"/>
      <c r="M3" s="185"/>
      <c r="N3" s="185"/>
      <c r="O3" s="185"/>
      <c r="P3" s="185"/>
      <c r="Q3" s="185"/>
      <c r="R3" s="5"/>
    </row>
    <row r="4" spans="1:18" ht="15.6" x14ac:dyDescent="0.3">
      <c r="A4" s="183"/>
      <c r="B4" s="184"/>
      <c r="C4" s="185"/>
      <c r="D4" s="185"/>
      <c r="E4" s="185"/>
      <c r="F4" s="185"/>
      <c r="G4" s="185"/>
      <c r="H4" s="185"/>
      <c r="I4" s="185"/>
      <c r="J4" s="185"/>
      <c r="K4" s="185"/>
      <c r="L4" s="185"/>
      <c r="M4" s="185"/>
      <c r="N4" s="185"/>
      <c r="O4" s="185"/>
      <c r="P4" s="185"/>
      <c r="Q4" s="185"/>
      <c r="R4" s="5"/>
    </row>
    <row r="5" spans="1:18" ht="15.6" x14ac:dyDescent="0.3">
      <c r="A5" s="183"/>
      <c r="B5" s="227" t="s">
        <v>164</v>
      </c>
      <c r="C5" s="185"/>
      <c r="D5" s="185"/>
      <c r="E5" s="185"/>
      <c r="F5" s="185"/>
      <c r="G5" s="185"/>
      <c r="H5" s="185"/>
      <c r="I5" s="185"/>
      <c r="J5" s="185"/>
      <c r="K5" s="185"/>
      <c r="L5" s="185"/>
      <c r="M5" s="185"/>
      <c r="N5" s="185"/>
      <c r="O5" s="185"/>
      <c r="P5" s="185"/>
      <c r="Q5" s="185"/>
      <c r="R5" s="5"/>
    </row>
    <row r="6" spans="1:18" ht="15.6" x14ac:dyDescent="0.3">
      <c r="A6" s="183"/>
      <c r="B6" s="227" t="s">
        <v>166</v>
      </c>
      <c r="C6" s="185"/>
      <c r="D6" s="185"/>
      <c r="E6" s="185"/>
      <c r="F6" s="185"/>
      <c r="G6" s="185"/>
      <c r="H6" s="185"/>
      <c r="I6" s="185"/>
      <c r="J6" s="185"/>
      <c r="K6" s="185"/>
      <c r="L6" s="185"/>
      <c r="M6" s="185"/>
      <c r="N6" s="185"/>
      <c r="O6" s="185"/>
      <c r="P6" s="185"/>
      <c r="Q6" s="185"/>
      <c r="R6" s="5"/>
    </row>
    <row r="7" spans="1:18" ht="15.6" x14ac:dyDescent="0.3">
      <c r="A7" s="183"/>
      <c r="B7" s="227" t="s">
        <v>165</v>
      </c>
      <c r="C7" s="185"/>
      <c r="D7" s="185"/>
      <c r="E7" s="185"/>
      <c r="F7" s="185"/>
      <c r="G7" s="185"/>
      <c r="H7" s="185"/>
      <c r="I7" s="185"/>
      <c r="J7" s="185"/>
      <c r="K7" s="185"/>
      <c r="L7" s="185"/>
      <c r="M7" s="185"/>
      <c r="N7" s="185"/>
      <c r="O7" s="185"/>
      <c r="P7" s="185"/>
      <c r="Q7" s="185"/>
      <c r="R7" s="5"/>
    </row>
    <row r="8" spans="1:18" ht="15.6" x14ac:dyDescent="0.3">
      <c r="A8" s="183"/>
      <c r="B8" s="188"/>
      <c r="C8" s="185"/>
      <c r="D8" s="185"/>
      <c r="E8" s="185"/>
      <c r="F8" s="185"/>
      <c r="G8" s="185"/>
      <c r="H8" s="185"/>
      <c r="I8" s="185"/>
      <c r="J8" s="185"/>
      <c r="K8" s="185"/>
      <c r="L8" s="185"/>
      <c r="M8" s="185"/>
      <c r="N8" s="185"/>
      <c r="O8" s="185"/>
      <c r="P8" s="185"/>
      <c r="Q8" s="185"/>
      <c r="R8" s="5"/>
    </row>
    <row r="9" spans="1:18" ht="17.399999999999999" x14ac:dyDescent="0.3">
      <c r="A9" s="183"/>
      <c r="B9" s="189" t="s">
        <v>245</v>
      </c>
      <c r="C9" s="190"/>
      <c r="D9" s="190"/>
      <c r="E9" s="190"/>
      <c r="F9" s="190"/>
      <c r="G9" s="190"/>
      <c r="H9" s="191" t="s">
        <v>243</v>
      </c>
      <c r="I9" s="190"/>
      <c r="J9" s="190"/>
      <c r="K9" s="185"/>
      <c r="L9" s="185"/>
      <c r="M9" s="185"/>
      <c r="N9" s="185"/>
      <c r="O9" s="185"/>
      <c r="P9" s="185"/>
      <c r="Q9" s="185"/>
      <c r="R9" s="5"/>
    </row>
    <row r="10" spans="1:18" ht="17.399999999999999" x14ac:dyDescent="0.3">
      <c r="A10" s="183"/>
      <c r="B10" s="192"/>
      <c r="C10" s="185"/>
      <c r="D10" s="185"/>
      <c r="E10" s="185"/>
      <c r="F10" s="185"/>
      <c r="G10" s="185"/>
      <c r="H10" s="185"/>
      <c r="I10" s="185"/>
      <c r="J10" s="185"/>
      <c r="K10" s="185"/>
      <c r="L10" s="185"/>
      <c r="M10" s="185"/>
      <c r="N10" s="185"/>
      <c r="O10" s="185"/>
      <c r="P10" s="185"/>
      <c r="Q10" s="185"/>
      <c r="R10" s="5"/>
    </row>
    <row r="11" spans="1:18" ht="15.6" x14ac:dyDescent="0.3">
      <c r="A11" s="183"/>
      <c r="B11" s="188"/>
      <c r="C11" s="193"/>
      <c r="D11" s="185"/>
      <c r="E11" s="185"/>
      <c r="F11" s="185"/>
      <c r="G11" s="185"/>
      <c r="H11" s="185"/>
      <c r="I11" s="185"/>
      <c r="J11" s="185"/>
      <c r="K11" s="185"/>
      <c r="L11" s="185"/>
      <c r="M11" s="185"/>
      <c r="N11" s="185"/>
      <c r="O11" s="185"/>
      <c r="P11" s="185"/>
      <c r="Q11" s="185"/>
      <c r="R11" s="5"/>
    </row>
    <row r="12" spans="1:18" ht="15.6" x14ac:dyDescent="0.3">
      <c r="A12" s="183"/>
      <c r="B12" s="228" t="s">
        <v>0</v>
      </c>
      <c r="C12" s="185"/>
      <c r="D12" s="185"/>
      <c r="E12" s="185"/>
      <c r="F12" s="185"/>
      <c r="G12" s="185"/>
      <c r="H12" s="185"/>
      <c r="I12" s="185"/>
      <c r="J12" s="185"/>
      <c r="K12" s="185"/>
      <c r="L12" s="185"/>
      <c r="M12" s="185"/>
      <c r="N12" s="185"/>
      <c r="O12" s="185"/>
      <c r="P12" s="185"/>
      <c r="Q12" s="185"/>
      <c r="R12" s="5"/>
    </row>
    <row r="13" spans="1:18" ht="16.2" thickBot="1" x14ac:dyDescent="0.35">
      <c r="A13" s="183"/>
      <c r="B13" s="228"/>
      <c r="C13" s="185"/>
      <c r="D13" s="185"/>
      <c r="E13" s="185"/>
      <c r="F13" s="185"/>
      <c r="G13" s="185"/>
      <c r="H13" s="185"/>
      <c r="I13" s="185"/>
      <c r="J13" s="185"/>
      <c r="K13" s="185"/>
      <c r="L13" s="185"/>
      <c r="M13" s="185"/>
      <c r="N13" s="185"/>
      <c r="O13" s="185"/>
      <c r="P13" s="185"/>
      <c r="Q13" s="185"/>
      <c r="R13" s="5"/>
    </row>
    <row r="14" spans="1:18" ht="15.6" x14ac:dyDescent="0.3">
      <c r="A14" s="180"/>
      <c r="B14" s="229"/>
      <c r="C14" s="181"/>
      <c r="D14" s="181"/>
      <c r="E14" s="181"/>
      <c r="F14" s="181"/>
      <c r="G14" s="181"/>
      <c r="H14" s="181"/>
      <c r="I14" s="181"/>
      <c r="J14" s="181"/>
      <c r="K14" s="181"/>
      <c r="L14" s="181"/>
      <c r="M14" s="181"/>
      <c r="N14" s="181"/>
      <c r="O14" s="181"/>
      <c r="P14" s="181"/>
      <c r="Q14" s="181"/>
      <c r="R14" s="5"/>
    </row>
    <row r="15" spans="1:18" ht="15.6" x14ac:dyDescent="0.3">
      <c r="A15" s="183"/>
      <c r="B15" s="228" t="s">
        <v>1</v>
      </c>
      <c r="C15" s="194"/>
      <c r="D15" s="194"/>
      <c r="E15" s="194"/>
      <c r="F15" s="194"/>
      <c r="G15" s="194"/>
      <c r="H15" s="194"/>
      <c r="I15" s="194"/>
      <c r="J15" s="194"/>
      <c r="K15" s="194"/>
      <c r="L15" s="236"/>
      <c r="M15" s="236"/>
      <c r="N15" s="236"/>
      <c r="O15" s="236"/>
      <c r="P15" s="243" t="s">
        <v>167</v>
      </c>
      <c r="Q15" s="194"/>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194"/>
      <c r="R16" s="5"/>
    </row>
    <row r="17" spans="1:19" ht="15.6" x14ac:dyDescent="0.3">
      <c r="A17" s="183"/>
      <c r="B17" s="228" t="s">
        <v>3</v>
      </c>
      <c r="C17" s="194"/>
      <c r="D17" s="194"/>
      <c r="E17" s="194"/>
      <c r="F17" s="195"/>
      <c r="G17" s="195"/>
      <c r="H17" s="195"/>
      <c r="I17" s="195"/>
      <c r="J17" s="195"/>
      <c r="K17" s="195"/>
      <c r="L17" s="244" t="s">
        <v>115</v>
      </c>
      <c r="M17" s="245">
        <v>0.96040000000000003</v>
      </c>
      <c r="N17" s="246" t="s">
        <v>173</v>
      </c>
      <c r="O17" s="245">
        <v>3.9600000000000003E-2</v>
      </c>
      <c r="P17" s="243"/>
      <c r="Q17" s="194"/>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194"/>
      <c r="R18" s="5"/>
    </row>
    <row r="19" spans="1:19" ht="15.6" x14ac:dyDescent="0.3">
      <c r="A19" s="183"/>
      <c r="B19" s="228" t="s">
        <v>5</v>
      </c>
      <c r="C19" s="194"/>
      <c r="D19" s="194"/>
      <c r="E19" s="194"/>
      <c r="F19" s="194"/>
      <c r="G19" s="194"/>
      <c r="H19" s="194"/>
      <c r="I19" s="194"/>
      <c r="J19" s="194"/>
      <c r="K19" s="194"/>
      <c r="L19" s="236"/>
      <c r="M19" s="236"/>
      <c r="N19" s="236"/>
      <c r="O19" s="236"/>
      <c r="P19" s="247">
        <v>41781</v>
      </c>
      <c r="Q19" s="194"/>
      <c r="R19" s="5"/>
    </row>
    <row r="20" spans="1:19" ht="15.6" x14ac:dyDescent="0.3">
      <c r="A20" s="183"/>
      <c r="B20" s="185"/>
      <c r="C20" s="185"/>
      <c r="D20" s="185"/>
      <c r="E20" s="185"/>
      <c r="F20" s="185"/>
      <c r="G20" s="185"/>
      <c r="H20" s="185"/>
      <c r="I20" s="185"/>
      <c r="J20" s="185"/>
      <c r="K20" s="185"/>
      <c r="L20" s="236"/>
      <c r="M20" s="236"/>
      <c r="N20" s="236"/>
      <c r="O20" s="236"/>
      <c r="P20" s="248"/>
      <c r="Q20" s="185"/>
      <c r="R20" s="5"/>
    </row>
    <row r="21" spans="1:19" ht="15.6" x14ac:dyDescent="0.3">
      <c r="A21" s="183"/>
      <c r="B21" s="250" t="s">
        <v>6</v>
      </c>
      <c r="C21" s="185"/>
      <c r="D21" s="185"/>
      <c r="E21" s="185"/>
      <c r="F21" s="185"/>
      <c r="G21" s="185"/>
      <c r="H21" s="185"/>
      <c r="I21" s="185"/>
      <c r="J21" s="185"/>
      <c r="K21" s="185"/>
      <c r="L21" s="236"/>
      <c r="M21" s="236"/>
      <c r="N21" s="248" t="s">
        <v>116</v>
      </c>
      <c r="O21" s="236"/>
      <c r="P21" s="249"/>
      <c r="Q21" s="185"/>
      <c r="R21" s="5"/>
    </row>
    <row r="22" spans="1:19" ht="15.6" x14ac:dyDescent="0.3">
      <c r="A22" s="183"/>
      <c r="B22" s="185"/>
      <c r="C22" s="185"/>
      <c r="D22" s="185"/>
      <c r="E22" s="185"/>
      <c r="F22" s="185"/>
      <c r="G22" s="185"/>
      <c r="H22" s="185"/>
      <c r="I22" s="185"/>
      <c r="J22" s="185"/>
      <c r="K22" s="185"/>
      <c r="L22" s="185"/>
      <c r="M22" s="185"/>
      <c r="N22" s="185"/>
      <c r="O22" s="185"/>
      <c r="P22" s="197"/>
      <c r="Q22" s="185"/>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252"/>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230"/>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316</v>
      </c>
      <c r="K27" s="392"/>
      <c r="L27" s="392" t="s">
        <v>316</v>
      </c>
      <c r="M27" s="392"/>
      <c r="N27" s="262"/>
      <c r="O27" s="263"/>
      <c r="P27" s="263"/>
      <c r="Q27" s="264"/>
      <c r="R27" s="5"/>
    </row>
    <row r="28" spans="1:19" ht="15.6" x14ac:dyDescent="0.3">
      <c r="A28" s="265"/>
      <c r="B28" s="266" t="s">
        <v>10</v>
      </c>
      <c r="C28" s="392"/>
      <c r="D28" s="392" t="s">
        <v>178</v>
      </c>
      <c r="E28" s="392"/>
      <c r="F28" s="392" t="s">
        <v>178</v>
      </c>
      <c r="G28" s="392"/>
      <c r="H28" s="392" t="s">
        <v>178</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163886.715</v>
      </c>
      <c r="E34" s="271"/>
      <c r="F34" s="272">
        <f>+F33*F40</f>
        <v>80099.271999999997</v>
      </c>
      <c r="G34" s="271"/>
      <c r="H34" s="273">
        <f>+H33*H40</f>
        <v>182107.84999999998</v>
      </c>
      <c r="I34" s="271"/>
      <c r="J34" s="270">
        <f>J33*J40</f>
        <v>67619.120250000007</v>
      </c>
      <c r="K34" s="271"/>
      <c r="L34" s="273">
        <f>L33*L40</f>
        <v>53275.631500000003</v>
      </c>
      <c r="M34" s="271"/>
      <c r="N34" s="271"/>
      <c r="O34" s="274"/>
      <c r="P34" s="271"/>
      <c r="Q34" s="275"/>
      <c r="R34" s="5"/>
    </row>
    <row r="35" spans="1:19" ht="15.6" x14ac:dyDescent="0.3">
      <c r="A35" s="265"/>
      <c r="B35" s="266" t="s">
        <v>158</v>
      </c>
      <c r="C35" s="276"/>
      <c r="D35" s="277">
        <f>+D33*D39</f>
        <v>162038.20499999999</v>
      </c>
      <c r="E35" s="278"/>
      <c r="F35" s="279">
        <f>+F33*F39</f>
        <v>79195.819999999992</v>
      </c>
      <c r="G35" s="278"/>
      <c r="H35" s="280">
        <f>+H33*H39</f>
        <v>180053.80000000002</v>
      </c>
      <c r="I35" s="278"/>
      <c r="J35" s="277">
        <f>J33*J39</f>
        <v>66856.432499999995</v>
      </c>
      <c r="K35" s="278"/>
      <c r="L35" s="280">
        <f>L33*L39</f>
        <v>52674.719500000007</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92122.942664418209</v>
      </c>
      <c r="E37" s="271"/>
      <c r="F37" s="271">
        <f>+F34</f>
        <v>80099.271999999997</v>
      </c>
      <c r="G37" s="271"/>
      <c r="H37" s="271">
        <f>+H34/1.481481</f>
        <v>122922.83869992256</v>
      </c>
      <c r="I37" s="271"/>
      <c r="J37" s="271">
        <f>J36*J40</f>
        <v>38009.322211799998</v>
      </c>
      <c r="K37" s="271"/>
      <c r="L37" s="271">
        <f>L36*L40</f>
        <v>35961.051262499997</v>
      </c>
      <c r="M37" s="271"/>
      <c r="N37" s="271"/>
      <c r="O37" s="274"/>
      <c r="P37" s="271">
        <f>SUM(C37:L37)</f>
        <v>369115.42683864071</v>
      </c>
      <c r="Q37" s="275"/>
      <c r="R37" s="5"/>
      <c r="S37" s="154"/>
    </row>
    <row r="38" spans="1:19" ht="15.6" x14ac:dyDescent="0.3">
      <c r="A38" s="265"/>
      <c r="B38" s="266" t="s">
        <v>281</v>
      </c>
      <c r="C38" s="276"/>
      <c r="D38" s="278">
        <f>D35/1.779</f>
        <v>91083.87015177065</v>
      </c>
      <c r="E38" s="278"/>
      <c r="F38" s="278">
        <f>+F35</f>
        <v>79195.819999999992</v>
      </c>
      <c r="G38" s="278"/>
      <c r="H38" s="278">
        <f>H35/1.481481</f>
        <v>121536.35449931522</v>
      </c>
      <c r="I38" s="278"/>
      <c r="J38" s="278">
        <f>J36*J39</f>
        <v>37580.608494</v>
      </c>
      <c r="K38" s="278"/>
      <c r="L38" s="278">
        <f>L36*L39</f>
        <v>35555.4356625</v>
      </c>
      <c r="M38" s="278"/>
      <c r="N38" s="278"/>
      <c r="O38" s="281"/>
      <c r="P38" s="278">
        <f>SUM(D38:L38)</f>
        <v>364952.08880758582</v>
      </c>
      <c r="Q38" s="275"/>
      <c r="R38" s="5"/>
      <c r="S38" s="176"/>
    </row>
    <row r="39" spans="1:19" ht="15.6" x14ac:dyDescent="0.3">
      <c r="A39" s="265"/>
      <c r="B39" s="282" t="s">
        <v>154</v>
      </c>
      <c r="C39" s="283"/>
      <c r="D39" s="284">
        <v>0.36008489999999999</v>
      </c>
      <c r="E39" s="284"/>
      <c r="F39" s="284">
        <v>0.359981</v>
      </c>
      <c r="G39" s="284"/>
      <c r="H39" s="284">
        <v>0.36010760000000003</v>
      </c>
      <c r="I39" s="284"/>
      <c r="J39" s="284">
        <v>0.81038100000000002</v>
      </c>
      <c r="K39" s="284"/>
      <c r="L39" s="284">
        <v>0.81038030000000005</v>
      </c>
      <c r="M39" s="285"/>
      <c r="N39" s="285"/>
      <c r="O39" s="286"/>
      <c r="P39" s="285"/>
      <c r="Q39" s="287"/>
      <c r="R39" s="5"/>
    </row>
    <row r="40" spans="1:19" ht="15.6" x14ac:dyDescent="0.3">
      <c r="A40" s="265"/>
      <c r="B40" s="282" t="s">
        <v>155</v>
      </c>
      <c r="C40" s="283"/>
      <c r="D40" s="284">
        <v>0.36419269999999998</v>
      </c>
      <c r="E40" s="284"/>
      <c r="F40" s="284">
        <v>0.36408760000000001</v>
      </c>
      <c r="G40" s="284"/>
      <c r="H40" s="284">
        <v>0.36421569999999998</v>
      </c>
      <c r="I40" s="284"/>
      <c r="J40" s="284">
        <v>0.81962570000000001</v>
      </c>
      <c r="K40" s="284"/>
      <c r="L40" s="284">
        <v>0.8196251</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6.5585000000000001E-3</v>
      </c>
      <c r="E42" s="290"/>
      <c r="F42" s="289">
        <v>9.4094000000000001E-3</v>
      </c>
      <c r="G42" s="290"/>
      <c r="H42" s="289">
        <v>7.0699999999999999E-3</v>
      </c>
      <c r="I42" s="290"/>
      <c r="J42" s="289">
        <v>1.7358499999999999E-2</v>
      </c>
      <c r="K42" s="290"/>
      <c r="L42" s="289">
        <v>1.787E-2</v>
      </c>
      <c r="M42" s="290"/>
      <c r="N42" s="289"/>
      <c r="O42" s="263"/>
      <c r="P42" s="290"/>
      <c r="Q42" s="264"/>
      <c r="R42" s="5"/>
    </row>
    <row r="43" spans="1:19" ht="15.6" x14ac:dyDescent="0.3">
      <c r="A43" s="260"/>
      <c r="B43" s="261" t="s">
        <v>14</v>
      </c>
      <c r="C43" s="261"/>
      <c r="D43" s="289">
        <v>6.6059999999999999E-3</v>
      </c>
      <c r="E43" s="290"/>
      <c r="F43" s="289">
        <v>9.4406000000000004E-3</v>
      </c>
      <c r="G43" s="290"/>
      <c r="H43" s="289">
        <v>6.3800000000000003E-3</v>
      </c>
      <c r="I43" s="290"/>
      <c r="J43" s="289">
        <v>1.7406000000000001E-2</v>
      </c>
      <c r="K43" s="290"/>
      <c r="L43" s="289">
        <v>1.7180000000000001E-2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1.1299399999999999E-2</v>
      </c>
      <c r="E45" s="290"/>
      <c r="F45" s="289">
        <f>+F42</f>
        <v>9.4094000000000001E-3</v>
      </c>
      <c r="G45" s="290"/>
      <c r="H45" s="289">
        <v>1.10594E-2</v>
      </c>
      <c r="I45" s="290"/>
      <c r="J45" s="289">
        <v>2.3559400000000001E-2</v>
      </c>
      <c r="K45" s="290"/>
      <c r="L45" s="289">
        <v>2.3559400000000001E-2</v>
      </c>
      <c r="M45" s="290"/>
      <c r="N45" s="289"/>
      <c r="O45" s="263"/>
      <c r="P45" s="290">
        <f>SUMPRODUCT(D45:L45,D37:L37)/P37</f>
        <v>1.326623102531042E-2</v>
      </c>
      <c r="Q45" s="264"/>
      <c r="R45" s="5"/>
    </row>
    <row r="46" spans="1:19" ht="15.6" x14ac:dyDescent="0.3">
      <c r="A46" s="260"/>
      <c r="B46" s="261" t="s">
        <v>283</v>
      </c>
      <c r="C46" s="261"/>
      <c r="D46" s="289">
        <v>1.13306E-2</v>
      </c>
      <c r="E46" s="290"/>
      <c r="F46" s="289">
        <f>+F43</f>
        <v>9.4406000000000004E-3</v>
      </c>
      <c r="G46" s="290"/>
      <c r="H46" s="289">
        <v>1.1090600000000001E-2</v>
      </c>
      <c r="I46" s="290"/>
      <c r="J46" s="289">
        <v>2.35906E-2</v>
      </c>
      <c r="K46" s="290"/>
      <c r="L46" s="289">
        <v>2.35906E-2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0.25062379364351328</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41774</v>
      </c>
      <c r="Q57" s="264"/>
      <c r="R57" s="5"/>
    </row>
    <row r="58" spans="1:18" ht="15.6" x14ac:dyDescent="0.3">
      <c r="A58" s="260"/>
      <c r="B58" s="261" t="s">
        <v>142</v>
      </c>
      <c r="C58" s="261"/>
      <c r="D58" s="261"/>
      <c r="E58" s="261"/>
      <c r="F58" s="297"/>
      <c r="G58" s="297"/>
      <c r="H58" s="297"/>
      <c r="I58" s="297"/>
      <c r="J58" s="297"/>
      <c r="K58" s="297"/>
      <c r="L58" s="261">
        <f>+P58-N58+1</f>
        <v>95</v>
      </c>
      <c r="M58" s="297"/>
      <c r="N58" s="298">
        <v>41593</v>
      </c>
      <c r="O58" s="299"/>
      <c r="P58" s="298">
        <v>41687</v>
      </c>
      <c r="Q58" s="264"/>
      <c r="R58" s="5"/>
    </row>
    <row r="59" spans="1:18" ht="15.6" x14ac:dyDescent="0.3">
      <c r="A59" s="260"/>
      <c r="B59" s="261" t="s">
        <v>143</v>
      </c>
      <c r="C59" s="261"/>
      <c r="D59" s="261"/>
      <c r="E59" s="261"/>
      <c r="F59" s="261"/>
      <c r="G59" s="261"/>
      <c r="H59" s="261"/>
      <c r="I59" s="261"/>
      <c r="J59" s="261"/>
      <c r="K59" s="261"/>
      <c r="L59" s="261">
        <f>+P59-N59+1</f>
        <v>86</v>
      </c>
      <c r="M59" s="261"/>
      <c r="N59" s="298">
        <v>41688</v>
      </c>
      <c r="O59" s="299"/>
      <c r="P59" s="298">
        <v>41773</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41760</v>
      </c>
      <c r="Q62" s="264"/>
      <c r="R62" s="5"/>
    </row>
    <row r="63" spans="1:18" ht="15.6" x14ac:dyDescent="0.3">
      <c r="A63" s="183"/>
      <c r="B63" s="257"/>
      <c r="C63" s="257"/>
      <c r="D63" s="257"/>
      <c r="E63" s="257"/>
      <c r="F63" s="257"/>
      <c r="G63" s="257"/>
      <c r="H63" s="257"/>
      <c r="I63" s="257"/>
      <c r="J63" s="257"/>
      <c r="K63" s="257"/>
      <c r="L63" s="257"/>
      <c r="M63" s="257"/>
      <c r="N63" s="258"/>
      <c r="O63" s="259"/>
      <c r="P63" s="258"/>
      <c r="Q63" s="257"/>
      <c r="R63" s="5"/>
    </row>
    <row r="64" spans="1:18" ht="15.6" x14ac:dyDescent="0.3">
      <c r="A64" s="183"/>
      <c r="B64" s="236"/>
      <c r="C64" s="236"/>
      <c r="D64" s="236"/>
      <c r="E64" s="236"/>
      <c r="F64" s="236"/>
      <c r="G64" s="236"/>
      <c r="H64" s="236"/>
      <c r="I64" s="236"/>
      <c r="J64" s="236"/>
      <c r="K64" s="236"/>
      <c r="L64" s="236"/>
      <c r="M64" s="236"/>
      <c r="N64" s="237"/>
      <c r="O64" s="238"/>
      <c r="P64" s="237"/>
      <c r="Q64" s="236"/>
      <c r="R64" s="5"/>
    </row>
    <row r="65" spans="1:18" ht="18" thickBot="1" x14ac:dyDescent="0.35">
      <c r="A65" s="199"/>
      <c r="B65" s="239" t="s">
        <v>314</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390"/>
      <c r="R66" s="5"/>
    </row>
    <row r="67" spans="1:18" ht="15.6" x14ac:dyDescent="0.3">
      <c r="A67" s="183"/>
      <c r="B67" s="193"/>
      <c r="C67" s="185"/>
      <c r="D67" s="185"/>
      <c r="E67" s="185"/>
      <c r="F67" s="185"/>
      <c r="G67" s="185"/>
      <c r="H67" s="185"/>
      <c r="I67" s="185"/>
      <c r="J67" s="185"/>
      <c r="K67" s="185"/>
      <c r="L67" s="185"/>
      <c r="M67" s="185"/>
      <c r="N67" s="185"/>
      <c r="O67" s="185"/>
      <c r="P67" s="201"/>
      <c r="Q67" s="185"/>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205"/>
      <c r="R68" s="5"/>
    </row>
    <row r="69" spans="1:18" ht="15.6" x14ac:dyDescent="0.3">
      <c r="A69" s="260"/>
      <c r="B69" s="261" t="s">
        <v>23</v>
      </c>
      <c r="C69" s="330"/>
      <c r="D69" s="330"/>
      <c r="E69" s="330"/>
      <c r="F69" s="330">
        <v>690290</v>
      </c>
      <c r="G69" s="330"/>
      <c r="H69" s="331">
        <v>369115</v>
      </c>
      <c r="I69" s="330"/>
      <c r="J69" s="330">
        <f>4163+91</f>
        <v>4254</v>
      </c>
      <c r="K69" s="330"/>
      <c r="L69" s="330">
        <v>91</v>
      </c>
      <c r="M69" s="330"/>
      <c r="N69" s="330">
        <v>0</v>
      </c>
      <c r="O69" s="330"/>
      <c r="P69" s="331">
        <f>+H69-J69+L69-N69</f>
        <v>364952</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369115</v>
      </c>
      <c r="I72" s="330"/>
      <c r="J72" s="330">
        <f>SUM(J69:J71)</f>
        <v>4254</v>
      </c>
      <c r="K72" s="330"/>
      <c r="L72" s="330">
        <f>SUM(L69:L71)</f>
        <v>91</v>
      </c>
      <c r="M72" s="330"/>
      <c r="N72" s="330">
        <f>SUM(N69:N71)</f>
        <v>0</v>
      </c>
      <c r="O72" s="330"/>
      <c r="P72" s="330">
        <f>SUM(P69:P71)</f>
        <v>364952</v>
      </c>
      <c r="Q72" s="264"/>
      <c r="R72" s="5"/>
    </row>
    <row r="73" spans="1:18" ht="15.6" x14ac:dyDescent="0.3">
      <c r="A73" s="183"/>
      <c r="B73" s="190"/>
      <c r="C73" s="208"/>
      <c r="D73" s="208"/>
      <c r="E73" s="208"/>
      <c r="F73" s="208"/>
      <c r="G73" s="208"/>
      <c r="H73" s="208"/>
      <c r="I73" s="208"/>
      <c r="J73" s="208"/>
      <c r="K73" s="208"/>
      <c r="L73" s="208"/>
      <c r="M73" s="208"/>
      <c r="N73" s="208"/>
      <c r="O73" s="208"/>
      <c r="P73" s="329"/>
      <c r="Q73" s="190"/>
      <c r="R73" s="5"/>
    </row>
    <row r="74" spans="1:18" ht="15.6" x14ac:dyDescent="0.3">
      <c r="A74" s="183"/>
      <c r="B74" s="187" t="s">
        <v>26</v>
      </c>
      <c r="C74" s="206"/>
      <c r="D74" s="206"/>
      <c r="E74" s="206"/>
      <c r="F74" s="206"/>
      <c r="G74" s="206"/>
      <c r="H74" s="206"/>
      <c r="I74" s="206"/>
      <c r="J74" s="206"/>
      <c r="K74" s="206"/>
      <c r="L74" s="206"/>
      <c r="M74" s="206"/>
      <c r="N74" s="206"/>
      <c r="O74" s="206"/>
      <c r="P74" s="207"/>
      <c r="Q74" s="185"/>
      <c r="R74" s="5"/>
    </row>
    <row r="75" spans="1:18" ht="15.6" x14ac:dyDescent="0.3">
      <c r="A75" s="183"/>
      <c r="B75" s="185"/>
      <c r="C75" s="206"/>
      <c r="D75" s="206"/>
      <c r="E75" s="206"/>
      <c r="F75" s="206"/>
      <c r="G75" s="206"/>
      <c r="H75" s="206"/>
      <c r="I75" s="206"/>
      <c r="J75" s="206"/>
      <c r="K75" s="206"/>
      <c r="L75" s="206"/>
      <c r="M75" s="206"/>
      <c r="N75" s="206"/>
      <c r="O75" s="206"/>
      <c r="P75" s="207"/>
      <c r="Q75" s="185"/>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369115</v>
      </c>
      <c r="I86" s="330"/>
      <c r="J86" s="330">
        <f>SUM(J72:J85)</f>
        <v>4254</v>
      </c>
      <c r="K86" s="330"/>
      <c r="L86" s="330">
        <f>SUM(L72:L85)</f>
        <v>91</v>
      </c>
      <c r="M86" s="330"/>
      <c r="N86" s="330"/>
      <c r="O86" s="330"/>
      <c r="P86" s="330">
        <f>SUM(P72:P85)</f>
        <v>364952</v>
      </c>
      <c r="Q86" s="264"/>
      <c r="R86" s="5"/>
    </row>
    <row r="87" spans="1:18" ht="15.6" x14ac:dyDescent="0.3">
      <c r="A87" s="183"/>
      <c r="B87" s="257"/>
      <c r="C87" s="302"/>
      <c r="D87" s="302"/>
      <c r="E87" s="302"/>
      <c r="F87" s="302"/>
      <c r="G87" s="302"/>
      <c r="H87" s="302"/>
      <c r="I87" s="302"/>
      <c r="J87" s="302"/>
      <c r="K87" s="302"/>
      <c r="L87" s="302"/>
      <c r="M87" s="302"/>
      <c r="N87" s="302"/>
      <c r="O87" s="302"/>
      <c r="P87" s="302"/>
      <c r="Q87" s="257"/>
      <c r="R87" s="5"/>
    </row>
    <row r="88" spans="1:18" ht="15.6" x14ac:dyDescent="0.3">
      <c r="A88" s="183"/>
      <c r="B88" s="236"/>
      <c r="C88" s="236"/>
      <c r="D88" s="236"/>
      <c r="E88" s="236"/>
      <c r="F88" s="236"/>
      <c r="G88" s="236"/>
      <c r="H88" s="236"/>
      <c r="I88" s="236"/>
      <c r="J88" s="236"/>
      <c r="K88" s="236"/>
      <c r="L88" s="236"/>
      <c r="M88" s="236"/>
      <c r="N88" s="236"/>
      <c r="O88" s="236"/>
      <c r="P88" s="236"/>
      <c r="Q88" s="236"/>
      <c r="R88" s="5"/>
    </row>
    <row r="89" spans="1:18" ht="15.6" x14ac:dyDescent="0.3">
      <c r="A89" s="251"/>
      <c r="B89" s="393" t="s">
        <v>31</v>
      </c>
      <c r="C89" s="393"/>
      <c r="D89" s="393"/>
      <c r="E89" s="393"/>
      <c r="F89" s="394" t="s">
        <v>106</v>
      </c>
      <c r="G89" s="395"/>
      <c r="H89" s="396">
        <f>+N186</f>
        <v>41759</v>
      </c>
      <c r="I89" s="395"/>
      <c r="J89" s="395"/>
      <c r="K89" s="395"/>
      <c r="L89" s="395"/>
      <c r="M89" s="395"/>
      <c r="N89" s="395" t="s">
        <v>119</v>
      </c>
      <c r="O89" s="395"/>
      <c r="P89" s="395" t="s">
        <v>128</v>
      </c>
      <c r="Q89" s="252"/>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4254-76</f>
        <v>4178</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2707+121-691-38</f>
        <v>2099</v>
      </c>
      <c r="Q92" s="264"/>
      <c r="R92" s="5"/>
    </row>
    <row r="93" spans="1:18" ht="15.6" x14ac:dyDescent="0.3">
      <c r="A93" s="260"/>
      <c r="B93" s="261" t="s">
        <v>249</v>
      </c>
      <c r="C93" s="261"/>
      <c r="D93" s="261"/>
      <c r="E93" s="261"/>
      <c r="F93" s="292"/>
      <c r="G93" s="332"/>
      <c r="H93" s="333"/>
      <c r="I93" s="261"/>
      <c r="J93" s="261"/>
      <c r="K93" s="261"/>
      <c r="L93" s="261"/>
      <c r="M93" s="261"/>
      <c r="N93" s="330"/>
      <c r="O93" s="261"/>
      <c r="P93" s="331">
        <f>34+3</f>
        <v>37</v>
      </c>
      <c r="Q93" s="264"/>
      <c r="R93" s="5"/>
    </row>
    <row r="94" spans="1:18" ht="15.6" x14ac:dyDescent="0.3">
      <c r="A94" s="260"/>
      <c r="B94" s="261" t="s">
        <v>250</v>
      </c>
      <c r="C94" s="261"/>
      <c r="D94" s="261"/>
      <c r="E94" s="261"/>
      <c r="F94" s="292"/>
      <c r="G94" s="332"/>
      <c r="H94" s="333"/>
      <c r="I94" s="261"/>
      <c r="J94" s="261"/>
      <c r="K94" s="261"/>
      <c r="L94" s="261"/>
      <c r="M94" s="261"/>
      <c r="N94" s="330"/>
      <c r="O94" s="261"/>
      <c r="P94" s="331">
        <v>28</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146</v>
      </c>
      <c r="Q97" s="264"/>
      <c r="R97" s="5"/>
    </row>
    <row r="98" spans="1:19" ht="15.6" x14ac:dyDescent="0.3">
      <c r="A98" s="260"/>
      <c r="B98" s="261" t="s">
        <v>35</v>
      </c>
      <c r="C98" s="261"/>
      <c r="D98" s="261"/>
      <c r="E98" s="261"/>
      <c r="F98" s="261"/>
      <c r="G98" s="261"/>
      <c r="H98" s="261"/>
      <c r="I98" s="261"/>
      <c r="J98" s="261"/>
      <c r="K98" s="261"/>
      <c r="L98" s="261"/>
      <c r="M98" s="261"/>
      <c r="N98" s="330">
        <f>SUM(N90:N97)</f>
        <v>4178</v>
      </c>
      <c r="O98" s="261"/>
      <c r="P98" s="330">
        <f>SUM(P90:P97)</f>
        <v>2310</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-70</v>
      </c>
      <c r="Q101" s="264"/>
      <c r="R101" s="5"/>
    </row>
    <row r="102" spans="1:19" ht="15.6" x14ac:dyDescent="0.3">
      <c r="A102" s="260"/>
      <c r="B102" s="261" t="s">
        <v>37</v>
      </c>
      <c r="C102" s="261"/>
      <c r="D102" s="261"/>
      <c r="E102" s="261"/>
      <c r="F102" s="261"/>
      <c r="G102" s="261"/>
      <c r="H102" s="261"/>
      <c r="I102" s="261"/>
      <c r="J102" s="261"/>
      <c r="K102" s="261"/>
      <c r="L102" s="261"/>
      <c r="M102" s="261"/>
      <c r="N102" s="330">
        <f>N98+N100+N99</f>
        <v>4178</v>
      </c>
      <c r="O102" s="261"/>
      <c r="P102" s="330">
        <f>P98+P100+P99+P101</f>
        <v>2240</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-91-67-5</f>
        <v>-163</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-245</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-178</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-320</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-211</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-200</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76</v>
      </c>
      <c r="O115" s="261"/>
      <c r="P115" s="331">
        <v>-76</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-184</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-653</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-91</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-1039</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-903</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-1386</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-429</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-406</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-4254</v>
      </c>
      <c r="O129" s="330"/>
      <c r="P129" s="330">
        <f>SUM(P103:P128)</f>
        <v>-2240</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257"/>
      <c r="R131" s="5"/>
    </row>
    <row r="132" spans="1:19" ht="15.6" x14ac:dyDescent="0.3">
      <c r="A132" s="301"/>
      <c r="B132" s="257"/>
      <c r="C132" s="257"/>
      <c r="D132" s="257"/>
      <c r="E132" s="257"/>
      <c r="F132" s="257"/>
      <c r="G132" s="257"/>
      <c r="H132" s="257"/>
      <c r="I132" s="257"/>
      <c r="J132" s="257"/>
      <c r="K132" s="257"/>
      <c r="L132" s="257"/>
      <c r="M132" s="257"/>
      <c r="N132" s="302"/>
      <c r="O132" s="302"/>
      <c r="P132" s="302"/>
      <c r="Q132" s="257"/>
      <c r="R132" s="5"/>
    </row>
    <row r="133" spans="1:19" ht="18" thickBot="1" x14ac:dyDescent="0.35">
      <c r="A133" s="303"/>
      <c r="B133" s="239" t="str">
        <f>B65</f>
        <v>PM7 INVESTOR REPORT QUARTER ENDING APRIL 2014</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326"/>
      <c r="R134" s="5"/>
    </row>
    <row r="135" spans="1:19" ht="15.6" x14ac:dyDescent="0.3">
      <c r="A135" s="183"/>
      <c r="B135" s="196"/>
      <c r="C135" s="185"/>
      <c r="D135" s="185"/>
      <c r="E135" s="185"/>
      <c r="F135" s="185"/>
      <c r="G135" s="185"/>
      <c r="H135" s="185"/>
      <c r="I135" s="185"/>
      <c r="J135" s="185"/>
      <c r="K135" s="185"/>
      <c r="L135" s="185"/>
      <c r="M135" s="185"/>
      <c r="N135" s="185"/>
      <c r="O135" s="185"/>
      <c r="P135" s="201"/>
      <c r="Q135" s="185"/>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185"/>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190"/>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185"/>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190"/>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185"/>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76</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76</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-76</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f>-P101</f>
        <v>70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190"/>
      <c r="R160" s="5"/>
    </row>
    <row r="161" spans="1:19" ht="15.6" x14ac:dyDescent="0.3">
      <c r="A161" s="180"/>
      <c r="B161" s="181"/>
      <c r="C161" s="181"/>
      <c r="D161" s="181"/>
      <c r="E161" s="181"/>
      <c r="F161" s="181"/>
      <c r="G161" s="181"/>
      <c r="H161" s="181"/>
      <c r="I161" s="181"/>
      <c r="J161" s="181"/>
      <c r="K161" s="181"/>
      <c r="L161" s="181"/>
      <c r="M161" s="181"/>
      <c r="N161" s="181"/>
      <c r="O161" s="181"/>
      <c r="P161" s="200"/>
      <c r="Q161" s="181"/>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185"/>
      <c r="R162" s="5"/>
    </row>
    <row r="163" spans="1:19" ht="15.6" x14ac:dyDescent="0.3">
      <c r="A163" s="183"/>
      <c r="B163" s="196"/>
      <c r="C163" s="185"/>
      <c r="D163" s="185"/>
      <c r="E163" s="185"/>
      <c r="F163" s="185"/>
      <c r="G163" s="185"/>
      <c r="H163" s="185"/>
      <c r="I163" s="185"/>
      <c r="J163" s="185"/>
      <c r="K163" s="185"/>
      <c r="L163" s="185"/>
      <c r="M163" s="185"/>
      <c r="N163" s="185"/>
      <c r="O163" s="185"/>
      <c r="P163" s="201"/>
      <c r="Q163" s="185"/>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364952</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364952.08880758582</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190"/>
      <c r="R167" s="5"/>
    </row>
    <row r="168" spans="1:19" ht="15.6" x14ac:dyDescent="0.3">
      <c r="A168" s="180"/>
      <c r="B168" s="181"/>
      <c r="C168" s="181"/>
      <c r="D168" s="181"/>
      <c r="E168" s="181"/>
      <c r="F168" s="181"/>
      <c r="G168" s="181"/>
      <c r="H168" s="181"/>
      <c r="I168" s="181"/>
      <c r="J168" s="181"/>
      <c r="K168" s="181"/>
      <c r="L168" s="181"/>
      <c r="M168" s="181"/>
      <c r="N168" s="181"/>
      <c r="O168" s="181"/>
      <c r="P168" s="200"/>
      <c r="Q168" s="181"/>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2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+'Jan 14'!M173</f>
        <v>88625</v>
      </c>
      <c r="N171" s="331">
        <f>+'Jan 14'!N173</f>
        <v>10225</v>
      </c>
      <c r="O171" s="261"/>
      <c r="P171" s="331">
        <f>M171+N171</f>
        <v>98850</v>
      </c>
      <c r="Q171" s="264"/>
      <c r="R171" s="5"/>
    </row>
    <row r="172" spans="1:19" ht="15.6" x14ac:dyDescent="0.3">
      <c r="A172" s="260"/>
      <c r="B172" s="261" t="s">
        <v>69</v>
      </c>
      <c r="C172" s="261"/>
      <c r="D172" s="261"/>
      <c r="E172" s="261"/>
      <c r="F172" s="261"/>
      <c r="G172" s="261"/>
      <c r="H172" s="261"/>
      <c r="I172" s="261"/>
      <c r="J172" s="261"/>
      <c r="K172" s="261"/>
      <c r="L172" s="261"/>
      <c r="M172" s="330">
        <v>91</v>
      </c>
      <c r="N172" s="330">
        <f>-N99-N122</f>
        <v>0</v>
      </c>
      <c r="O172" s="261"/>
      <c r="P172" s="331">
        <f>M172+N172</f>
        <v>91</v>
      </c>
      <c r="Q172" s="264"/>
      <c r="R172" s="5"/>
    </row>
    <row r="173" spans="1:19" ht="15.6" x14ac:dyDescent="0.3">
      <c r="A173" s="260"/>
      <c r="B173" s="261" t="s">
        <v>70</v>
      </c>
      <c r="C173" s="261"/>
      <c r="D173" s="261"/>
      <c r="E173" s="261"/>
      <c r="F173" s="261"/>
      <c r="G173" s="261"/>
      <c r="H173" s="261"/>
      <c r="I173" s="261"/>
      <c r="J173" s="261"/>
      <c r="K173" s="261"/>
      <c r="L173" s="261"/>
      <c r="M173" s="331">
        <f>M171+M172</f>
        <v>88716</v>
      </c>
      <c r="N173" s="331">
        <f>N172+N171</f>
        <v>10225</v>
      </c>
      <c r="O173" s="261"/>
      <c r="P173" s="331">
        <f>M173+N173</f>
        <v>98941</v>
      </c>
      <c r="Q173" s="264"/>
      <c r="R173" s="5"/>
    </row>
    <row r="174" spans="1:19" ht="15.6" x14ac:dyDescent="0.3">
      <c r="A174" s="260"/>
      <c r="B174" s="261" t="s">
        <v>71</v>
      </c>
      <c r="C174" s="261"/>
      <c r="D174" s="261"/>
      <c r="E174" s="261"/>
      <c r="F174" s="261"/>
      <c r="G174" s="261"/>
      <c r="H174" s="261"/>
      <c r="I174" s="261"/>
      <c r="J174" s="261"/>
      <c r="K174" s="261"/>
      <c r="L174" s="261"/>
      <c r="M174" s="331">
        <f>M170-M173-N173</f>
        <v>45059</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190"/>
      <c r="R175" s="5"/>
    </row>
    <row r="176" spans="1:19" ht="15.6" x14ac:dyDescent="0.3">
      <c r="A176" s="180"/>
      <c r="B176" s="181"/>
      <c r="C176" s="181"/>
      <c r="D176" s="181"/>
      <c r="E176" s="181"/>
      <c r="F176" s="181"/>
      <c r="G176" s="181"/>
      <c r="H176" s="181"/>
      <c r="I176" s="181"/>
      <c r="J176" s="181"/>
      <c r="K176" s="181"/>
      <c r="L176" s="181"/>
      <c r="M176" s="181"/>
      <c r="N176" s="181"/>
      <c r="O176" s="181"/>
      <c r="P176" s="200"/>
      <c r="Q176" s="181"/>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185"/>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2.7927321668909824</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1.54</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3.2408759124087592</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2.54</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190"/>
      <c r="R183" s="5"/>
    </row>
    <row r="184" spans="1:18" ht="15.6" x14ac:dyDescent="0.3">
      <c r="A184" s="183"/>
      <c r="B184" s="185"/>
      <c r="C184" s="185"/>
      <c r="D184" s="185"/>
      <c r="E184" s="185"/>
      <c r="F184" s="185"/>
      <c r="G184" s="185"/>
      <c r="H184" s="185"/>
      <c r="I184" s="185"/>
      <c r="J184" s="185"/>
      <c r="K184" s="185"/>
      <c r="L184" s="185"/>
      <c r="M184" s="185"/>
      <c r="N184" s="185"/>
      <c r="O184" s="185"/>
      <c r="P184" s="185"/>
      <c r="Q184" s="185"/>
      <c r="R184" s="5"/>
    </row>
    <row r="185" spans="1:18" ht="18" thickBot="1" x14ac:dyDescent="0.35">
      <c r="A185" s="199"/>
      <c r="B185" s="239" t="str">
        <f>B133</f>
        <v>PM7 INVESTOR REPORT QUARTER ENDING APRIL 2014</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41759</v>
      </c>
      <c r="O186" s="326"/>
      <c r="P186" s="326"/>
      <c r="Q186" s="326"/>
      <c r="R186" s="5"/>
    </row>
    <row r="187" spans="1:18" ht="15.6" x14ac:dyDescent="0.3">
      <c r="A187" s="217"/>
      <c r="B187" s="218"/>
      <c r="C187" s="219"/>
      <c r="D187" s="219"/>
      <c r="E187" s="220"/>
      <c r="F187" s="220"/>
      <c r="G187" s="220"/>
      <c r="H187" s="220"/>
      <c r="I187" s="220"/>
      <c r="J187" s="220"/>
      <c r="K187" s="220"/>
      <c r="L187" s="220"/>
      <c r="M187" s="220"/>
      <c r="N187" s="220"/>
      <c r="O187" s="185"/>
      <c r="P187" s="185"/>
      <c r="Q187" s="185"/>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2.3279999999999999E-2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1.326623102531042E-2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1.0013768974689578E-2</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6.0685694160356532E-3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12.57</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1.1524863524917708E-2</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0.1018</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190"/>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252"/>
      <c r="R205" s="5"/>
    </row>
    <row r="206" spans="1:18" ht="15.6" x14ac:dyDescent="0.3">
      <c r="A206" s="221"/>
      <c r="B206" s="230" t="s">
        <v>87</v>
      </c>
      <c r="C206" s="235"/>
      <c r="D206" s="230"/>
      <c r="E206" s="230"/>
      <c r="F206" s="234"/>
      <c r="G206" s="234"/>
      <c r="H206" s="234"/>
      <c r="I206" s="234"/>
      <c r="J206" s="234"/>
      <c r="K206" s="234"/>
      <c r="L206" s="234"/>
      <c r="M206" s="234">
        <v>0</v>
      </c>
      <c r="N206" s="305">
        <v>0</v>
      </c>
      <c r="O206" s="230"/>
      <c r="P206" s="306"/>
      <c r="Q206" s="307"/>
      <c r="R206" s="5"/>
    </row>
    <row r="207" spans="1:18" ht="15.6" x14ac:dyDescent="0.3">
      <c r="A207" s="351"/>
      <c r="B207" s="261" t="s">
        <v>203</v>
      </c>
      <c r="C207" s="330"/>
      <c r="D207" s="261"/>
      <c r="E207" s="261"/>
      <c r="F207" s="268"/>
      <c r="G207" s="268"/>
      <c r="H207" s="268"/>
      <c r="I207" s="268"/>
      <c r="J207" s="268"/>
      <c r="K207" s="268"/>
      <c r="L207" s="268"/>
      <c r="M207" s="352">
        <f>+L255</f>
        <v>41</v>
      </c>
      <c r="N207" s="353">
        <f>+N255</f>
        <v>7012</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76</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'Jan 14'!N213+'April 14'!N212</f>
        <v>5837</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1</v>
      </c>
      <c r="N219" s="353">
        <v>121</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350"/>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393"/>
      <c r="R224" s="5"/>
    </row>
    <row r="225" spans="1:18" ht="15.6" x14ac:dyDescent="0.3">
      <c r="A225" s="198"/>
      <c r="B225" s="235" t="s">
        <v>98</v>
      </c>
      <c r="C225" s="309"/>
      <c r="D225" s="230"/>
      <c r="E225" s="309"/>
      <c r="F225" s="309"/>
      <c r="G225" s="309"/>
      <c r="H225" s="309"/>
      <c r="I225" s="309"/>
      <c r="J225" s="309"/>
      <c r="K225" s="309"/>
      <c r="L225" s="330">
        <f t="shared" ref="L225:L232" si="1">+L236+L247+L258</f>
        <v>3134</v>
      </c>
      <c r="M225" s="382">
        <f t="shared" ref="M225:M232" si="2">L225/$L$233</f>
        <v>0.99240025332488913</v>
      </c>
      <c r="N225" s="331">
        <f t="shared" ref="N225:N232" si="3">+N236+N247+N258</f>
        <v>362681</v>
      </c>
      <c r="O225" s="382">
        <f t="shared" ref="O225:O232" si="4">N225/$N$233</f>
        <v>0.99377726385935683</v>
      </c>
      <c r="P225" s="306"/>
      <c r="Q225" s="233"/>
      <c r="R225" s="5"/>
    </row>
    <row r="226" spans="1:18" ht="15.6" x14ac:dyDescent="0.3">
      <c r="A226" s="260"/>
      <c r="B226" s="330" t="s">
        <v>99</v>
      </c>
      <c r="C226" s="381"/>
      <c r="D226" s="261"/>
      <c r="E226" s="382"/>
      <c r="F226" s="381"/>
      <c r="G226" s="381"/>
      <c r="H226" s="381"/>
      <c r="I226" s="381"/>
      <c r="J226" s="381"/>
      <c r="K226" s="381"/>
      <c r="L226" s="330">
        <f t="shared" si="1"/>
        <v>10</v>
      </c>
      <c r="M226" s="382">
        <f t="shared" si="2"/>
        <v>3.1665611146295125E-3</v>
      </c>
      <c r="N226" s="331">
        <f t="shared" si="3"/>
        <v>1124</v>
      </c>
      <c r="O226" s="382">
        <f t="shared" si="4"/>
        <v>3.07985707709507E-3</v>
      </c>
      <c r="P226" s="354"/>
      <c r="Q226" s="373"/>
      <c r="R226" s="5"/>
    </row>
    <row r="227" spans="1:18" ht="15.6" x14ac:dyDescent="0.3">
      <c r="A227" s="260"/>
      <c r="B227" s="330" t="s">
        <v>100</v>
      </c>
      <c r="C227" s="381"/>
      <c r="D227" s="261"/>
      <c r="E227" s="382"/>
      <c r="F227" s="381"/>
      <c r="G227" s="381"/>
      <c r="H227" s="381"/>
      <c r="I227" s="381"/>
      <c r="J227" s="381"/>
      <c r="K227" s="381"/>
      <c r="L227" s="330">
        <f t="shared" si="1"/>
        <v>1</v>
      </c>
      <c r="M227" s="382">
        <f t="shared" si="2"/>
        <v>3.1665611146295124E-4</v>
      </c>
      <c r="N227" s="331">
        <f t="shared" si="3"/>
        <v>49</v>
      </c>
      <c r="O227" s="382">
        <f t="shared" si="4"/>
        <v>1.3426423200859291E-4</v>
      </c>
      <c r="P227" s="354"/>
      <c r="Q227" s="373"/>
      <c r="R227" s="5"/>
    </row>
    <row r="228" spans="1:18" ht="15.6" x14ac:dyDescent="0.3">
      <c r="A228" s="260"/>
      <c r="B228" s="330" t="s">
        <v>227</v>
      </c>
      <c r="C228" s="381"/>
      <c r="D228" s="261"/>
      <c r="E228" s="382"/>
      <c r="F228" s="381"/>
      <c r="G228" s="381"/>
      <c r="H228" s="381"/>
      <c r="I228" s="381"/>
      <c r="J228" s="381"/>
      <c r="K228" s="381"/>
      <c r="L228" s="330">
        <f t="shared" si="1"/>
        <v>2</v>
      </c>
      <c r="M228" s="382">
        <f t="shared" si="2"/>
        <v>6.3331222292590248E-4</v>
      </c>
      <c r="N228" s="331">
        <f t="shared" si="3"/>
        <v>73</v>
      </c>
      <c r="O228" s="382">
        <f t="shared" si="4"/>
        <v>2.0002630482912821E-4</v>
      </c>
      <c r="P228" s="354"/>
      <c r="Q228" s="373"/>
      <c r="R228" s="5"/>
    </row>
    <row r="229" spans="1:18" ht="15.6" x14ac:dyDescent="0.3">
      <c r="A229" s="260"/>
      <c r="B229" s="330" t="s">
        <v>228</v>
      </c>
      <c r="C229" s="381"/>
      <c r="D229" s="261"/>
      <c r="E229" s="382"/>
      <c r="F229" s="381"/>
      <c r="G229" s="381"/>
      <c r="H229" s="381"/>
      <c r="I229" s="381"/>
      <c r="J229" s="381"/>
      <c r="K229" s="381"/>
      <c r="L229" s="330">
        <f t="shared" si="1"/>
        <v>1</v>
      </c>
      <c r="M229" s="382">
        <f t="shared" si="2"/>
        <v>3.1665611146295124E-4</v>
      </c>
      <c r="N229" s="331">
        <f t="shared" si="3"/>
        <v>19</v>
      </c>
      <c r="O229" s="382">
        <f t="shared" si="4"/>
        <v>5.2061640982923784E-5</v>
      </c>
      <c r="P229" s="354"/>
      <c r="Q229" s="373"/>
      <c r="R229" s="5"/>
    </row>
    <row r="230" spans="1:18" ht="15.6" x14ac:dyDescent="0.3">
      <c r="A230" s="260"/>
      <c r="B230" s="330" t="s">
        <v>229</v>
      </c>
      <c r="C230" s="381"/>
      <c r="D230" s="261"/>
      <c r="E230" s="382"/>
      <c r="F230" s="381"/>
      <c r="G230" s="381"/>
      <c r="H230" s="381"/>
      <c r="I230" s="381"/>
      <c r="J230" s="381"/>
      <c r="K230" s="381"/>
      <c r="L230" s="330">
        <f t="shared" si="1"/>
        <v>0</v>
      </c>
      <c r="M230" s="382">
        <f t="shared" si="2"/>
        <v>0</v>
      </c>
      <c r="N230" s="331">
        <f t="shared" si="3"/>
        <v>0</v>
      </c>
      <c r="O230" s="382">
        <f t="shared" si="4"/>
        <v>0</v>
      </c>
      <c r="P230" s="354"/>
      <c r="Q230" s="373"/>
      <c r="R230" s="5"/>
    </row>
    <row r="231" spans="1:18" ht="15.6" x14ac:dyDescent="0.3">
      <c r="A231" s="260"/>
      <c r="B231" s="330" t="s">
        <v>230</v>
      </c>
      <c r="C231" s="381"/>
      <c r="D231" s="261"/>
      <c r="E231" s="382"/>
      <c r="F231" s="381"/>
      <c r="G231" s="381"/>
      <c r="H231" s="381"/>
      <c r="I231" s="381"/>
      <c r="J231" s="381"/>
      <c r="K231" s="381"/>
      <c r="L231" s="330">
        <f t="shared" si="1"/>
        <v>5</v>
      </c>
      <c r="M231" s="382">
        <f t="shared" si="2"/>
        <v>1.5832805573147563E-3</v>
      </c>
      <c r="N231" s="331">
        <f t="shared" si="3"/>
        <v>191</v>
      </c>
      <c r="O231" s="382">
        <f t="shared" si="4"/>
        <v>5.2335649619676011E-4</v>
      </c>
      <c r="P231" s="354"/>
      <c r="Q231" s="373"/>
      <c r="R231" s="5"/>
    </row>
    <row r="232" spans="1:18" ht="15.6" x14ac:dyDescent="0.3">
      <c r="A232" s="260"/>
      <c r="B232" s="330" t="s">
        <v>231</v>
      </c>
      <c r="C232" s="381"/>
      <c r="D232" s="261"/>
      <c r="E232" s="382"/>
      <c r="F232" s="381"/>
      <c r="G232" s="381"/>
      <c r="H232" s="381"/>
      <c r="I232" s="381"/>
      <c r="J232" s="381"/>
      <c r="K232" s="381"/>
      <c r="L232" s="330">
        <f t="shared" si="1"/>
        <v>5</v>
      </c>
      <c r="M232" s="382">
        <f t="shared" si="2"/>
        <v>1.5832805573147563E-3</v>
      </c>
      <c r="N232" s="331">
        <f t="shared" si="3"/>
        <v>815</v>
      </c>
      <c r="O232" s="382">
        <f t="shared" si="4"/>
        <v>2.2331703895306781E-3</v>
      </c>
      <c r="P232" s="354"/>
      <c r="Q232" s="373"/>
      <c r="R232" s="5"/>
    </row>
    <row r="233" spans="1:18" ht="15.6" x14ac:dyDescent="0.3">
      <c r="A233" s="260"/>
      <c r="B233" s="261" t="s">
        <v>129</v>
      </c>
      <c r="C233" s="261"/>
      <c r="D233" s="261"/>
      <c r="E233" s="261"/>
      <c r="F233" s="383"/>
      <c r="G233" s="383"/>
      <c r="H233" s="383"/>
      <c r="I233" s="383"/>
      <c r="J233" s="383"/>
      <c r="K233" s="383"/>
      <c r="L233" s="330">
        <f>SUM(L225:L232)</f>
        <v>3158</v>
      </c>
      <c r="M233" s="382">
        <f>SUM(M225:M232)</f>
        <v>0.99999999999999989</v>
      </c>
      <c r="N233" s="330">
        <f>SUM(N225:N232)</f>
        <v>364952</v>
      </c>
      <c r="O233" s="382">
        <f>SUM(O225:O232)</f>
        <v>0.99999999999999989</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350"/>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393"/>
      <c r="R235" s="5"/>
    </row>
    <row r="236" spans="1:18" ht="15.6" x14ac:dyDescent="0.3">
      <c r="A236" s="198"/>
      <c r="B236" s="235" t="s">
        <v>98</v>
      </c>
      <c r="C236" s="309"/>
      <c r="D236" s="230"/>
      <c r="E236" s="309"/>
      <c r="F236" s="309"/>
      <c r="G236" s="309"/>
      <c r="H236" s="309"/>
      <c r="I236" s="309"/>
      <c r="J236" s="309"/>
      <c r="K236" s="309"/>
      <c r="L236" s="235">
        <v>3097</v>
      </c>
      <c r="M236" s="310">
        <f t="shared" ref="M236:M243" si="5">L236/$L$244</f>
        <v>0.99358357394931018</v>
      </c>
      <c r="N236" s="300">
        <v>356473</v>
      </c>
      <c r="O236" s="310">
        <f t="shared" ref="O236:O243" si="6">N236/$N$244</f>
        <v>0.99590154774543216</v>
      </c>
      <c r="P236" s="306"/>
      <c r="Q236" s="233"/>
      <c r="R236" s="5"/>
    </row>
    <row r="237" spans="1:18" ht="15.6" x14ac:dyDescent="0.3">
      <c r="A237" s="260"/>
      <c r="B237" s="330" t="s">
        <v>99</v>
      </c>
      <c r="C237" s="381"/>
      <c r="D237" s="261"/>
      <c r="E237" s="382"/>
      <c r="F237" s="381"/>
      <c r="G237" s="381"/>
      <c r="H237" s="381"/>
      <c r="I237" s="381"/>
      <c r="J237" s="381"/>
      <c r="K237" s="381"/>
      <c r="L237" s="330">
        <v>10</v>
      </c>
      <c r="M237" s="382">
        <f t="shared" si="5"/>
        <v>3.208213025344883E-3</v>
      </c>
      <c r="N237" s="331">
        <v>1124</v>
      </c>
      <c r="O237" s="382">
        <f t="shared" si="6"/>
        <v>3.1401910934793541E-3</v>
      </c>
      <c r="P237" s="354"/>
      <c r="Q237" s="373"/>
      <c r="R237" s="5"/>
    </row>
    <row r="238" spans="1:18" ht="15.6" x14ac:dyDescent="0.3">
      <c r="A238" s="260"/>
      <c r="B238" s="330" t="s">
        <v>100</v>
      </c>
      <c r="C238" s="381"/>
      <c r="D238" s="261"/>
      <c r="E238" s="382"/>
      <c r="F238" s="381"/>
      <c r="G238" s="381"/>
      <c r="H238" s="381"/>
      <c r="I238" s="381"/>
      <c r="J238" s="381"/>
      <c r="K238" s="381"/>
      <c r="L238" s="330">
        <v>1</v>
      </c>
      <c r="M238" s="382">
        <f t="shared" si="5"/>
        <v>3.2082130253448829E-4</v>
      </c>
      <c r="N238" s="331">
        <v>49</v>
      </c>
      <c r="O238" s="382">
        <f t="shared" si="6"/>
        <v>1.3689445158406437E-4</v>
      </c>
      <c r="P238" s="354"/>
      <c r="Q238" s="373"/>
      <c r="R238" s="5"/>
    </row>
    <row r="239" spans="1:18" ht="15.6" x14ac:dyDescent="0.3">
      <c r="A239" s="260"/>
      <c r="B239" s="330" t="s">
        <v>227</v>
      </c>
      <c r="C239" s="381"/>
      <c r="D239" s="261"/>
      <c r="E239" s="382"/>
      <c r="F239" s="381"/>
      <c r="G239" s="381"/>
      <c r="H239" s="381"/>
      <c r="I239" s="381"/>
      <c r="J239" s="381"/>
      <c r="K239" s="381"/>
      <c r="L239" s="330">
        <v>2</v>
      </c>
      <c r="M239" s="382">
        <f t="shared" si="5"/>
        <v>6.4164260506897658E-4</v>
      </c>
      <c r="N239" s="331">
        <v>73</v>
      </c>
      <c r="O239" s="382">
        <f t="shared" si="6"/>
        <v>2.039447952170755E-4</v>
      </c>
      <c r="P239" s="354"/>
      <c r="Q239" s="373"/>
      <c r="R239" s="5"/>
    </row>
    <row r="240" spans="1:18" ht="15.6" x14ac:dyDescent="0.3">
      <c r="A240" s="260"/>
      <c r="B240" s="330" t="s">
        <v>228</v>
      </c>
      <c r="C240" s="381"/>
      <c r="D240" s="261"/>
      <c r="E240" s="382"/>
      <c r="F240" s="381"/>
      <c r="G240" s="381"/>
      <c r="H240" s="381"/>
      <c r="I240" s="381"/>
      <c r="J240" s="381"/>
      <c r="K240" s="381"/>
      <c r="L240" s="330">
        <v>1</v>
      </c>
      <c r="M240" s="382">
        <f t="shared" si="5"/>
        <v>3.2082130253448829E-4</v>
      </c>
      <c r="N240" s="331">
        <v>19</v>
      </c>
      <c r="O240" s="382">
        <f t="shared" si="6"/>
        <v>5.308152204280047E-5</v>
      </c>
      <c r="P240" s="354"/>
      <c r="Q240" s="373"/>
      <c r="R240" s="5"/>
    </row>
    <row r="241" spans="1:18" ht="15.6" x14ac:dyDescent="0.3">
      <c r="A241" s="260"/>
      <c r="B241" s="330" t="s">
        <v>229</v>
      </c>
      <c r="C241" s="381"/>
      <c r="D241" s="261"/>
      <c r="E241" s="382"/>
      <c r="F241" s="381"/>
      <c r="G241" s="381"/>
      <c r="H241" s="381"/>
      <c r="I241" s="381"/>
      <c r="J241" s="381"/>
      <c r="K241" s="381"/>
      <c r="L241" s="330">
        <v>0</v>
      </c>
      <c r="M241" s="382">
        <f t="shared" si="5"/>
        <v>0</v>
      </c>
      <c r="N241" s="331">
        <v>0</v>
      </c>
      <c r="O241" s="382">
        <f t="shared" si="6"/>
        <v>0</v>
      </c>
      <c r="P241" s="354"/>
      <c r="Q241" s="373"/>
      <c r="R241" s="5"/>
    </row>
    <row r="242" spans="1:18" ht="15.6" x14ac:dyDescent="0.3">
      <c r="A242" s="260"/>
      <c r="B242" s="330" t="s">
        <v>230</v>
      </c>
      <c r="C242" s="381"/>
      <c r="D242" s="261"/>
      <c r="E242" s="382"/>
      <c r="F242" s="381"/>
      <c r="G242" s="381"/>
      <c r="H242" s="381"/>
      <c r="I242" s="381"/>
      <c r="J242" s="381"/>
      <c r="K242" s="381"/>
      <c r="L242" s="330">
        <v>5</v>
      </c>
      <c r="M242" s="382">
        <f t="shared" si="5"/>
        <v>1.6041065126724415E-3</v>
      </c>
      <c r="N242" s="331">
        <v>191</v>
      </c>
      <c r="O242" s="382">
        <f t="shared" si="6"/>
        <v>5.3360898474604684E-4</v>
      </c>
      <c r="P242" s="354"/>
      <c r="Q242" s="373"/>
      <c r="R242" s="5"/>
    </row>
    <row r="243" spans="1:18" ht="15.6" x14ac:dyDescent="0.3">
      <c r="A243" s="260"/>
      <c r="B243" s="330" t="s">
        <v>231</v>
      </c>
      <c r="C243" s="381"/>
      <c r="D243" s="261"/>
      <c r="E243" s="382"/>
      <c r="F243" s="381"/>
      <c r="G243" s="381"/>
      <c r="H243" s="381"/>
      <c r="I243" s="381"/>
      <c r="J243" s="381"/>
      <c r="K243" s="381"/>
      <c r="L243" s="330">
        <v>1</v>
      </c>
      <c r="M243" s="382">
        <f t="shared" si="5"/>
        <v>3.2082130253448829E-4</v>
      </c>
      <c r="N243" s="331">
        <v>11</v>
      </c>
      <c r="O243" s="382">
        <f t="shared" si="6"/>
        <v>3.0731407498463427E-5</v>
      </c>
      <c r="P243" s="354"/>
      <c r="Q243" s="373"/>
      <c r="R243" s="5"/>
    </row>
    <row r="244" spans="1:18" ht="15.6" x14ac:dyDescent="0.3">
      <c r="A244" s="260"/>
      <c r="B244" s="261" t="s">
        <v>129</v>
      </c>
      <c r="C244" s="261"/>
      <c r="D244" s="261"/>
      <c r="E244" s="261"/>
      <c r="F244" s="383"/>
      <c r="G244" s="383"/>
      <c r="H244" s="383"/>
      <c r="I244" s="383"/>
      <c r="J244" s="383"/>
      <c r="K244" s="383"/>
      <c r="L244" s="330">
        <f>SUM(L236:L243)</f>
        <v>3117</v>
      </c>
      <c r="M244" s="382">
        <f>SUM(M236:M243)</f>
        <v>1</v>
      </c>
      <c r="N244" s="331">
        <f>SUM(N236:N243)</f>
        <v>357940</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257"/>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37</v>
      </c>
      <c r="M247" s="310">
        <f t="shared" ref="M247:M254" si="7">L247/$L$255</f>
        <v>0.90243902439024393</v>
      </c>
      <c r="N247" s="300">
        <v>6208</v>
      </c>
      <c r="O247" s="310">
        <f t="shared" ref="O247:O254" si="8">N247/$N$255</f>
        <v>0.8853394181403309</v>
      </c>
      <c r="P247" s="306"/>
      <c r="Q247" s="230"/>
      <c r="R247" s="5"/>
    </row>
    <row r="248" spans="1:18" ht="15.6" x14ac:dyDescent="0.3">
      <c r="A248" s="260"/>
      <c r="B248" s="330" t="s">
        <v>99</v>
      </c>
      <c r="C248" s="381"/>
      <c r="D248" s="261"/>
      <c r="E248" s="382"/>
      <c r="F248" s="381"/>
      <c r="G248" s="381"/>
      <c r="H248" s="381"/>
      <c r="I248" s="381"/>
      <c r="J248" s="381"/>
      <c r="K248" s="381"/>
      <c r="L248" s="330">
        <v>0</v>
      </c>
      <c r="M248" s="382">
        <f t="shared" si="7"/>
        <v>0</v>
      </c>
      <c r="N248" s="331">
        <v>0</v>
      </c>
      <c r="O248" s="382">
        <f t="shared" si="8"/>
        <v>0</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0</v>
      </c>
      <c r="M253" s="382">
        <f t="shared" si="7"/>
        <v>0</v>
      </c>
      <c r="N253" s="331">
        <v>0</v>
      </c>
      <c r="O253" s="382">
        <f t="shared" si="8"/>
        <v>0</v>
      </c>
      <c r="P253" s="354"/>
      <c r="Q253" s="264"/>
      <c r="R253" s="5"/>
    </row>
    <row r="254" spans="1:18" ht="15.6" x14ac:dyDescent="0.3">
      <c r="A254" s="260"/>
      <c r="B254" s="330" t="s">
        <v>231</v>
      </c>
      <c r="C254" s="381"/>
      <c r="D254" s="261"/>
      <c r="E254" s="382"/>
      <c r="F254" s="381"/>
      <c r="G254" s="381"/>
      <c r="H254" s="381"/>
      <c r="I254" s="381"/>
      <c r="J254" s="381"/>
      <c r="K254" s="381"/>
      <c r="L254" s="330">
        <v>4</v>
      </c>
      <c r="M254" s="382">
        <f t="shared" si="7"/>
        <v>9.7560975609756101E-2</v>
      </c>
      <c r="N254" s="331">
        <v>804</v>
      </c>
      <c r="O254" s="382">
        <f t="shared" si="8"/>
        <v>0.11466058185966914</v>
      </c>
      <c r="P254" s="354"/>
      <c r="Q254" s="264"/>
      <c r="R254" s="5"/>
    </row>
    <row r="255" spans="1:18" ht="15.6" x14ac:dyDescent="0.3">
      <c r="A255" s="260"/>
      <c r="B255" s="261" t="s">
        <v>129</v>
      </c>
      <c r="C255" s="261"/>
      <c r="D255" s="261"/>
      <c r="E255" s="261"/>
      <c r="F255" s="383"/>
      <c r="G255" s="383"/>
      <c r="H255" s="383"/>
      <c r="I255" s="383"/>
      <c r="J255" s="383"/>
      <c r="K255" s="383"/>
      <c r="L255" s="330">
        <f>SUM(L247:L254)</f>
        <v>41</v>
      </c>
      <c r="M255" s="382">
        <f>SUM(M247:M254)</f>
        <v>1</v>
      </c>
      <c r="N255" s="331">
        <f>SUM(N247:N254)</f>
        <v>7012</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257"/>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230"/>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f>SUM(M258:M265)</f>
        <v>0</v>
      </c>
      <c r="N266" s="331">
        <f>SUM(N258:N265)</f>
        <v>0</v>
      </c>
      <c r="O266" s="382">
        <f>SUM(O258:O265)</f>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3158</v>
      </c>
      <c r="M268" s="382"/>
      <c r="N268" s="386">
        <f>+N266+N255+N244</f>
        <v>364952</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257"/>
      <c r="R269" s="5"/>
    </row>
    <row r="270" spans="1:18" ht="15.6" x14ac:dyDescent="0.3">
      <c r="A270" s="183"/>
      <c r="B270" s="236"/>
      <c r="C270" s="236"/>
      <c r="D270" s="236"/>
      <c r="E270" s="236"/>
      <c r="F270" s="311"/>
      <c r="G270" s="311"/>
      <c r="H270" s="311"/>
      <c r="I270" s="311"/>
      <c r="J270" s="311"/>
      <c r="K270" s="311"/>
      <c r="L270" s="311"/>
      <c r="M270" s="311"/>
      <c r="N270" s="312"/>
      <c r="O270" s="311"/>
      <c r="P270" s="236"/>
      <c r="Q270" s="236"/>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249"/>
      <c r="R271" s="5"/>
    </row>
    <row r="272" spans="1:18" ht="15.6" x14ac:dyDescent="0.3">
      <c r="A272" s="225"/>
      <c r="B272" s="249"/>
      <c r="C272" s="236"/>
      <c r="D272" s="236"/>
      <c r="E272" s="236"/>
      <c r="F272" s="236"/>
      <c r="G272" s="236"/>
      <c r="H272" s="236"/>
      <c r="I272" s="249"/>
      <c r="J272" s="249"/>
      <c r="K272" s="249"/>
      <c r="L272" s="249"/>
      <c r="M272" s="249"/>
      <c r="N272" s="249"/>
      <c r="O272" s="249"/>
      <c r="P272" s="249"/>
      <c r="Q272" s="249"/>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249"/>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249"/>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249"/>
      <c r="R275" s="5"/>
    </row>
    <row r="276" spans="1:18" ht="15.6" x14ac:dyDescent="0.3">
      <c r="A276" s="225"/>
      <c r="B276" s="228"/>
      <c r="C276" s="228"/>
      <c r="D276" s="228"/>
      <c r="E276" s="314"/>
      <c r="F276" s="249"/>
      <c r="G276" s="249"/>
      <c r="H276" s="249"/>
      <c r="I276" s="249"/>
      <c r="J276" s="249"/>
      <c r="K276" s="249"/>
      <c r="L276" s="249"/>
      <c r="M276" s="249"/>
      <c r="N276" s="249"/>
      <c r="O276" s="249"/>
      <c r="P276" s="249"/>
      <c r="Q276" s="249"/>
      <c r="R276" s="5"/>
    </row>
    <row r="277" spans="1:18" ht="15.6" x14ac:dyDescent="0.3">
      <c r="A277" s="225"/>
      <c r="B277" s="228"/>
      <c r="C277" s="228"/>
      <c r="D277" s="228"/>
      <c r="E277" s="314"/>
      <c r="F277" s="249"/>
      <c r="G277" s="249"/>
      <c r="H277" s="249"/>
      <c r="I277" s="249"/>
      <c r="J277" s="249"/>
      <c r="K277" s="249"/>
      <c r="L277" s="249"/>
      <c r="M277" s="249"/>
      <c r="N277" s="249"/>
      <c r="O277" s="249"/>
      <c r="P277" s="249"/>
      <c r="Q277" s="249"/>
      <c r="R277" s="5"/>
    </row>
    <row r="278" spans="1:18" ht="18" thickBot="1" x14ac:dyDescent="0.35">
      <c r="A278" s="225"/>
      <c r="B278" s="315" t="str">
        <f>B185</f>
        <v>PM7 INVESTOR REPORT QUARTER ENDING APRIL 2014</v>
      </c>
      <c r="C278" s="228"/>
      <c r="D278" s="228"/>
      <c r="E278" s="314"/>
      <c r="F278" s="249"/>
      <c r="G278" s="249"/>
      <c r="H278" s="249"/>
      <c r="I278" s="249"/>
      <c r="J278" s="249"/>
      <c r="K278" s="249"/>
      <c r="L278" s="249"/>
      <c r="M278" s="249"/>
      <c r="N278" s="249"/>
      <c r="O278" s="249"/>
      <c r="P278" s="249"/>
      <c r="Q278" s="24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6" man="1"/>
    <brk id="133" max="16" man="1"/>
    <brk id="185" max="16" man="1"/>
    <brk id="278" max="16"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8"/>
  </sheetPr>
  <dimension ref="A1:S257"/>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5"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0.93810000000000004</v>
      </c>
      <c r="N17" s="17" t="s">
        <v>173</v>
      </c>
      <c r="O17" s="138">
        <v>6.1899999999999997E-2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38580</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178</v>
      </c>
      <c r="K28" s="123"/>
      <c r="L28" s="123" t="s">
        <v>178</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405022.95</v>
      </c>
      <c r="E34" s="31"/>
      <c r="F34" s="131">
        <f>+F33*F40</f>
        <v>198006.6</v>
      </c>
      <c r="G34" s="31"/>
      <c r="H34" s="124">
        <f>+H33*H40</f>
        <v>450027.5</v>
      </c>
      <c r="I34" s="31"/>
      <c r="J34" s="130">
        <v>82500</v>
      </c>
      <c r="K34" s="31"/>
      <c r="L34" s="124">
        <v>65000</v>
      </c>
      <c r="M34" s="31"/>
      <c r="N34" s="31"/>
      <c r="O34" s="142"/>
      <c r="P34" s="31"/>
      <c r="Q34" s="34"/>
      <c r="R34" s="5"/>
    </row>
    <row r="35" spans="1:18" ht="15.6" x14ac:dyDescent="0.3">
      <c r="A35" s="28"/>
      <c r="B35" s="29" t="s">
        <v>158</v>
      </c>
      <c r="C35" s="36"/>
      <c r="D35" s="129">
        <f>+D33*D39</f>
        <v>390476.7</v>
      </c>
      <c r="E35" s="35"/>
      <c r="F35" s="132">
        <f>+F33*F39</f>
        <v>190893.78</v>
      </c>
      <c r="G35" s="35"/>
      <c r="H35" s="125">
        <f>+H33*H39</f>
        <v>433866</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227668.88701517708</v>
      </c>
      <c r="E37" s="31"/>
      <c r="F37" s="31">
        <f>+F34</f>
        <v>198006.6</v>
      </c>
      <c r="G37" s="31"/>
      <c r="H37" s="31">
        <f>+H34/1.481481</f>
        <v>303768.66122481489</v>
      </c>
      <c r="I37" s="31"/>
      <c r="J37" s="31">
        <v>46374</v>
      </c>
      <c r="K37" s="31"/>
      <c r="L37" s="31">
        <v>43875</v>
      </c>
      <c r="M37" s="31"/>
      <c r="N37" s="31"/>
      <c r="O37" s="142"/>
      <c r="P37" s="31">
        <f>SUM(C37:L37)+1</f>
        <v>819694.14823999198</v>
      </c>
      <c r="Q37" s="34"/>
      <c r="R37" s="5"/>
    </row>
    <row r="38" spans="1:18" ht="15.6" x14ac:dyDescent="0.3">
      <c r="A38" s="28"/>
      <c r="B38" s="29" t="s">
        <v>281</v>
      </c>
      <c r="C38" s="36"/>
      <c r="D38" s="35">
        <f>D35/1.779</f>
        <v>219492.2428330523</v>
      </c>
      <c r="E38" s="35"/>
      <c r="F38" s="35">
        <f>+F35</f>
        <v>190893.78</v>
      </c>
      <c r="G38" s="35"/>
      <c r="H38" s="35">
        <f>H35/1.481481</f>
        <v>292859.64517938468</v>
      </c>
      <c r="I38" s="35"/>
      <c r="J38" s="35">
        <v>46374</v>
      </c>
      <c r="K38" s="35"/>
      <c r="L38" s="35">
        <v>43875</v>
      </c>
      <c r="M38" s="35"/>
      <c r="N38" s="35"/>
      <c r="O38" s="37"/>
      <c r="P38" s="35">
        <f>SUM(D38:L38)</f>
        <v>793494.66801243694</v>
      </c>
      <c r="Q38" s="34"/>
      <c r="R38" s="5"/>
    </row>
    <row r="39" spans="1:18" ht="15.6" x14ac:dyDescent="0.3">
      <c r="A39" s="28"/>
      <c r="B39" s="122" t="s">
        <v>154</v>
      </c>
      <c r="C39" s="126"/>
      <c r="D39" s="139">
        <v>0.867726</v>
      </c>
      <c r="E39" s="139"/>
      <c r="F39" s="139">
        <v>0.867699</v>
      </c>
      <c r="G39" s="139"/>
      <c r="H39" s="139">
        <v>0.86773199999999995</v>
      </c>
      <c r="I39" s="139"/>
      <c r="J39" s="139">
        <v>1</v>
      </c>
      <c r="K39" s="139"/>
      <c r="L39" s="139">
        <v>1</v>
      </c>
      <c r="M39" s="31"/>
      <c r="N39" s="31"/>
      <c r="O39" s="142"/>
      <c r="P39" s="31"/>
      <c r="Q39" s="34"/>
      <c r="R39" s="5"/>
    </row>
    <row r="40" spans="1:18" ht="15.6" x14ac:dyDescent="0.3">
      <c r="A40" s="28"/>
      <c r="B40" s="122" t="s">
        <v>155</v>
      </c>
      <c r="C40" s="126"/>
      <c r="D40" s="139">
        <v>0.90005100000000005</v>
      </c>
      <c r="E40" s="139"/>
      <c r="F40" s="139">
        <v>0.90003</v>
      </c>
      <c r="G40" s="139"/>
      <c r="H40" s="139">
        <v>0.90005500000000005</v>
      </c>
      <c r="I40" s="139"/>
      <c r="J40" s="139">
        <v>1</v>
      </c>
      <c r="K40" s="139"/>
      <c r="L40" s="139">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3.4781300000000001E-2</v>
      </c>
      <c r="E42" s="39"/>
      <c r="F42" s="38">
        <v>5.08563E-2</v>
      </c>
      <c r="G42" s="39"/>
      <c r="H42" s="38">
        <v>2.3359999999999999E-2</v>
      </c>
      <c r="I42" s="39"/>
      <c r="J42" s="38">
        <v>4.0181300000000003E-2</v>
      </c>
      <c r="K42" s="39"/>
      <c r="L42" s="38">
        <v>2.8760000000000001E-2</v>
      </c>
      <c r="M42" s="39"/>
      <c r="N42" s="38"/>
      <c r="O42" s="141"/>
      <c r="P42" s="39"/>
      <c r="Q42" s="25"/>
      <c r="R42" s="5"/>
    </row>
    <row r="43" spans="1:18" ht="15.6" x14ac:dyDescent="0.3">
      <c r="A43" s="24"/>
      <c r="B43" s="25" t="s">
        <v>14</v>
      </c>
      <c r="C43" s="25"/>
      <c r="D43" s="38">
        <v>3.0043799999999999E-2</v>
      </c>
      <c r="E43" s="39"/>
      <c r="F43" s="38">
        <v>5.1025000000000001E-2</v>
      </c>
      <c r="G43" s="39"/>
      <c r="H43" s="38">
        <v>2.35E-2</v>
      </c>
      <c r="I43" s="39"/>
      <c r="J43" s="38">
        <v>3.5443799999999998E-2</v>
      </c>
      <c r="K43" s="39"/>
      <c r="L43" s="38">
        <v>2.8899999999999999E-2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5.1801300000000002E-2</v>
      </c>
      <c r="E45" s="39"/>
      <c r="F45" s="38">
        <v>5.08563E-2</v>
      </c>
      <c r="G45" s="39"/>
      <c r="H45" s="38">
        <v>5.1681299999999999E-2</v>
      </c>
      <c r="I45" s="39"/>
      <c r="J45" s="38">
        <v>5.7931299999999998E-2</v>
      </c>
      <c r="K45" s="39"/>
      <c r="L45" s="38">
        <v>5.7931299999999998E-2</v>
      </c>
      <c r="M45" s="39"/>
      <c r="N45" s="38"/>
      <c r="O45" s="141"/>
      <c r="P45" s="39">
        <f>SUMPRODUCT(D45:L45,D37:L37)/P37</f>
        <v>5.2203408631689929E-2</v>
      </c>
      <c r="Q45" s="25"/>
      <c r="R45" s="5"/>
    </row>
    <row r="46" spans="1:18" ht="15.6" x14ac:dyDescent="0.3">
      <c r="A46" s="24"/>
      <c r="B46" s="25" t="s">
        <v>283</v>
      </c>
      <c r="C46" s="25"/>
      <c r="D46" s="38">
        <v>5.1970000000000002E-2</v>
      </c>
      <c r="E46" s="39"/>
      <c r="F46" s="38">
        <v>5.1025000000000001E-2</v>
      </c>
      <c r="G46" s="39"/>
      <c r="H46" s="38">
        <v>5.185E-2</v>
      </c>
      <c r="I46" s="39"/>
      <c r="J46" s="38">
        <v>5.8099999999999999E-2</v>
      </c>
      <c r="K46" s="39"/>
      <c r="L46" s="38">
        <v>5.8099999999999999E-2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0.12833210939651879</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38579</v>
      </c>
      <c r="Q57" s="25"/>
      <c r="R57" s="5"/>
    </row>
    <row r="58" spans="1:18" ht="15.6" x14ac:dyDescent="0.3">
      <c r="A58" s="24"/>
      <c r="B58" s="25" t="s">
        <v>142</v>
      </c>
      <c r="C58" s="25"/>
      <c r="D58" s="25"/>
      <c r="E58" s="25"/>
      <c r="F58" s="58"/>
      <c r="G58" s="58"/>
      <c r="H58" s="58"/>
      <c r="I58" s="58"/>
      <c r="J58" s="58"/>
      <c r="K58" s="58"/>
      <c r="L58" s="25">
        <f>+P58-N58+1</f>
        <v>90</v>
      </c>
      <c r="M58" s="58"/>
      <c r="N58" s="45">
        <v>38398</v>
      </c>
      <c r="O58" s="46"/>
      <c r="P58" s="45">
        <v>38487</v>
      </c>
      <c r="Q58" s="25"/>
      <c r="R58" s="5"/>
    </row>
    <row r="59" spans="1:18" ht="15.6" x14ac:dyDescent="0.3">
      <c r="A59" s="24"/>
      <c r="B59" s="25" t="s">
        <v>143</v>
      </c>
      <c r="C59" s="25"/>
      <c r="D59" s="25"/>
      <c r="E59" s="25"/>
      <c r="F59" s="25"/>
      <c r="G59" s="25"/>
      <c r="H59" s="25"/>
      <c r="I59" s="25"/>
      <c r="J59" s="25"/>
      <c r="K59" s="25"/>
      <c r="L59" s="25">
        <f>+P59-N59+1</f>
        <v>91</v>
      </c>
      <c r="M59" s="25"/>
      <c r="N59" s="45">
        <v>38488</v>
      </c>
      <c r="O59" s="46"/>
      <c r="P59" s="45">
        <v>38578</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38565</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242</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819694</v>
      </c>
      <c r="I70" s="34"/>
      <c r="J70" s="34">
        <f>26199+6019+622+11</f>
        <v>32851</v>
      </c>
      <c r="K70" s="34"/>
      <c r="L70" s="34">
        <f>6019+622+11</f>
        <v>6652</v>
      </c>
      <c r="M70" s="34"/>
      <c r="N70" s="34">
        <v>0</v>
      </c>
      <c r="O70" s="34"/>
      <c r="P70" s="53">
        <f>+H70-J70+L70-N70</f>
        <v>793495</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819694</v>
      </c>
      <c r="I73" s="34"/>
      <c r="J73" s="34">
        <f>SUM(J70:J72)</f>
        <v>32851</v>
      </c>
      <c r="K73" s="34"/>
      <c r="L73" s="34">
        <f>SUM(L70:L72)</f>
        <v>6652</v>
      </c>
      <c r="M73" s="34"/>
      <c r="N73" s="34">
        <f>SUM(N70:N72)</f>
        <v>0</v>
      </c>
      <c r="O73" s="34"/>
      <c r="P73" s="54">
        <f>SUM(P70:P72)</f>
        <v>793495</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v>0</v>
      </c>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v>0</v>
      </c>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819694</v>
      </c>
      <c r="I86" s="34"/>
      <c r="J86" s="34"/>
      <c r="K86" s="34"/>
      <c r="L86" s="34"/>
      <c r="M86" s="34"/>
      <c r="N86" s="54"/>
      <c r="O86" s="34"/>
      <c r="P86" s="54">
        <f>SUM(P73:P85)</f>
        <v>793495</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
      <c r="G89" s="17"/>
      <c r="H89" s="17"/>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106</v>
      </c>
      <c r="G91" s="57"/>
      <c r="H91" s="127">
        <v>38564</v>
      </c>
      <c r="I91" s="25"/>
      <c r="J91" s="25"/>
      <c r="K91" s="25"/>
      <c r="L91" s="25"/>
      <c r="M91" s="25"/>
      <c r="N91" s="34">
        <v>32851</v>
      </c>
      <c r="O91" s="25"/>
      <c r="P91" s="53"/>
      <c r="Q91" s="25"/>
      <c r="R91" s="5"/>
    </row>
    <row r="92" spans="1:18" ht="15.6" x14ac:dyDescent="0.3">
      <c r="A92" s="24"/>
      <c r="B92" s="25" t="s">
        <v>34</v>
      </c>
      <c r="C92" s="25"/>
      <c r="D92" s="25"/>
      <c r="E92" s="25"/>
      <c r="F92" s="25"/>
      <c r="G92" s="25"/>
      <c r="H92" s="25"/>
      <c r="I92" s="25"/>
      <c r="J92" s="25"/>
      <c r="K92" s="25"/>
      <c r="L92" s="25"/>
      <c r="M92" s="25"/>
      <c r="N92" s="34"/>
      <c r="O92" s="25"/>
      <c r="P92" s="53">
        <f>13712-11</f>
        <v>13701</v>
      </c>
      <c r="Q92" s="25"/>
      <c r="R92" s="5"/>
    </row>
    <row r="93" spans="1:18" ht="15.6" x14ac:dyDescent="0.3">
      <c r="A93" s="24"/>
      <c r="B93" s="25" t="s">
        <v>160</v>
      </c>
      <c r="C93" s="25"/>
      <c r="D93" s="25"/>
      <c r="E93" s="25"/>
      <c r="F93" s="25"/>
      <c r="G93" s="25"/>
      <c r="H93" s="25"/>
      <c r="I93" s="25"/>
      <c r="J93" s="25"/>
      <c r="K93" s="25"/>
      <c r="L93" s="25"/>
      <c r="M93" s="25"/>
      <c r="N93" s="34"/>
      <c r="O93" s="25"/>
      <c r="P93" s="53">
        <v>0</v>
      </c>
      <c r="Q93" s="25"/>
      <c r="R93" s="5"/>
    </row>
    <row r="94" spans="1:18" ht="15.6" x14ac:dyDescent="0.3">
      <c r="A94" s="24"/>
      <c r="B94" s="25" t="s">
        <v>192</v>
      </c>
      <c r="C94" s="25"/>
      <c r="D94" s="25"/>
      <c r="E94" s="25"/>
      <c r="F94" s="25"/>
      <c r="G94" s="25"/>
      <c r="H94" s="25"/>
      <c r="I94" s="25"/>
      <c r="J94" s="25"/>
      <c r="K94" s="25"/>
      <c r="L94" s="25"/>
      <c r="M94" s="25"/>
      <c r="N94" s="34"/>
      <c r="O94" s="25"/>
      <c r="P94" s="53">
        <v>0</v>
      </c>
      <c r="Q94" s="25"/>
      <c r="R94" s="5"/>
    </row>
    <row r="95" spans="1:18" ht="15.6" x14ac:dyDescent="0.3">
      <c r="A95" s="24"/>
      <c r="B95" s="25" t="s">
        <v>35</v>
      </c>
      <c r="C95" s="25"/>
      <c r="D95" s="25"/>
      <c r="E95" s="25"/>
      <c r="F95" s="25"/>
      <c r="G95" s="25"/>
      <c r="H95" s="25"/>
      <c r="I95" s="25"/>
      <c r="J95" s="25"/>
      <c r="K95" s="25"/>
      <c r="L95" s="25"/>
      <c r="M95" s="25"/>
      <c r="N95" s="34">
        <f>SUM(N90:N94)</f>
        <v>32851</v>
      </c>
      <c r="O95" s="25"/>
      <c r="P95" s="54">
        <f>SUM(P90:P94)</f>
        <v>13701</v>
      </c>
      <c r="Q95" s="25"/>
      <c r="R95" s="5"/>
    </row>
    <row r="96" spans="1:18" ht="15.6" x14ac:dyDescent="0.3">
      <c r="A96" s="24"/>
      <c r="B96" s="25" t="s">
        <v>237</v>
      </c>
      <c r="C96" s="25"/>
      <c r="D96" s="25"/>
      <c r="E96" s="25"/>
      <c r="F96" s="25"/>
      <c r="G96" s="25"/>
      <c r="H96" s="25"/>
      <c r="I96" s="25"/>
      <c r="J96" s="25"/>
      <c r="K96" s="25"/>
      <c r="L96" s="25"/>
      <c r="M96" s="25"/>
      <c r="N96" s="34">
        <v>-11</v>
      </c>
      <c r="O96" s="25"/>
      <c r="P96" s="54">
        <f>-N96</f>
        <v>11</v>
      </c>
      <c r="Q96" s="25"/>
      <c r="R96" s="5"/>
    </row>
    <row r="97" spans="1:19" ht="15.6" x14ac:dyDescent="0.3">
      <c r="A97" s="24"/>
      <c r="B97" s="25" t="s">
        <v>36</v>
      </c>
      <c r="C97" s="25"/>
      <c r="D97" s="25"/>
      <c r="E97" s="25"/>
      <c r="F97" s="25"/>
      <c r="G97" s="25"/>
      <c r="H97" s="25"/>
      <c r="I97" s="25"/>
      <c r="J97" s="25"/>
      <c r="K97" s="25"/>
      <c r="L97" s="25"/>
      <c r="M97" s="25"/>
      <c r="N97" s="34">
        <f>-P97</f>
        <v>0</v>
      </c>
      <c r="O97" s="25"/>
      <c r="P97" s="53">
        <v>0</v>
      </c>
      <c r="Q97" s="25"/>
      <c r="R97" s="5"/>
    </row>
    <row r="98" spans="1:19" ht="15.6" x14ac:dyDescent="0.3">
      <c r="A98" s="24"/>
      <c r="B98" s="25" t="s">
        <v>37</v>
      </c>
      <c r="C98" s="25"/>
      <c r="D98" s="25"/>
      <c r="E98" s="25"/>
      <c r="F98" s="25"/>
      <c r="G98" s="25"/>
      <c r="H98" s="25"/>
      <c r="I98" s="25"/>
      <c r="J98" s="25"/>
      <c r="K98" s="25"/>
      <c r="L98" s="25"/>
      <c r="M98" s="25"/>
      <c r="N98" s="34">
        <f>N95+N97+N96</f>
        <v>32840</v>
      </c>
      <c r="O98" s="25"/>
      <c r="P98" s="54">
        <f>P95+P97+P96</f>
        <v>13712</v>
      </c>
      <c r="Q98" s="25"/>
      <c r="R98" s="5"/>
      <c r="S98" s="154"/>
    </row>
    <row r="99" spans="1:19" ht="15.6" x14ac:dyDescent="0.3">
      <c r="A99" s="24"/>
      <c r="B99" s="118" t="s">
        <v>38</v>
      </c>
      <c r="C99" s="25"/>
      <c r="D99" s="25"/>
      <c r="E99" s="25"/>
      <c r="F99" s="25"/>
      <c r="G99" s="25"/>
      <c r="H99" s="25"/>
      <c r="I99" s="25"/>
      <c r="J99" s="25"/>
      <c r="K99" s="25"/>
      <c r="L99" s="25"/>
      <c r="M99" s="25"/>
      <c r="N99" s="34"/>
      <c r="O99" s="25"/>
      <c r="P99" s="53"/>
      <c r="Q99" s="25"/>
      <c r="R99" s="5"/>
    </row>
    <row r="100" spans="1:19" ht="15.6" x14ac:dyDescent="0.3">
      <c r="A100" s="24">
        <v>1</v>
      </c>
      <c r="B100" s="25" t="s">
        <v>39</v>
      </c>
      <c r="C100" s="25"/>
      <c r="D100" s="25"/>
      <c r="E100" s="25"/>
      <c r="F100" s="25"/>
      <c r="G100" s="25"/>
      <c r="H100" s="25"/>
      <c r="I100" s="25"/>
      <c r="J100" s="25"/>
      <c r="K100" s="25"/>
      <c r="L100" s="25"/>
      <c r="M100" s="25"/>
      <c r="N100" s="25"/>
      <c r="O100" s="25"/>
      <c r="P100" s="53">
        <v>0</v>
      </c>
      <c r="Q100" s="25"/>
      <c r="R100" s="5"/>
    </row>
    <row r="101" spans="1:19" ht="15.6" x14ac:dyDescent="0.3">
      <c r="A101" s="24">
        <f>+A100+1</f>
        <v>2</v>
      </c>
      <c r="B101" s="25" t="s">
        <v>40</v>
      </c>
      <c r="C101" s="25"/>
      <c r="D101" s="25"/>
      <c r="E101" s="25"/>
      <c r="F101" s="25"/>
      <c r="G101" s="25"/>
      <c r="H101" s="25"/>
      <c r="I101" s="25"/>
      <c r="J101" s="25"/>
      <c r="K101" s="25"/>
      <c r="L101" s="25"/>
      <c r="M101" s="25"/>
      <c r="N101" s="25"/>
      <c r="O101" s="25"/>
      <c r="P101" s="53">
        <v>-2</v>
      </c>
      <c r="Q101" s="25"/>
      <c r="R101" s="5"/>
    </row>
    <row r="102" spans="1:19" ht="15.6" x14ac:dyDescent="0.3">
      <c r="A102" s="24">
        <f>+A101+1</f>
        <v>3</v>
      </c>
      <c r="B102" s="25" t="s">
        <v>226</v>
      </c>
      <c r="C102" s="25"/>
      <c r="D102" s="25"/>
      <c r="E102" s="25"/>
      <c r="F102" s="25"/>
      <c r="G102" s="25"/>
      <c r="H102" s="25"/>
      <c r="I102" s="25"/>
      <c r="J102" s="25"/>
      <c r="K102" s="25"/>
      <c r="L102" s="25"/>
      <c r="M102" s="25"/>
      <c r="N102" s="25"/>
      <c r="O102" s="25"/>
      <c r="P102" s="53">
        <f>-205-56-16</f>
        <v>-277</v>
      </c>
      <c r="Q102" s="25"/>
      <c r="R102" s="5"/>
    </row>
    <row r="103" spans="1:19" ht="15.6" x14ac:dyDescent="0.3">
      <c r="A103" s="24" t="s">
        <v>151</v>
      </c>
      <c r="B103" s="25" t="s">
        <v>131</v>
      </c>
      <c r="C103" s="25"/>
      <c r="D103" s="25"/>
      <c r="E103" s="25"/>
      <c r="F103" s="25"/>
      <c r="G103" s="25"/>
      <c r="H103" s="25"/>
      <c r="I103" s="25"/>
      <c r="J103" s="25"/>
      <c r="K103" s="25"/>
      <c r="L103" s="25"/>
      <c r="M103" s="25"/>
      <c r="N103" s="25"/>
      <c r="O103" s="25"/>
      <c r="P103" s="53">
        <v>-95</v>
      </c>
      <c r="Q103" s="25"/>
      <c r="R103" s="5"/>
    </row>
    <row r="104" spans="1:19" ht="15.6" x14ac:dyDescent="0.3">
      <c r="A104" s="24" t="s">
        <v>152</v>
      </c>
      <c r="B104" s="25" t="s">
        <v>195</v>
      </c>
      <c r="C104" s="25"/>
      <c r="D104" s="25"/>
      <c r="E104" s="25"/>
      <c r="F104" s="25"/>
      <c r="G104" s="25"/>
      <c r="H104" s="25"/>
      <c r="I104" s="25"/>
      <c r="J104" s="25"/>
      <c r="K104" s="25"/>
      <c r="L104" s="25"/>
      <c r="M104" s="25"/>
      <c r="N104" s="25"/>
      <c r="O104" s="25"/>
      <c r="P104" s="53">
        <v>-2940</v>
      </c>
      <c r="Q104" s="25"/>
      <c r="R104" s="5"/>
      <c r="S104" s="109"/>
    </row>
    <row r="105" spans="1:19" ht="15.6" x14ac:dyDescent="0.3">
      <c r="A105" s="24" t="s">
        <v>217</v>
      </c>
      <c r="B105" s="25" t="s">
        <v>196</v>
      </c>
      <c r="C105" s="25"/>
      <c r="D105" s="25"/>
      <c r="E105" s="25"/>
      <c r="F105" s="25"/>
      <c r="G105" s="25"/>
      <c r="H105" s="25"/>
      <c r="I105" s="25"/>
      <c r="J105" s="25"/>
      <c r="K105" s="25"/>
      <c r="L105" s="25"/>
      <c r="M105" s="25"/>
      <c r="N105" s="25"/>
      <c r="O105" s="25"/>
      <c r="P105" s="53">
        <v>-2511</v>
      </c>
      <c r="Q105" s="25"/>
      <c r="R105" s="5"/>
      <c r="S105" s="109"/>
    </row>
    <row r="106" spans="1:19" ht="15.6" x14ac:dyDescent="0.3">
      <c r="A106" s="24" t="s">
        <v>218</v>
      </c>
      <c r="B106" s="25" t="s">
        <v>197</v>
      </c>
      <c r="C106" s="25"/>
      <c r="D106" s="25"/>
      <c r="E106" s="25"/>
      <c r="F106" s="25"/>
      <c r="G106" s="25"/>
      <c r="H106" s="25"/>
      <c r="I106" s="25"/>
      <c r="J106" s="25"/>
      <c r="K106" s="25"/>
      <c r="L106" s="25"/>
      <c r="M106" s="25"/>
      <c r="N106" s="25"/>
      <c r="O106" s="25"/>
      <c r="P106" s="53">
        <v>-3914</v>
      </c>
      <c r="Q106" s="25"/>
      <c r="R106" s="5"/>
      <c r="S106" s="109"/>
    </row>
    <row r="107" spans="1:19" ht="15.6" x14ac:dyDescent="0.3">
      <c r="A107" s="24" t="s">
        <v>147</v>
      </c>
      <c r="B107" s="25" t="s">
        <v>146</v>
      </c>
      <c r="C107" s="25"/>
      <c r="D107" s="25"/>
      <c r="E107" s="25"/>
      <c r="F107" s="25"/>
      <c r="G107" s="25"/>
      <c r="H107" s="25"/>
      <c r="I107" s="25"/>
      <c r="J107" s="25"/>
      <c r="K107" s="25"/>
      <c r="L107" s="25"/>
      <c r="M107" s="25"/>
      <c r="N107" s="25"/>
      <c r="O107" s="25"/>
      <c r="P107" s="53">
        <v>-669</v>
      </c>
      <c r="Q107" s="25"/>
      <c r="R107" s="5"/>
      <c r="S107" s="109"/>
    </row>
    <row r="108" spans="1:19" ht="15.6" x14ac:dyDescent="0.3">
      <c r="A108" s="24" t="s">
        <v>148</v>
      </c>
      <c r="B108" s="25" t="s">
        <v>198</v>
      </c>
      <c r="C108" s="25"/>
      <c r="D108" s="25"/>
      <c r="E108" s="25"/>
      <c r="F108" s="25"/>
      <c r="G108" s="25"/>
      <c r="H108" s="25"/>
      <c r="I108" s="25"/>
      <c r="J108" s="25"/>
      <c r="K108" s="25"/>
      <c r="L108" s="25"/>
      <c r="M108" s="25"/>
      <c r="N108" s="25"/>
      <c r="O108" s="25"/>
      <c r="P108" s="53">
        <v>-634</v>
      </c>
      <c r="Q108" s="25"/>
      <c r="R108" s="5"/>
      <c r="S108" s="109"/>
    </row>
    <row r="109" spans="1:19" ht="15.6" x14ac:dyDescent="0.3">
      <c r="A109" s="24">
        <v>6</v>
      </c>
      <c r="B109" s="25" t="s">
        <v>41</v>
      </c>
      <c r="C109" s="25"/>
      <c r="D109" s="25"/>
      <c r="E109" s="25"/>
      <c r="F109" s="25"/>
      <c r="G109" s="25"/>
      <c r="H109" s="25"/>
      <c r="I109" s="25"/>
      <c r="J109" s="25"/>
      <c r="K109" s="25"/>
      <c r="L109" s="25"/>
      <c r="M109" s="25"/>
      <c r="N109" s="25"/>
      <c r="O109" s="25"/>
      <c r="P109" s="53">
        <v>-10</v>
      </c>
      <c r="Q109" s="25"/>
      <c r="R109" s="5"/>
    </row>
    <row r="110" spans="1:19" ht="15.6" x14ac:dyDescent="0.3">
      <c r="A110" s="24">
        <f t="shared" ref="A110:A115" si="0">+A109+1</f>
        <v>7</v>
      </c>
      <c r="B110" s="25" t="s">
        <v>53</v>
      </c>
      <c r="C110" s="25"/>
      <c r="D110" s="25"/>
      <c r="E110" s="25"/>
      <c r="F110" s="25"/>
      <c r="G110" s="25"/>
      <c r="H110" s="25"/>
      <c r="I110" s="25"/>
      <c r="J110" s="25"/>
      <c r="K110" s="25"/>
      <c r="L110" s="25"/>
      <c r="M110" s="25"/>
      <c r="N110" s="25"/>
      <c r="O110" s="25"/>
      <c r="P110" s="53">
        <v>0</v>
      </c>
      <c r="Q110" s="25"/>
      <c r="R110" s="5"/>
    </row>
    <row r="111" spans="1:19" ht="15.6" x14ac:dyDescent="0.3">
      <c r="A111" s="24">
        <f t="shared" si="0"/>
        <v>8</v>
      </c>
      <c r="B111" s="25" t="s">
        <v>149</v>
      </c>
      <c r="C111" s="25"/>
      <c r="D111" s="25"/>
      <c r="E111" s="25"/>
      <c r="F111" s="25"/>
      <c r="G111" s="25"/>
      <c r="H111" s="25"/>
      <c r="I111" s="25"/>
      <c r="J111" s="25"/>
      <c r="K111" s="25"/>
      <c r="L111" s="25"/>
      <c r="M111" s="25"/>
      <c r="N111" s="25"/>
      <c r="O111" s="25"/>
      <c r="P111" s="53">
        <v>0</v>
      </c>
      <c r="Q111" s="25"/>
      <c r="R111" s="5"/>
    </row>
    <row r="112" spans="1:19" ht="15.6" x14ac:dyDescent="0.3">
      <c r="A112" s="24">
        <f t="shared" si="0"/>
        <v>9</v>
      </c>
      <c r="B112" s="25" t="s">
        <v>42</v>
      </c>
      <c r="C112" s="25"/>
      <c r="D112" s="25"/>
      <c r="E112" s="25"/>
      <c r="F112" s="25"/>
      <c r="G112" s="25"/>
      <c r="H112" s="25"/>
      <c r="I112" s="25"/>
      <c r="J112" s="25"/>
      <c r="K112" s="25"/>
      <c r="L112" s="25"/>
      <c r="M112" s="25"/>
      <c r="N112" s="25"/>
      <c r="O112" s="25"/>
      <c r="P112" s="53">
        <v>0</v>
      </c>
      <c r="Q112" s="25"/>
      <c r="R112" s="5"/>
    </row>
    <row r="113" spans="1:18" ht="15.6" x14ac:dyDescent="0.3">
      <c r="A113" s="24">
        <f t="shared" si="0"/>
        <v>10</v>
      </c>
      <c r="B113" s="25" t="s">
        <v>43</v>
      </c>
      <c r="C113" s="25"/>
      <c r="D113" s="25"/>
      <c r="E113" s="25"/>
      <c r="F113" s="25"/>
      <c r="G113" s="25"/>
      <c r="H113" s="25"/>
      <c r="I113" s="25"/>
      <c r="J113" s="25"/>
      <c r="K113" s="25"/>
      <c r="L113" s="25"/>
      <c r="M113" s="25"/>
      <c r="N113" s="25"/>
      <c r="O113" s="25"/>
      <c r="P113" s="53">
        <v>0</v>
      </c>
      <c r="Q113" s="25"/>
      <c r="R113" s="5"/>
    </row>
    <row r="114" spans="1:18" ht="15.6" x14ac:dyDescent="0.3">
      <c r="A114" s="24">
        <f t="shared" si="0"/>
        <v>11</v>
      </c>
      <c r="B114" s="25" t="s">
        <v>215</v>
      </c>
      <c r="C114" s="25"/>
      <c r="D114" s="25"/>
      <c r="E114" s="25"/>
      <c r="F114" s="25"/>
      <c r="G114" s="25"/>
      <c r="H114" s="25"/>
      <c r="I114" s="25"/>
      <c r="J114" s="25"/>
      <c r="K114" s="25"/>
      <c r="L114" s="25"/>
      <c r="M114" s="25"/>
      <c r="N114" s="25"/>
      <c r="O114" s="25"/>
      <c r="P114" s="53">
        <v>-415</v>
      </c>
      <c r="Q114" s="25"/>
      <c r="R114" s="5"/>
    </row>
    <row r="115" spans="1:18" ht="15.6" x14ac:dyDescent="0.3">
      <c r="A115" s="24">
        <f t="shared" si="0"/>
        <v>12</v>
      </c>
      <c r="B115" s="25" t="s">
        <v>150</v>
      </c>
      <c r="C115" s="25"/>
      <c r="D115" s="25"/>
      <c r="E115" s="25"/>
      <c r="F115" s="25"/>
      <c r="G115" s="25"/>
      <c r="H115" s="25"/>
      <c r="I115" s="25"/>
      <c r="J115" s="25"/>
      <c r="K115" s="25"/>
      <c r="L115" s="25"/>
      <c r="M115" s="25"/>
      <c r="N115" s="25"/>
      <c r="O115" s="25"/>
      <c r="P115" s="53">
        <f>-P98-SUM(P100:P114)</f>
        <v>-2245</v>
      </c>
      <c r="Q115" s="25"/>
      <c r="R115" s="5"/>
    </row>
    <row r="116" spans="1:18" ht="15.6" x14ac:dyDescent="0.3">
      <c r="A116" s="24"/>
      <c r="B116" s="118" t="s">
        <v>44</v>
      </c>
      <c r="C116" s="25"/>
      <c r="D116" s="25"/>
      <c r="E116" s="25"/>
      <c r="F116" s="25"/>
      <c r="G116" s="25"/>
      <c r="H116" s="25"/>
      <c r="I116" s="25"/>
      <c r="J116" s="25"/>
      <c r="K116" s="25"/>
      <c r="L116" s="25"/>
      <c r="M116" s="25"/>
      <c r="N116" s="25"/>
      <c r="O116" s="25"/>
      <c r="P116" s="59"/>
      <c r="Q116" s="25"/>
      <c r="R116" s="5"/>
    </row>
    <row r="117" spans="1:18" ht="15.6" x14ac:dyDescent="0.3">
      <c r="A117" s="24"/>
      <c r="B117" s="25" t="s">
        <v>45</v>
      </c>
      <c r="C117" s="25"/>
      <c r="D117" s="25"/>
      <c r="E117" s="25"/>
      <c r="F117" s="25"/>
      <c r="G117" s="25"/>
      <c r="H117" s="25"/>
      <c r="I117" s="25"/>
      <c r="J117" s="25"/>
      <c r="K117" s="25"/>
      <c r="L117" s="25"/>
      <c r="M117" s="25"/>
      <c r="N117" s="34">
        <v>-622</v>
      </c>
      <c r="O117" s="34"/>
      <c r="P117" s="53"/>
      <c r="Q117" s="25"/>
      <c r="R117" s="5"/>
    </row>
    <row r="118" spans="1:18" ht="15.6" x14ac:dyDescent="0.3">
      <c r="A118" s="24"/>
      <c r="B118" s="25" t="s">
        <v>46</v>
      </c>
      <c r="C118" s="25"/>
      <c r="D118" s="25"/>
      <c r="E118" s="25"/>
      <c r="F118" s="25"/>
      <c r="G118" s="25"/>
      <c r="H118" s="25"/>
      <c r="I118" s="25"/>
      <c r="J118" s="25"/>
      <c r="K118" s="25"/>
      <c r="L118" s="25"/>
      <c r="M118" s="25"/>
      <c r="N118" s="34">
        <f>-M165</f>
        <v>-6019</v>
      </c>
      <c r="O118" s="34"/>
      <c r="P118" s="53"/>
      <c r="Q118" s="25"/>
      <c r="R118" s="5"/>
    </row>
    <row r="119" spans="1:18" ht="15.6" x14ac:dyDescent="0.3">
      <c r="A119" s="24"/>
      <c r="B119" s="25" t="s">
        <v>199</v>
      </c>
      <c r="C119" s="25"/>
      <c r="D119" s="25"/>
      <c r="E119" s="25"/>
      <c r="F119" s="25"/>
      <c r="G119" s="25"/>
      <c r="H119" s="25"/>
      <c r="I119" s="25"/>
      <c r="J119" s="25"/>
      <c r="K119" s="25"/>
      <c r="L119" s="25"/>
      <c r="M119" s="25"/>
      <c r="N119" s="34">
        <v>-8177</v>
      </c>
      <c r="O119" s="34"/>
      <c r="P119" s="53"/>
      <c r="Q119" s="25"/>
      <c r="R119" s="5"/>
    </row>
    <row r="120" spans="1:18" ht="15.6" x14ac:dyDescent="0.3">
      <c r="A120" s="24"/>
      <c r="B120" s="25" t="s">
        <v>200</v>
      </c>
      <c r="C120" s="25"/>
      <c r="D120" s="25"/>
      <c r="E120" s="25"/>
      <c r="F120" s="25"/>
      <c r="G120" s="25"/>
      <c r="H120" s="25"/>
      <c r="I120" s="25"/>
      <c r="J120" s="25"/>
      <c r="K120" s="25"/>
      <c r="L120" s="25"/>
      <c r="M120" s="25"/>
      <c r="N120" s="34">
        <v>-7113</v>
      </c>
      <c r="O120" s="34"/>
      <c r="P120" s="53"/>
      <c r="Q120" s="25"/>
      <c r="R120" s="5"/>
    </row>
    <row r="121" spans="1:18" ht="15.6" x14ac:dyDescent="0.3">
      <c r="A121" s="24"/>
      <c r="B121" s="25" t="s">
        <v>201</v>
      </c>
      <c r="C121" s="25"/>
      <c r="D121" s="25"/>
      <c r="E121" s="25"/>
      <c r="F121" s="25"/>
      <c r="G121" s="25"/>
      <c r="H121" s="25"/>
      <c r="I121" s="25"/>
      <c r="J121" s="25"/>
      <c r="K121" s="25"/>
      <c r="L121" s="25"/>
      <c r="M121" s="25"/>
      <c r="N121" s="34">
        <v>-10909</v>
      </c>
      <c r="O121" s="34"/>
      <c r="P121" s="53"/>
      <c r="Q121" s="25"/>
      <c r="R121" s="5"/>
    </row>
    <row r="122" spans="1:18" ht="15.6" x14ac:dyDescent="0.3">
      <c r="A122" s="24"/>
      <c r="B122" s="25" t="s">
        <v>159</v>
      </c>
      <c r="C122" s="25"/>
      <c r="D122" s="25"/>
      <c r="E122" s="25"/>
      <c r="F122" s="25"/>
      <c r="G122" s="25"/>
      <c r="H122" s="25"/>
      <c r="I122" s="25"/>
      <c r="J122" s="25"/>
      <c r="K122" s="25"/>
      <c r="L122" s="25"/>
      <c r="M122" s="25"/>
      <c r="N122" s="34">
        <v>0</v>
      </c>
      <c r="O122" s="34"/>
      <c r="P122" s="53"/>
      <c r="Q122" s="25"/>
      <c r="R122" s="5"/>
    </row>
    <row r="123" spans="1:18" ht="15.6" x14ac:dyDescent="0.3">
      <c r="A123" s="24"/>
      <c r="B123" s="25" t="s">
        <v>214</v>
      </c>
      <c r="C123" s="25"/>
      <c r="D123" s="25"/>
      <c r="E123" s="25"/>
      <c r="F123" s="25"/>
      <c r="G123" s="25"/>
      <c r="H123" s="25"/>
      <c r="I123" s="25"/>
      <c r="J123" s="25"/>
      <c r="K123" s="25"/>
      <c r="L123" s="25"/>
      <c r="M123" s="25"/>
      <c r="N123" s="34">
        <v>0</v>
      </c>
      <c r="O123" s="34"/>
      <c r="P123" s="53"/>
      <c r="Q123" s="25"/>
      <c r="R123" s="5"/>
    </row>
    <row r="124" spans="1:18" ht="15.6" x14ac:dyDescent="0.3">
      <c r="A124" s="24"/>
      <c r="B124" s="25" t="s">
        <v>47</v>
      </c>
      <c r="C124" s="25"/>
      <c r="D124" s="25"/>
      <c r="E124" s="25"/>
      <c r="F124" s="25"/>
      <c r="G124" s="25"/>
      <c r="H124" s="25"/>
      <c r="I124" s="25"/>
      <c r="J124" s="25"/>
      <c r="K124" s="25"/>
      <c r="L124" s="25"/>
      <c r="M124" s="25"/>
      <c r="N124" s="34">
        <f>SUM(N117:N123)</f>
        <v>-32840</v>
      </c>
      <c r="O124" s="34"/>
      <c r="P124" s="34">
        <f>SUM(P99:P123)</f>
        <v>-13712</v>
      </c>
      <c r="Q124" s="25"/>
      <c r="R124" s="5"/>
    </row>
    <row r="125" spans="1:18" ht="15.6" x14ac:dyDescent="0.3">
      <c r="A125" s="24"/>
      <c r="B125" s="25" t="s">
        <v>48</v>
      </c>
      <c r="C125" s="25"/>
      <c r="D125" s="25"/>
      <c r="E125" s="25"/>
      <c r="F125" s="25"/>
      <c r="G125" s="25"/>
      <c r="H125" s="25"/>
      <c r="I125" s="25"/>
      <c r="J125" s="25"/>
      <c r="K125" s="25"/>
      <c r="L125" s="25"/>
      <c r="M125" s="25"/>
      <c r="N125" s="34">
        <f>N98+N124</f>
        <v>0</v>
      </c>
      <c r="O125" s="34"/>
      <c r="P125" s="34">
        <f>P98+P124</f>
        <v>0</v>
      </c>
      <c r="Q125" s="25"/>
      <c r="R125" s="5"/>
    </row>
    <row r="126" spans="1:18" ht="15.6" x14ac:dyDescent="0.3">
      <c r="A126" s="24"/>
      <c r="B126" s="25"/>
      <c r="C126" s="25"/>
      <c r="D126" s="25"/>
      <c r="E126" s="25"/>
      <c r="F126" s="25"/>
      <c r="G126" s="25"/>
      <c r="H126" s="25"/>
      <c r="I126" s="25"/>
      <c r="J126" s="25"/>
      <c r="K126" s="25"/>
      <c r="L126" s="25"/>
      <c r="M126" s="25"/>
      <c r="N126" s="34"/>
      <c r="O126" s="34"/>
      <c r="P126" s="34"/>
      <c r="Q126" s="25"/>
      <c r="R126" s="5"/>
    </row>
    <row r="127" spans="1:18" ht="15.6" x14ac:dyDescent="0.3">
      <c r="A127" s="6"/>
      <c r="B127" s="146"/>
      <c r="C127" s="146"/>
      <c r="D127" s="146"/>
      <c r="E127" s="146"/>
      <c r="F127" s="146"/>
      <c r="G127" s="146"/>
      <c r="H127" s="146"/>
      <c r="I127" s="146"/>
      <c r="J127" s="146"/>
      <c r="K127" s="146"/>
      <c r="L127" s="146"/>
      <c r="M127" s="146"/>
      <c r="N127" s="147"/>
      <c r="O127" s="147"/>
      <c r="P127" s="147"/>
      <c r="Q127" s="146"/>
      <c r="R127" s="5"/>
    </row>
    <row r="128" spans="1:18" ht="18" thickBot="1" x14ac:dyDescent="0.35">
      <c r="A128" s="101"/>
      <c r="B128" s="102" t="str">
        <f>B65</f>
        <v>PM7 INVESTOR REPORT QUARTER ENDING JULY 2005</v>
      </c>
      <c r="C128" s="103"/>
      <c r="D128" s="103"/>
      <c r="E128" s="103"/>
      <c r="F128" s="103"/>
      <c r="G128" s="103"/>
      <c r="H128" s="103"/>
      <c r="I128" s="103"/>
      <c r="J128" s="103"/>
      <c r="K128" s="103"/>
      <c r="L128" s="103"/>
      <c r="M128" s="103"/>
      <c r="N128" s="103"/>
      <c r="O128" s="103"/>
      <c r="P128" s="106"/>
      <c r="Q128" s="105"/>
      <c r="R128" s="5"/>
    </row>
    <row r="129" spans="1:19" ht="15.6" x14ac:dyDescent="0.3">
      <c r="A129" s="2"/>
      <c r="B129" s="60" t="s">
        <v>49</v>
      </c>
      <c r="C129" s="4"/>
      <c r="D129" s="4"/>
      <c r="E129" s="4"/>
      <c r="F129" s="4"/>
      <c r="G129" s="4"/>
      <c r="H129" s="4"/>
      <c r="I129" s="4"/>
      <c r="J129" s="4"/>
      <c r="K129" s="4"/>
      <c r="L129" s="4"/>
      <c r="M129" s="4"/>
      <c r="N129" s="4"/>
      <c r="O129" s="4"/>
      <c r="P129" s="50"/>
      <c r="Q129" s="4"/>
      <c r="R129" s="5"/>
    </row>
    <row r="130" spans="1:19" ht="15.6" x14ac:dyDescent="0.3">
      <c r="A130" s="6"/>
      <c r="B130" s="21"/>
      <c r="C130" s="8"/>
      <c r="D130" s="8"/>
      <c r="E130" s="8"/>
      <c r="F130" s="8"/>
      <c r="G130" s="8"/>
      <c r="H130" s="8"/>
      <c r="I130" s="8"/>
      <c r="J130" s="8"/>
      <c r="K130" s="8"/>
      <c r="L130" s="8"/>
      <c r="M130" s="8"/>
      <c r="N130" s="8"/>
      <c r="O130" s="8"/>
      <c r="P130" s="52"/>
      <c r="Q130" s="8"/>
      <c r="R130" s="5"/>
    </row>
    <row r="131" spans="1:19" ht="15.6" x14ac:dyDescent="0.3">
      <c r="A131" s="6"/>
      <c r="B131" s="119" t="s">
        <v>50</v>
      </c>
      <c r="C131" s="8"/>
      <c r="D131" s="8"/>
      <c r="E131" s="8"/>
      <c r="F131" s="8"/>
      <c r="G131" s="8"/>
      <c r="H131" s="8"/>
      <c r="I131" s="8"/>
      <c r="J131" s="8"/>
      <c r="K131" s="8"/>
      <c r="L131" s="8"/>
      <c r="M131" s="8"/>
      <c r="N131" s="8"/>
      <c r="O131" s="8"/>
      <c r="P131" s="52"/>
      <c r="Q131" s="8"/>
      <c r="R131" s="5"/>
    </row>
    <row r="132" spans="1:19" ht="15.6" x14ac:dyDescent="0.3">
      <c r="A132" s="24"/>
      <c r="B132" s="25" t="s">
        <v>51</v>
      </c>
      <c r="C132" s="25"/>
      <c r="D132" s="25"/>
      <c r="E132" s="25"/>
      <c r="F132" s="25"/>
      <c r="G132" s="25"/>
      <c r="H132" s="25"/>
      <c r="I132" s="25"/>
      <c r="J132" s="25"/>
      <c r="K132" s="25"/>
      <c r="L132" s="25"/>
      <c r="M132" s="25"/>
      <c r="N132" s="25"/>
      <c r="O132" s="25"/>
      <c r="P132" s="53">
        <f>+P36*0.022</f>
        <v>19815.399999999998</v>
      </c>
      <c r="Q132" s="25"/>
      <c r="R132" s="5"/>
    </row>
    <row r="133" spans="1:19" ht="15.6" x14ac:dyDescent="0.3">
      <c r="A133" s="24"/>
      <c r="B133" s="25" t="s">
        <v>52</v>
      </c>
      <c r="C133" s="25"/>
      <c r="D133" s="25"/>
      <c r="E133" s="25"/>
      <c r="F133" s="25"/>
      <c r="G133" s="25"/>
      <c r="H133" s="25"/>
      <c r="I133" s="25"/>
      <c r="J133" s="25"/>
      <c r="K133" s="25"/>
      <c r="L133" s="25"/>
      <c r="M133" s="25"/>
      <c r="N133" s="25"/>
      <c r="O133" s="25"/>
      <c r="P133" s="53">
        <v>19815</v>
      </c>
      <c r="Q133" s="25"/>
      <c r="R133" s="5"/>
    </row>
    <row r="134" spans="1:19" ht="15.6" x14ac:dyDescent="0.3">
      <c r="A134" s="24"/>
      <c r="B134" s="25" t="s">
        <v>161</v>
      </c>
      <c r="C134" s="25"/>
      <c r="D134" s="25"/>
      <c r="E134" s="25"/>
      <c r="F134" s="25"/>
      <c r="G134" s="25"/>
      <c r="H134" s="25"/>
      <c r="I134" s="25"/>
      <c r="J134" s="25"/>
      <c r="K134" s="25"/>
      <c r="L134" s="25"/>
      <c r="M134" s="25"/>
      <c r="N134" s="25"/>
      <c r="O134" s="25"/>
      <c r="P134" s="53">
        <v>0</v>
      </c>
      <c r="Q134" s="25"/>
      <c r="R134" s="5"/>
    </row>
    <row r="135" spans="1:19" ht="15.6" x14ac:dyDescent="0.3">
      <c r="A135" s="24"/>
      <c r="B135" s="25" t="s">
        <v>144</v>
      </c>
      <c r="C135" s="25"/>
      <c r="D135" s="25"/>
      <c r="E135" s="25"/>
      <c r="F135" s="25"/>
      <c r="G135" s="25"/>
      <c r="H135" s="25"/>
      <c r="I135" s="25"/>
      <c r="J135" s="25"/>
      <c r="K135" s="25"/>
      <c r="L135" s="25"/>
      <c r="M135" s="25"/>
      <c r="N135" s="25"/>
      <c r="O135" s="25"/>
      <c r="P135" s="53">
        <v>0</v>
      </c>
      <c r="Q135" s="25"/>
      <c r="R135" s="5"/>
    </row>
    <row r="136" spans="1:19" ht="15.6" x14ac:dyDescent="0.3">
      <c r="A136" s="24"/>
      <c r="B136" s="25" t="s">
        <v>145</v>
      </c>
      <c r="C136" s="25"/>
      <c r="D136" s="25"/>
      <c r="E136" s="25"/>
      <c r="F136" s="25"/>
      <c r="G136" s="25"/>
      <c r="H136" s="25"/>
      <c r="I136" s="25"/>
      <c r="J136" s="25"/>
      <c r="K136" s="25"/>
      <c r="L136" s="25"/>
      <c r="M136" s="25"/>
      <c r="N136" s="25"/>
      <c r="O136" s="25"/>
      <c r="P136" s="53">
        <v>0</v>
      </c>
      <c r="Q136" s="25"/>
      <c r="R136" s="5"/>
    </row>
    <row r="137" spans="1:19" ht="15.6" x14ac:dyDescent="0.3">
      <c r="A137" s="24"/>
      <c r="B137" s="25" t="s">
        <v>53</v>
      </c>
      <c r="C137" s="25"/>
      <c r="D137" s="25"/>
      <c r="E137" s="25"/>
      <c r="F137" s="25"/>
      <c r="G137" s="25"/>
      <c r="H137" s="25"/>
      <c r="I137" s="25"/>
      <c r="J137" s="25"/>
      <c r="K137" s="25"/>
      <c r="L137" s="25"/>
      <c r="M137" s="25"/>
      <c r="N137" s="25"/>
      <c r="O137" s="25"/>
      <c r="P137" s="53">
        <v>0</v>
      </c>
      <c r="Q137" s="25"/>
      <c r="R137" s="5"/>
    </row>
    <row r="138" spans="1:19" ht="15.6" x14ac:dyDescent="0.3">
      <c r="A138" s="24"/>
      <c r="B138" s="25" t="s">
        <v>153</v>
      </c>
      <c r="C138" s="25"/>
      <c r="D138" s="25"/>
      <c r="E138" s="25"/>
      <c r="F138" s="25"/>
      <c r="G138" s="25"/>
      <c r="H138" s="25"/>
      <c r="I138" s="25"/>
      <c r="J138" s="25"/>
      <c r="K138" s="25"/>
      <c r="L138" s="25"/>
      <c r="M138" s="25"/>
      <c r="N138" s="25"/>
      <c r="O138" s="25"/>
      <c r="P138" s="53">
        <v>0</v>
      </c>
      <c r="Q138" s="25"/>
      <c r="R138" s="5"/>
    </row>
    <row r="139" spans="1:19" ht="15.6" x14ac:dyDescent="0.3">
      <c r="A139" s="24"/>
      <c r="B139" s="25" t="s">
        <v>202</v>
      </c>
      <c r="C139" s="25"/>
      <c r="D139" s="25"/>
      <c r="E139" s="25"/>
      <c r="F139" s="25"/>
      <c r="G139" s="25"/>
      <c r="H139" s="25"/>
      <c r="I139" s="25"/>
      <c r="J139" s="25"/>
      <c r="K139" s="25"/>
      <c r="L139" s="25"/>
      <c r="M139" s="25"/>
      <c r="N139" s="25"/>
      <c r="O139" s="25"/>
      <c r="P139" s="53">
        <v>0</v>
      </c>
      <c r="Q139" s="25"/>
      <c r="R139" s="5"/>
      <c r="S139" s="109"/>
    </row>
    <row r="140" spans="1:19" ht="15.6" x14ac:dyDescent="0.3">
      <c r="A140" s="24"/>
      <c r="B140" s="25" t="s">
        <v>54</v>
      </c>
      <c r="C140" s="25"/>
      <c r="D140" s="25"/>
      <c r="E140" s="25"/>
      <c r="F140" s="25"/>
      <c r="G140" s="25"/>
      <c r="H140" s="25"/>
      <c r="I140" s="25"/>
      <c r="J140" s="25"/>
      <c r="K140" s="25"/>
      <c r="L140" s="25"/>
      <c r="M140" s="25"/>
      <c r="N140" s="25"/>
      <c r="O140" s="25"/>
      <c r="P140" s="53">
        <f>SUM(P133:P139)</f>
        <v>19815</v>
      </c>
      <c r="Q140" s="25"/>
      <c r="R140" s="5"/>
    </row>
    <row r="141" spans="1:19" ht="15.6" x14ac:dyDescent="0.3">
      <c r="A141" s="24"/>
      <c r="B141" s="25"/>
      <c r="C141" s="25"/>
      <c r="D141" s="25"/>
      <c r="E141" s="25"/>
      <c r="F141" s="25"/>
      <c r="G141" s="25"/>
      <c r="H141" s="25"/>
      <c r="I141" s="25"/>
      <c r="J141" s="25"/>
      <c r="K141" s="25"/>
      <c r="L141" s="25"/>
      <c r="M141" s="25"/>
      <c r="N141" s="25"/>
      <c r="O141" s="25"/>
      <c r="P141" s="61"/>
      <c r="Q141" s="25"/>
      <c r="R141" s="5"/>
    </row>
    <row r="142" spans="1:19" ht="15.6" x14ac:dyDescent="0.3">
      <c r="A142" s="6"/>
      <c r="B142" s="119" t="s">
        <v>28</v>
      </c>
      <c r="C142" s="8"/>
      <c r="D142" s="8"/>
      <c r="E142" s="8"/>
      <c r="F142" s="8"/>
      <c r="G142" s="8"/>
      <c r="H142" s="8"/>
      <c r="I142" s="8"/>
      <c r="J142" s="8"/>
      <c r="K142" s="8"/>
      <c r="L142" s="8"/>
      <c r="M142" s="8"/>
      <c r="N142" s="8"/>
      <c r="O142" s="8"/>
      <c r="P142" s="52"/>
      <c r="Q142" s="8"/>
      <c r="R142" s="5"/>
    </row>
    <row r="143" spans="1:19" ht="15.6" x14ac:dyDescent="0.3">
      <c r="A143" s="24"/>
      <c r="B143" s="25" t="s">
        <v>55</v>
      </c>
      <c r="C143" s="25"/>
      <c r="D143" s="25"/>
      <c r="E143" s="25"/>
      <c r="F143" s="25"/>
      <c r="G143" s="25"/>
      <c r="H143" s="25"/>
      <c r="I143" s="25"/>
      <c r="J143" s="25"/>
      <c r="K143" s="25"/>
      <c r="L143" s="25"/>
      <c r="M143" s="25"/>
      <c r="N143" s="25"/>
      <c r="O143" s="25"/>
      <c r="P143" s="59" t="s">
        <v>137</v>
      </c>
      <c r="Q143" s="25"/>
      <c r="R143" s="5"/>
    </row>
    <row r="144" spans="1:19" ht="15.6" x14ac:dyDescent="0.3">
      <c r="A144" s="24"/>
      <c r="B144" s="25" t="s">
        <v>56</v>
      </c>
      <c r="C144" s="141"/>
      <c r="D144" s="141"/>
      <c r="E144" s="141"/>
      <c r="F144" s="141"/>
      <c r="G144" s="141"/>
      <c r="H144" s="141"/>
      <c r="I144" s="141"/>
      <c r="J144" s="141"/>
      <c r="K144" s="141"/>
      <c r="L144" s="141"/>
      <c r="M144" s="141"/>
      <c r="N144" s="141"/>
      <c r="O144" s="141"/>
      <c r="P144" s="59" t="s">
        <v>137</v>
      </c>
      <c r="Q144" s="25"/>
      <c r="R144" s="5"/>
    </row>
    <row r="145" spans="1:18" ht="15.6" x14ac:dyDescent="0.3">
      <c r="A145" s="24"/>
      <c r="B145" s="25" t="s">
        <v>57</v>
      </c>
      <c r="C145" s="25"/>
      <c r="D145" s="25"/>
      <c r="E145" s="25"/>
      <c r="F145" s="25"/>
      <c r="G145" s="25"/>
      <c r="H145" s="25"/>
      <c r="I145" s="25"/>
      <c r="J145" s="25"/>
      <c r="K145" s="25"/>
      <c r="L145" s="25"/>
      <c r="M145" s="25"/>
      <c r="N145" s="25"/>
      <c r="O145" s="25"/>
      <c r="P145" s="59" t="s">
        <v>137</v>
      </c>
      <c r="Q145" s="25"/>
      <c r="R145" s="5"/>
    </row>
    <row r="146" spans="1:18" ht="15.6" x14ac:dyDescent="0.3">
      <c r="A146" s="24"/>
      <c r="B146" s="25" t="s">
        <v>58</v>
      </c>
      <c r="C146" s="25"/>
      <c r="D146" s="25"/>
      <c r="E146" s="25"/>
      <c r="F146" s="25"/>
      <c r="G146" s="25"/>
      <c r="H146" s="25"/>
      <c r="I146" s="25"/>
      <c r="J146" s="25"/>
      <c r="K146" s="25"/>
      <c r="L146" s="25"/>
      <c r="M146" s="25"/>
      <c r="N146" s="25"/>
      <c r="O146" s="25"/>
      <c r="P146" s="59" t="s">
        <v>137</v>
      </c>
      <c r="Q146" s="25"/>
      <c r="R146" s="5"/>
    </row>
    <row r="147" spans="1:18" ht="15.6" x14ac:dyDescent="0.3">
      <c r="A147" s="24"/>
      <c r="B147" s="25"/>
      <c r="C147" s="25"/>
      <c r="D147" s="25"/>
      <c r="E147" s="25"/>
      <c r="F147" s="25"/>
      <c r="G147" s="25"/>
      <c r="H147" s="25"/>
      <c r="I147" s="25"/>
      <c r="J147" s="25"/>
      <c r="K147" s="25"/>
      <c r="L147" s="25"/>
      <c r="M147" s="25"/>
      <c r="N147" s="25"/>
      <c r="O147" s="25"/>
      <c r="P147" s="61"/>
      <c r="Q147" s="25"/>
      <c r="R147" s="5"/>
    </row>
    <row r="148" spans="1:18" ht="15.6" x14ac:dyDescent="0.3">
      <c r="A148" s="6"/>
      <c r="B148" s="119" t="s">
        <v>59</v>
      </c>
      <c r="C148" s="8"/>
      <c r="D148" s="8"/>
      <c r="E148" s="8"/>
      <c r="F148" s="8"/>
      <c r="G148" s="8"/>
      <c r="H148" s="8"/>
      <c r="I148" s="8"/>
      <c r="J148" s="8"/>
      <c r="K148" s="8"/>
      <c r="L148" s="8"/>
      <c r="M148" s="8"/>
      <c r="N148" s="8"/>
      <c r="O148" s="8"/>
      <c r="P148" s="63"/>
      <c r="Q148" s="8"/>
      <c r="R148" s="5"/>
    </row>
    <row r="149" spans="1:18" ht="15.6" x14ac:dyDescent="0.3">
      <c r="A149" s="24"/>
      <c r="B149" s="25" t="s">
        <v>60</v>
      </c>
      <c r="C149" s="25"/>
      <c r="D149" s="25"/>
      <c r="E149" s="25"/>
      <c r="F149" s="25"/>
      <c r="G149" s="25"/>
      <c r="H149" s="25"/>
      <c r="I149" s="25"/>
      <c r="J149" s="25"/>
      <c r="K149" s="25"/>
      <c r="L149" s="25"/>
      <c r="M149" s="25"/>
      <c r="N149" s="25"/>
      <c r="O149" s="25"/>
      <c r="P149" s="53">
        <v>0</v>
      </c>
      <c r="Q149" s="25"/>
      <c r="R149" s="5"/>
    </row>
    <row r="150" spans="1:18" ht="15.6" x14ac:dyDescent="0.3">
      <c r="A150" s="24"/>
      <c r="B150" s="25" t="s">
        <v>61</v>
      </c>
      <c r="C150" s="25"/>
      <c r="D150" s="25"/>
      <c r="E150" s="25"/>
      <c r="F150" s="25"/>
      <c r="G150" s="25"/>
      <c r="H150" s="25"/>
      <c r="I150" s="25"/>
      <c r="J150" s="25"/>
      <c r="K150" s="25"/>
      <c r="L150" s="25"/>
      <c r="M150" s="25"/>
      <c r="N150" s="25"/>
      <c r="O150" s="25"/>
      <c r="P150" s="53">
        <v>0</v>
      </c>
      <c r="Q150" s="25"/>
      <c r="R150" s="5"/>
    </row>
    <row r="151" spans="1:18" ht="15.6" x14ac:dyDescent="0.3">
      <c r="A151" s="24"/>
      <c r="B151" s="25" t="s">
        <v>62</v>
      </c>
      <c r="C151" s="25"/>
      <c r="D151" s="25"/>
      <c r="E151" s="25"/>
      <c r="F151" s="25"/>
      <c r="G151" s="25"/>
      <c r="H151" s="25"/>
      <c r="I151" s="25"/>
      <c r="J151" s="25"/>
      <c r="K151" s="25"/>
      <c r="L151" s="25"/>
      <c r="M151" s="25"/>
      <c r="N151" s="25"/>
      <c r="O151" s="25"/>
      <c r="P151" s="53">
        <f>P150+P149</f>
        <v>0</v>
      </c>
      <c r="Q151" s="25"/>
      <c r="R151" s="5"/>
    </row>
    <row r="152" spans="1:18" ht="15.6" x14ac:dyDescent="0.3">
      <c r="A152" s="24"/>
      <c r="B152" s="403" t="s">
        <v>297</v>
      </c>
      <c r="C152" s="25"/>
      <c r="D152" s="25"/>
      <c r="E152" s="25"/>
      <c r="F152" s="25"/>
      <c r="G152" s="25"/>
      <c r="H152" s="25"/>
      <c r="I152" s="25"/>
      <c r="J152" s="25"/>
      <c r="K152" s="25"/>
      <c r="L152" s="25"/>
      <c r="M152" s="25"/>
      <c r="N152" s="25"/>
      <c r="O152" s="25"/>
      <c r="P152" s="53">
        <f>P111</f>
        <v>0</v>
      </c>
      <c r="Q152" s="25"/>
      <c r="R152" s="5"/>
    </row>
    <row r="153" spans="1:18" ht="15.6" x14ac:dyDescent="0.3">
      <c r="A153" s="24"/>
      <c r="B153" s="25" t="s">
        <v>63</v>
      </c>
      <c r="C153" s="25"/>
      <c r="D153" s="25"/>
      <c r="E153" s="25"/>
      <c r="F153" s="25"/>
      <c r="G153" s="25"/>
      <c r="H153" s="25"/>
      <c r="I153" s="25"/>
      <c r="J153" s="25"/>
      <c r="K153" s="25"/>
      <c r="L153" s="25"/>
      <c r="M153" s="25"/>
      <c r="N153" s="25"/>
      <c r="O153" s="25"/>
      <c r="P153" s="53">
        <f>P151+P152</f>
        <v>0</v>
      </c>
      <c r="Q153" s="25"/>
      <c r="R153" s="5"/>
    </row>
    <row r="154" spans="1:18" ht="16.2" thickBot="1" x14ac:dyDescent="0.35">
      <c r="A154" s="24"/>
      <c r="B154" s="25"/>
      <c r="C154" s="25"/>
      <c r="D154" s="25"/>
      <c r="E154" s="25"/>
      <c r="F154" s="25"/>
      <c r="G154" s="25"/>
      <c r="H154" s="25"/>
      <c r="I154" s="25"/>
      <c r="J154" s="25"/>
      <c r="K154" s="25"/>
      <c r="L154" s="25"/>
      <c r="M154" s="25"/>
      <c r="N154" s="25"/>
      <c r="O154" s="25"/>
      <c r="P154" s="61"/>
      <c r="Q154" s="25"/>
      <c r="R154" s="5"/>
    </row>
    <row r="155" spans="1:18" ht="15.6" x14ac:dyDescent="0.3">
      <c r="A155" s="2"/>
      <c r="B155" s="4"/>
      <c r="C155" s="4"/>
      <c r="D155" s="4"/>
      <c r="E155" s="4"/>
      <c r="F155" s="4"/>
      <c r="G155" s="4"/>
      <c r="H155" s="4"/>
      <c r="I155" s="4"/>
      <c r="J155" s="4"/>
      <c r="K155" s="4"/>
      <c r="L155" s="4"/>
      <c r="M155" s="4"/>
      <c r="N155" s="4"/>
      <c r="O155" s="4"/>
      <c r="P155" s="50"/>
      <c r="Q155" s="4"/>
      <c r="R155" s="5"/>
    </row>
    <row r="156" spans="1:18" ht="15.6" x14ac:dyDescent="0.3">
      <c r="A156" s="6"/>
      <c r="B156" s="119" t="s">
        <v>64</v>
      </c>
      <c r="C156" s="8"/>
      <c r="D156" s="8"/>
      <c r="E156" s="8"/>
      <c r="F156" s="8"/>
      <c r="G156" s="8"/>
      <c r="H156" s="8"/>
      <c r="I156" s="8"/>
      <c r="J156" s="8"/>
      <c r="K156" s="8"/>
      <c r="L156" s="8"/>
      <c r="M156" s="8"/>
      <c r="N156" s="8"/>
      <c r="O156" s="8"/>
      <c r="P156" s="52"/>
      <c r="Q156" s="8"/>
      <c r="R156" s="5"/>
    </row>
    <row r="157" spans="1:18" ht="15.6" x14ac:dyDescent="0.3">
      <c r="A157" s="6"/>
      <c r="B157" s="21"/>
      <c r="C157" s="8"/>
      <c r="D157" s="8"/>
      <c r="E157" s="8"/>
      <c r="F157" s="8"/>
      <c r="G157" s="8"/>
      <c r="H157" s="8"/>
      <c r="I157" s="8"/>
      <c r="J157" s="8"/>
      <c r="K157" s="8"/>
      <c r="L157" s="8"/>
      <c r="M157" s="8"/>
      <c r="N157" s="8"/>
      <c r="O157" s="8"/>
      <c r="P157" s="52"/>
      <c r="Q157" s="8"/>
      <c r="R157" s="5"/>
    </row>
    <row r="158" spans="1:18" ht="15.6" x14ac:dyDescent="0.3">
      <c r="A158" s="24"/>
      <c r="B158" s="25" t="s">
        <v>221</v>
      </c>
      <c r="C158" s="25"/>
      <c r="D158" s="25"/>
      <c r="E158" s="25"/>
      <c r="F158" s="25"/>
      <c r="G158" s="25"/>
      <c r="H158" s="25"/>
      <c r="I158" s="25"/>
      <c r="J158" s="25"/>
      <c r="K158" s="25"/>
      <c r="L158" s="25"/>
      <c r="M158" s="25"/>
      <c r="N158" s="25"/>
      <c r="O158" s="25"/>
      <c r="P158" s="53">
        <f>P73</f>
        <v>793495</v>
      </c>
      <c r="Q158" s="25"/>
      <c r="R158" s="5"/>
    </row>
    <row r="159" spans="1:18" ht="15.6" x14ac:dyDescent="0.3">
      <c r="A159" s="24"/>
      <c r="B159" s="25" t="s">
        <v>65</v>
      </c>
      <c r="C159" s="25"/>
      <c r="D159" s="25"/>
      <c r="E159" s="25"/>
      <c r="F159" s="25"/>
      <c r="G159" s="25"/>
      <c r="H159" s="25"/>
      <c r="I159" s="25"/>
      <c r="J159" s="25"/>
      <c r="K159" s="25"/>
      <c r="L159" s="25"/>
      <c r="M159" s="25"/>
      <c r="N159" s="25"/>
      <c r="O159" s="25"/>
      <c r="P159" s="53">
        <f>P86</f>
        <v>793495</v>
      </c>
      <c r="Q159" s="25"/>
      <c r="R159" s="5"/>
    </row>
    <row r="160" spans="1:18" ht="16.2" thickBot="1" x14ac:dyDescent="0.35">
      <c r="A160" s="24"/>
      <c r="B160" s="25"/>
      <c r="C160" s="25"/>
      <c r="D160" s="25"/>
      <c r="E160" s="25"/>
      <c r="F160" s="25"/>
      <c r="G160" s="25"/>
      <c r="H160" s="25"/>
      <c r="I160" s="25"/>
      <c r="J160" s="25"/>
      <c r="K160" s="25"/>
      <c r="L160" s="25"/>
      <c r="M160" s="25"/>
      <c r="N160" s="25"/>
      <c r="O160" s="25"/>
      <c r="P160" s="61"/>
      <c r="Q160" s="25"/>
      <c r="R160" s="5"/>
    </row>
    <row r="161" spans="1:18" ht="15.6" x14ac:dyDescent="0.3">
      <c r="A161" s="2"/>
      <c r="B161" s="4"/>
      <c r="C161" s="4"/>
      <c r="D161" s="4"/>
      <c r="E161" s="4"/>
      <c r="F161" s="4"/>
      <c r="G161" s="4"/>
      <c r="H161" s="4"/>
      <c r="I161" s="4"/>
      <c r="J161" s="4"/>
      <c r="K161" s="4"/>
      <c r="L161" s="4"/>
      <c r="M161" s="4"/>
      <c r="N161" s="4"/>
      <c r="O161" s="4"/>
      <c r="P161" s="50"/>
      <c r="Q161" s="4"/>
      <c r="R161" s="5"/>
    </row>
    <row r="162" spans="1:18" ht="15.6" x14ac:dyDescent="0.3">
      <c r="A162" s="6"/>
      <c r="B162" s="119" t="s">
        <v>66</v>
      </c>
      <c r="C162" s="117"/>
      <c r="D162" s="117"/>
      <c r="E162" s="117"/>
      <c r="F162" s="120"/>
      <c r="G162" s="120"/>
      <c r="H162" s="120"/>
      <c r="I162" s="120"/>
      <c r="J162" s="120"/>
      <c r="K162" s="120"/>
      <c r="L162" s="120"/>
      <c r="M162" s="120" t="s">
        <v>112</v>
      </c>
      <c r="N162" s="120" t="s">
        <v>120</v>
      </c>
      <c r="O162" s="111"/>
      <c r="P162" s="121" t="s">
        <v>129</v>
      </c>
      <c r="Q162" s="10"/>
      <c r="R162" s="5"/>
    </row>
    <row r="163" spans="1:18" ht="15.6" x14ac:dyDescent="0.3">
      <c r="A163" s="24"/>
      <c r="B163" s="25" t="s">
        <v>67</v>
      </c>
      <c r="C163" s="25"/>
      <c r="D163" s="25"/>
      <c r="E163" s="25"/>
      <c r="F163" s="25"/>
      <c r="G163" s="25"/>
      <c r="H163" s="25"/>
      <c r="I163" s="25"/>
      <c r="J163" s="25"/>
      <c r="K163" s="25"/>
      <c r="L163" s="25"/>
      <c r="M163" s="53">
        <v>144000</v>
      </c>
      <c r="N163" s="40">
        <v>0</v>
      </c>
      <c r="O163" s="25"/>
      <c r="P163" s="53"/>
      <c r="Q163" s="25"/>
      <c r="R163" s="5"/>
    </row>
    <row r="164" spans="1:18" ht="15.6" x14ac:dyDescent="0.3">
      <c r="A164" s="24"/>
      <c r="B164" s="25" t="s">
        <v>68</v>
      </c>
      <c r="C164" s="25"/>
      <c r="D164" s="25"/>
      <c r="E164" s="25"/>
      <c r="F164" s="25"/>
      <c r="G164" s="25"/>
      <c r="H164" s="25"/>
      <c r="I164" s="25"/>
      <c r="J164" s="25"/>
      <c r="K164" s="25"/>
      <c r="L164" s="25"/>
      <c r="M164" s="53">
        <f>+'April 05'!M165</f>
        <v>26209</v>
      </c>
      <c r="N164" s="53">
        <f>+'April 05'!N165</f>
        <v>7423</v>
      </c>
      <c r="O164" s="25"/>
      <c r="P164" s="53">
        <f>M164+N164</f>
        <v>33632</v>
      </c>
      <c r="Q164" s="25"/>
      <c r="R164" s="5"/>
    </row>
    <row r="165" spans="1:18" ht="15.6" x14ac:dyDescent="0.3">
      <c r="A165" s="24"/>
      <c r="B165" s="25" t="s">
        <v>69</v>
      </c>
      <c r="C165" s="25"/>
      <c r="D165" s="25"/>
      <c r="E165" s="25"/>
      <c r="F165" s="25"/>
      <c r="G165" s="25"/>
      <c r="H165" s="25"/>
      <c r="I165" s="25"/>
      <c r="J165" s="25"/>
      <c r="K165" s="25"/>
      <c r="L165" s="25"/>
      <c r="M165" s="34">
        <v>6019</v>
      </c>
      <c r="N165" s="34">
        <f>-N96-N117</f>
        <v>633</v>
      </c>
      <c r="O165" s="25"/>
      <c r="P165" s="53">
        <f>M165+N165</f>
        <v>6652</v>
      </c>
      <c r="Q165" s="25"/>
      <c r="R165" s="5"/>
    </row>
    <row r="166" spans="1:18" ht="15.6" x14ac:dyDescent="0.3">
      <c r="A166" s="24"/>
      <c r="B166" s="25" t="s">
        <v>70</v>
      </c>
      <c r="C166" s="25"/>
      <c r="D166" s="25"/>
      <c r="E166" s="25"/>
      <c r="F166" s="25"/>
      <c r="G166" s="25"/>
      <c r="H166" s="25"/>
      <c r="I166" s="25"/>
      <c r="J166" s="25"/>
      <c r="K166" s="25"/>
      <c r="L166" s="25"/>
      <c r="M166" s="53">
        <f>M164+M165</f>
        <v>32228</v>
      </c>
      <c r="N166" s="53">
        <f>N165+N164</f>
        <v>8056</v>
      </c>
      <c r="O166" s="25"/>
      <c r="P166" s="53">
        <f>M166+N166</f>
        <v>40284</v>
      </c>
      <c r="Q166" s="25"/>
      <c r="R166" s="5"/>
    </row>
    <row r="167" spans="1:18" ht="15.6" x14ac:dyDescent="0.3">
      <c r="A167" s="24"/>
      <c r="B167" s="25" t="s">
        <v>71</v>
      </c>
      <c r="C167" s="25"/>
      <c r="D167" s="25"/>
      <c r="E167" s="25"/>
      <c r="F167" s="25"/>
      <c r="G167" s="25"/>
      <c r="H167" s="25"/>
      <c r="I167" s="25"/>
      <c r="J167" s="25"/>
      <c r="K167" s="25"/>
      <c r="L167" s="25"/>
      <c r="M167" s="53">
        <f>M163-M166-N166</f>
        <v>103716</v>
      </c>
      <c r="N167" s="40"/>
      <c r="O167" s="25"/>
      <c r="P167" s="53"/>
      <c r="Q167" s="25"/>
      <c r="R167" s="5"/>
    </row>
    <row r="168" spans="1:18" ht="16.2" thickBot="1" x14ac:dyDescent="0.35">
      <c r="A168" s="24"/>
      <c r="B168" s="25"/>
      <c r="C168" s="25"/>
      <c r="D168" s="25"/>
      <c r="E168" s="25"/>
      <c r="F168" s="25"/>
      <c r="G168" s="25"/>
      <c r="H168" s="25"/>
      <c r="I168" s="25"/>
      <c r="J168" s="25"/>
      <c r="K168" s="25"/>
      <c r="L168" s="25"/>
      <c r="M168" s="25"/>
      <c r="N168" s="25"/>
      <c r="O168" s="25"/>
      <c r="P168" s="61"/>
      <c r="Q168" s="25"/>
      <c r="R168" s="5"/>
    </row>
    <row r="169" spans="1:18" ht="15.6" x14ac:dyDescent="0.3">
      <c r="A169" s="2"/>
      <c r="B169" s="4"/>
      <c r="C169" s="4"/>
      <c r="D169" s="4"/>
      <c r="E169" s="4"/>
      <c r="F169" s="4"/>
      <c r="G169" s="4"/>
      <c r="H169" s="4"/>
      <c r="I169" s="4"/>
      <c r="J169" s="4"/>
      <c r="K169" s="4"/>
      <c r="L169" s="4"/>
      <c r="M169" s="4"/>
      <c r="N169" s="4"/>
      <c r="O169" s="4"/>
      <c r="P169" s="50"/>
      <c r="Q169" s="4"/>
      <c r="R169" s="5"/>
    </row>
    <row r="170" spans="1:18" ht="15.6" x14ac:dyDescent="0.3">
      <c r="A170" s="6"/>
      <c r="B170" s="119" t="s">
        <v>72</v>
      </c>
      <c r="C170" s="8"/>
      <c r="D170" s="8"/>
      <c r="E170" s="8"/>
      <c r="F170" s="8"/>
      <c r="G170" s="8"/>
      <c r="H170" s="8"/>
      <c r="I170" s="8"/>
      <c r="J170" s="8"/>
      <c r="K170" s="8"/>
      <c r="L170" s="8"/>
      <c r="M170" s="8"/>
      <c r="N170" s="8"/>
      <c r="O170" s="8"/>
      <c r="P170" s="65"/>
      <c r="Q170" s="8"/>
      <c r="R170" s="5"/>
    </row>
    <row r="171" spans="1:18" ht="15.6" x14ac:dyDescent="0.3">
      <c r="A171" s="24"/>
      <c r="B171" s="25" t="s">
        <v>73</v>
      </c>
      <c r="C171" s="25"/>
      <c r="D171" s="25"/>
      <c r="E171" s="25"/>
      <c r="F171" s="25"/>
      <c r="G171" s="25"/>
      <c r="H171" s="25"/>
      <c r="I171" s="25"/>
      <c r="J171" s="25"/>
      <c r="K171" s="25"/>
      <c r="L171" s="25"/>
      <c r="M171" s="25"/>
      <c r="N171" s="25"/>
      <c r="O171" s="25"/>
      <c r="P171" s="66">
        <f>(P98+P100+P101+P102+P103)/-(P104+P105+P106)</f>
        <v>1.4242391884676988</v>
      </c>
      <c r="Q171" s="25" t="s">
        <v>130</v>
      </c>
      <c r="R171" s="5"/>
    </row>
    <row r="172" spans="1:18" ht="15.6" x14ac:dyDescent="0.3">
      <c r="A172" s="24"/>
      <c r="B172" s="25" t="s">
        <v>74</v>
      </c>
      <c r="C172" s="25"/>
      <c r="D172" s="25"/>
      <c r="E172" s="25"/>
      <c r="F172" s="25"/>
      <c r="G172" s="25"/>
      <c r="H172" s="25"/>
      <c r="I172" s="25"/>
      <c r="J172" s="25"/>
      <c r="K172" s="25"/>
      <c r="L172" s="25"/>
      <c r="M172" s="25"/>
      <c r="N172" s="25"/>
      <c r="O172" s="25"/>
      <c r="P172" s="66">
        <v>1.32</v>
      </c>
      <c r="Q172" s="25" t="s">
        <v>130</v>
      </c>
      <c r="R172" s="5"/>
    </row>
    <row r="173" spans="1:18" ht="15.6" x14ac:dyDescent="0.3">
      <c r="A173" s="24"/>
      <c r="B173" s="25" t="s">
        <v>75</v>
      </c>
      <c r="C173" s="25"/>
      <c r="D173" s="25"/>
      <c r="E173" s="25"/>
      <c r="F173" s="25"/>
      <c r="G173" s="25"/>
      <c r="H173" s="25"/>
      <c r="I173" s="25"/>
      <c r="J173" s="25"/>
      <c r="K173" s="25"/>
      <c r="L173" s="25"/>
      <c r="M173" s="25"/>
      <c r="N173" s="25"/>
      <c r="O173" s="25"/>
      <c r="P173" s="59">
        <f>(P98+P100+P101+P102+P103+P104+P105+P106)/-(P107+P108)</f>
        <v>3.0491174213353798</v>
      </c>
      <c r="Q173" s="25" t="s">
        <v>130</v>
      </c>
      <c r="R173" s="5"/>
    </row>
    <row r="174" spans="1:18" ht="15.6" x14ac:dyDescent="0.3">
      <c r="A174" s="24"/>
      <c r="B174" s="25" t="s">
        <v>76</v>
      </c>
      <c r="C174" s="25"/>
      <c r="D174" s="25"/>
      <c r="E174" s="25"/>
      <c r="F174" s="25"/>
      <c r="G174" s="25"/>
      <c r="H174" s="25"/>
      <c r="I174" s="25"/>
      <c r="J174" s="25"/>
      <c r="K174" s="25"/>
      <c r="L174" s="25"/>
      <c r="M174" s="25"/>
      <c r="N174" s="25"/>
      <c r="O174" s="25"/>
      <c r="P174" s="66">
        <v>2.44</v>
      </c>
      <c r="Q174" s="25" t="s">
        <v>130</v>
      </c>
      <c r="R174" s="5"/>
    </row>
    <row r="175" spans="1:18" ht="15.6" x14ac:dyDescent="0.3">
      <c r="A175" s="24"/>
      <c r="B175" s="25"/>
      <c r="C175" s="25"/>
      <c r="D175" s="25"/>
      <c r="E175" s="25"/>
      <c r="F175" s="25"/>
      <c r="G175" s="25"/>
      <c r="H175" s="25"/>
      <c r="I175" s="25"/>
      <c r="J175" s="25"/>
      <c r="K175" s="25"/>
      <c r="L175" s="25"/>
      <c r="M175" s="25"/>
      <c r="N175" s="25"/>
      <c r="O175" s="25"/>
      <c r="P175" s="25"/>
      <c r="Q175" s="25"/>
      <c r="R175" s="5"/>
    </row>
    <row r="176" spans="1:18" ht="15.6" x14ac:dyDescent="0.3">
      <c r="A176" s="24"/>
      <c r="B176" s="25"/>
      <c r="C176" s="25"/>
      <c r="D176" s="25"/>
      <c r="E176" s="25"/>
      <c r="F176" s="25"/>
      <c r="G176" s="25"/>
      <c r="H176" s="25"/>
      <c r="I176" s="25"/>
      <c r="J176" s="25"/>
      <c r="K176" s="25"/>
      <c r="L176" s="25"/>
      <c r="M176" s="25"/>
      <c r="N176" s="25"/>
      <c r="O176" s="25"/>
      <c r="P176" s="25"/>
      <c r="Q176" s="25"/>
      <c r="R176" s="5"/>
    </row>
    <row r="177" spans="1:18" ht="15.6" x14ac:dyDescent="0.3">
      <c r="A177" s="6"/>
      <c r="B177" s="8"/>
      <c r="C177" s="8"/>
      <c r="D177" s="8"/>
      <c r="E177" s="8"/>
      <c r="F177" s="8"/>
      <c r="G177" s="8"/>
      <c r="H177" s="8"/>
      <c r="I177" s="8"/>
      <c r="J177" s="8"/>
      <c r="K177" s="8"/>
      <c r="L177" s="8"/>
      <c r="M177" s="8"/>
      <c r="N177" s="8"/>
      <c r="O177" s="8"/>
      <c r="P177" s="8"/>
      <c r="Q177" s="8"/>
      <c r="R177" s="5"/>
    </row>
    <row r="178" spans="1:18" ht="18" thickBot="1" x14ac:dyDescent="0.35">
      <c r="A178" s="101"/>
      <c r="B178" s="102" t="str">
        <f>B128</f>
        <v>PM7 INVESTOR REPORT QUARTER ENDING JULY 2005</v>
      </c>
      <c r="C178" s="143"/>
      <c r="D178" s="143"/>
      <c r="E178" s="143"/>
      <c r="F178" s="143"/>
      <c r="G178" s="143"/>
      <c r="H178" s="143"/>
      <c r="I178" s="143"/>
      <c r="J178" s="143"/>
      <c r="K178" s="143"/>
      <c r="L178" s="143"/>
      <c r="M178" s="143"/>
      <c r="N178" s="143"/>
      <c r="O178" s="143"/>
      <c r="P178" s="143"/>
      <c r="Q178" s="144"/>
      <c r="R178" s="5"/>
    </row>
    <row r="179" spans="1:18" ht="15.6" x14ac:dyDescent="0.3">
      <c r="A179" s="67"/>
      <c r="B179" s="60" t="s">
        <v>77</v>
      </c>
      <c r="C179" s="68"/>
      <c r="D179" s="68"/>
      <c r="E179" s="69"/>
      <c r="F179" s="69"/>
      <c r="G179" s="69"/>
      <c r="H179" s="69"/>
      <c r="I179" s="69"/>
      <c r="J179" s="69"/>
      <c r="K179" s="69"/>
      <c r="L179" s="69"/>
      <c r="M179" s="69"/>
      <c r="N179" s="70">
        <f>H91</f>
        <v>38564</v>
      </c>
      <c r="O179" s="4"/>
      <c r="P179" s="4"/>
      <c r="Q179" s="4"/>
      <c r="R179" s="5"/>
    </row>
    <row r="180" spans="1:18" ht="15.6" x14ac:dyDescent="0.3">
      <c r="A180" s="71"/>
      <c r="B180" s="72"/>
      <c r="C180" s="73"/>
      <c r="D180" s="73"/>
      <c r="E180" s="74"/>
      <c r="F180" s="74"/>
      <c r="G180" s="74"/>
      <c r="H180" s="74"/>
      <c r="I180" s="74"/>
      <c r="J180" s="74"/>
      <c r="K180" s="74"/>
      <c r="L180" s="74"/>
      <c r="M180" s="74"/>
      <c r="N180" s="74"/>
      <c r="O180" s="8"/>
      <c r="P180" s="8"/>
      <c r="Q180" s="8"/>
      <c r="R180" s="5"/>
    </row>
    <row r="181" spans="1:18" ht="15.6" x14ac:dyDescent="0.3">
      <c r="A181" s="75"/>
      <c r="B181" s="76" t="s">
        <v>78</v>
      </c>
      <c r="C181" s="77"/>
      <c r="D181" s="77"/>
      <c r="E181" s="64"/>
      <c r="F181" s="64"/>
      <c r="G181" s="64"/>
      <c r="H181" s="64"/>
      <c r="I181" s="64"/>
      <c r="J181" s="64"/>
      <c r="K181" s="64"/>
      <c r="L181" s="64"/>
      <c r="M181" s="64"/>
      <c r="N181" s="78">
        <v>5.8069999999999997E-2</v>
      </c>
      <c r="O181" s="25"/>
      <c r="P181" s="25"/>
      <c r="Q181" s="25"/>
      <c r="R181" s="5"/>
    </row>
    <row r="182" spans="1:18" ht="15.6" x14ac:dyDescent="0.3">
      <c r="A182" s="75"/>
      <c r="B182" s="76" t="s">
        <v>219</v>
      </c>
      <c r="C182" s="77"/>
      <c r="D182" s="77"/>
      <c r="E182" s="64"/>
      <c r="F182" s="64"/>
      <c r="G182" s="64"/>
      <c r="H182" s="64"/>
      <c r="I182" s="64"/>
      <c r="J182" s="64"/>
      <c r="K182" s="64"/>
      <c r="L182" s="64"/>
      <c r="M182" s="64"/>
      <c r="N182" s="39">
        <v>5.1499999999999997E-2</v>
      </c>
      <c r="O182" s="25"/>
      <c r="P182" s="25"/>
      <c r="Q182" s="25"/>
      <c r="R182" s="5"/>
    </row>
    <row r="183" spans="1:18" ht="15.6" x14ac:dyDescent="0.3">
      <c r="A183" s="75"/>
      <c r="B183" s="76" t="s">
        <v>79</v>
      </c>
      <c r="C183" s="77"/>
      <c r="D183" s="77"/>
      <c r="E183" s="64"/>
      <c r="F183" s="64"/>
      <c r="G183" s="64"/>
      <c r="H183" s="64"/>
      <c r="I183" s="64"/>
      <c r="J183" s="64"/>
      <c r="K183" s="64"/>
      <c r="L183" s="64"/>
      <c r="M183" s="64"/>
      <c r="N183" s="78">
        <f>N181-N182</f>
        <v>6.5699999999999995E-3</v>
      </c>
      <c r="O183" s="25"/>
      <c r="P183" s="25"/>
      <c r="Q183" s="25"/>
      <c r="R183" s="5"/>
    </row>
    <row r="184" spans="1:18" ht="15.6" x14ac:dyDescent="0.3">
      <c r="A184" s="75"/>
      <c r="B184" s="76" t="s">
        <v>80</v>
      </c>
      <c r="C184" s="77"/>
      <c r="D184" s="77"/>
      <c r="E184" s="64"/>
      <c r="F184" s="64"/>
      <c r="G184" s="64"/>
      <c r="H184" s="64"/>
      <c r="I184" s="64"/>
      <c r="J184" s="64"/>
      <c r="K184" s="64"/>
      <c r="L184" s="64"/>
      <c r="M184" s="64"/>
      <c r="N184" s="78">
        <v>6.2799999999999995E-2</v>
      </c>
      <c r="O184" s="25"/>
      <c r="P184" s="25"/>
      <c r="Q184" s="25"/>
      <c r="R184" s="5"/>
    </row>
    <row r="185" spans="1:18" ht="15.6" x14ac:dyDescent="0.3">
      <c r="A185" s="75"/>
      <c r="B185" s="76" t="s">
        <v>241</v>
      </c>
      <c r="C185" s="77"/>
      <c r="D185" s="77"/>
      <c r="E185" s="64"/>
      <c r="F185" s="64"/>
      <c r="G185" s="64"/>
      <c r="H185" s="64"/>
      <c r="I185" s="64"/>
      <c r="J185" s="64"/>
      <c r="K185" s="64"/>
      <c r="L185" s="64"/>
      <c r="M185" s="64"/>
      <c r="N185" s="78">
        <f>+P45</f>
        <v>5.2203408631689929E-2</v>
      </c>
      <c r="O185" s="25"/>
      <c r="P185" s="25"/>
      <c r="Q185" s="25"/>
      <c r="R185" s="5"/>
    </row>
    <row r="186" spans="1:18" ht="15.6" x14ac:dyDescent="0.3">
      <c r="A186" s="75"/>
      <c r="B186" s="76" t="s">
        <v>81</v>
      </c>
      <c r="C186" s="77"/>
      <c r="D186" s="77"/>
      <c r="E186" s="64"/>
      <c r="F186" s="64"/>
      <c r="G186" s="64"/>
      <c r="H186" s="64"/>
      <c r="I186" s="64"/>
      <c r="J186" s="64"/>
      <c r="K186" s="64"/>
      <c r="L186" s="64"/>
      <c r="M186" s="64"/>
      <c r="N186" s="78">
        <f>N184-N185</f>
        <v>1.0596591368310065E-2</v>
      </c>
      <c r="O186" s="25"/>
      <c r="P186" s="25"/>
      <c r="Q186" s="25"/>
      <c r="R186" s="5"/>
    </row>
    <row r="187" spans="1:18" ht="15.6" x14ac:dyDescent="0.3">
      <c r="A187" s="75"/>
      <c r="B187" s="76" t="s">
        <v>257</v>
      </c>
      <c r="C187" s="77"/>
      <c r="D187" s="77"/>
      <c r="E187" s="64"/>
      <c r="F187" s="64"/>
      <c r="G187" s="64"/>
      <c r="H187" s="64"/>
      <c r="I187" s="64"/>
      <c r="J187" s="64"/>
      <c r="K187" s="64"/>
      <c r="L187" s="64"/>
      <c r="M187" s="64"/>
      <c r="N187" s="78">
        <f>+P98/H73</f>
        <v>1.6728193691792303E-2</v>
      </c>
      <c r="O187" s="25"/>
      <c r="P187" s="25"/>
      <c r="Q187" s="25"/>
      <c r="R187" s="5"/>
    </row>
    <row r="188" spans="1:18" ht="15.6" x14ac:dyDescent="0.3">
      <c r="A188" s="75"/>
      <c r="B188" s="76" t="s">
        <v>170</v>
      </c>
      <c r="C188" s="77"/>
      <c r="D188" s="77"/>
      <c r="E188" s="64"/>
      <c r="F188" s="64"/>
      <c r="G188" s="64"/>
      <c r="H188" s="64"/>
      <c r="I188" s="64"/>
      <c r="J188" s="64"/>
      <c r="K188" s="64"/>
      <c r="L188" s="64"/>
      <c r="M188" s="64"/>
      <c r="N188" s="133">
        <v>49065</v>
      </c>
      <c r="O188" s="25"/>
      <c r="P188" s="25"/>
      <c r="Q188" s="25"/>
      <c r="R188" s="5"/>
    </row>
    <row r="189" spans="1:18" ht="15.6" x14ac:dyDescent="0.3">
      <c r="A189" s="75"/>
      <c r="B189" s="76" t="s">
        <v>171</v>
      </c>
      <c r="C189" s="77"/>
      <c r="D189" s="77"/>
      <c r="E189" s="64"/>
      <c r="F189" s="64"/>
      <c r="G189" s="64"/>
      <c r="H189" s="64"/>
      <c r="I189" s="64"/>
      <c r="J189" s="64"/>
      <c r="K189" s="64"/>
      <c r="L189" s="64"/>
      <c r="M189" s="64"/>
      <c r="N189" s="133">
        <v>49065</v>
      </c>
      <c r="O189" s="25"/>
      <c r="P189" s="25"/>
      <c r="Q189" s="25"/>
      <c r="R189" s="5"/>
    </row>
    <row r="190" spans="1:18" ht="15.6" x14ac:dyDescent="0.3">
      <c r="A190" s="75"/>
      <c r="B190" s="76" t="s">
        <v>172</v>
      </c>
      <c r="C190" s="77"/>
      <c r="D190" s="77"/>
      <c r="E190" s="64"/>
      <c r="F190" s="64"/>
      <c r="G190" s="64"/>
      <c r="H190" s="64"/>
      <c r="I190" s="64"/>
      <c r="J190" s="64"/>
      <c r="K190" s="64"/>
      <c r="L190" s="64"/>
      <c r="M190" s="64"/>
      <c r="N190" s="133">
        <v>49065</v>
      </c>
      <c r="O190" s="25"/>
      <c r="P190" s="25"/>
      <c r="Q190" s="25"/>
      <c r="R190" s="5"/>
    </row>
    <row r="191" spans="1:18" ht="15.6" x14ac:dyDescent="0.3">
      <c r="A191" s="75"/>
      <c r="B191" s="76" t="s">
        <v>138</v>
      </c>
      <c r="C191" s="77"/>
      <c r="D191" s="77"/>
      <c r="E191" s="64"/>
      <c r="F191" s="64"/>
      <c r="G191" s="64"/>
      <c r="H191" s="64"/>
      <c r="I191" s="64"/>
      <c r="J191" s="64"/>
      <c r="K191" s="64"/>
      <c r="L191" s="64"/>
      <c r="M191" s="64"/>
      <c r="N191" s="133">
        <v>52352</v>
      </c>
      <c r="O191" s="25"/>
      <c r="P191" s="25"/>
      <c r="Q191" s="25"/>
      <c r="R191" s="5"/>
    </row>
    <row r="192" spans="1:18" ht="15.6" x14ac:dyDescent="0.3">
      <c r="A192" s="75"/>
      <c r="B192" s="76" t="s">
        <v>139</v>
      </c>
      <c r="C192" s="77"/>
      <c r="D192" s="77"/>
      <c r="E192" s="64"/>
      <c r="F192" s="64"/>
      <c r="G192" s="64"/>
      <c r="H192" s="64"/>
      <c r="I192" s="64"/>
      <c r="J192" s="64"/>
      <c r="K192" s="64"/>
      <c r="L192" s="64"/>
      <c r="M192" s="64"/>
      <c r="N192" s="133">
        <v>52352</v>
      </c>
      <c r="O192" s="25"/>
      <c r="P192" s="25"/>
      <c r="Q192" s="25"/>
      <c r="R192" s="5"/>
    </row>
    <row r="193" spans="1:18" ht="15.6" x14ac:dyDescent="0.3">
      <c r="A193" s="75"/>
      <c r="B193" s="76" t="s">
        <v>82</v>
      </c>
      <c r="C193" s="77"/>
      <c r="D193" s="77"/>
      <c r="E193" s="64"/>
      <c r="F193" s="64"/>
      <c r="G193" s="64"/>
      <c r="H193" s="64"/>
      <c r="I193" s="64"/>
      <c r="J193" s="64"/>
      <c r="K193" s="64"/>
      <c r="L193" s="64"/>
      <c r="M193" s="64"/>
      <c r="N193" s="137">
        <v>20.45</v>
      </c>
      <c r="O193" s="25" t="s">
        <v>125</v>
      </c>
      <c r="P193" s="25"/>
      <c r="Q193" s="25"/>
      <c r="R193" s="5"/>
    </row>
    <row r="194" spans="1:18" ht="15.6" x14ac:dyDescent="0.3">
      <c r="A194" s="75"/>
      <c r="B194" s="76" t="s">
        <v>83</v>
      </c>
      <c r="C194" s="77"/>
      <c r="D194" s="77"/>
      <c r="E194" s="64"/>
      <c r="F194" s="64"/>
      <c r="G194" s="64"/>
      <c r="H194" s="64"/>
      <c r="I194" s="64"/>
      <c r="J194" s="64"/>
      <c r="K194" s="64"/>
      <c r="L194" s="64"/>
      <c r="M194" s="64"/>
      <c r="N194" s="137">
        <v>20.260000000000002</v>
      </c>
      <c r="O194" s="25" t="s">
        <v>125</v>
      </c>
      <c r="P194" s="25"/>
      <c r="Q194" s="25"/>
      <c r="R194" s="5"/>
    </row>
    <row r="195" spans="1:18" ht="15.6" x14ac:dyDescent="0.3">
      <c r="A195" s="75"/>
      <c r="B195" s="76" t="s">
        <v>84</v>
      </c>
      <c r="C195" s="77"/>
      <c r="D195" s="77"/>
      <c r="E195" s="64"/>
      <c r="F195" s="64"/>
      <c r="G195" s="64"/>
      <c r="H195" s="64"/>
      <c r="I195" s="64"/>
      <c r="J195" s="64"/>
      <c r="K195" s="64"/>
      <c r="L195" s="64"/>
      <c r="M195" s="64"/>
      <c r="N195" s="78">
        <f>+J73/H73</f>
        <v>4.007715074161821E-2</v>
      </c>
      <c r="O195" s="25"/>
      <c r="P195" s="25"/>
      <c r="Q195" s="25"/>
      <c r="R195" s="5"/>
    </row>
    <row r="196" spans="1:18" ht="15.6" x14ac:dyDescent="0.3">
      <c r="A196" s="75"/>
      <c r="B196" s="76" t="s">
        <v>85</v>
      </c>
      <c r="C196" s="77"/>
      <c r="D196" s="77"/>
      <c r="E196" s="64"/>
      <c r="F196" s="64"/>
      <c r="G196" s="64"/>
      <c r="H196" s="64"/>
      <c r="I196" s="64"/>
      <c r="J196" s="64"/>
      <c r="K196" s="64"/>
      <c r="L196" s="64"/>
      <c r="M196" s="64"/>
      <c r="N196" s="78">
        <v>0.1507</v>
      </c>
      <c r="O196" s="25"/>
      <c r="P196" s="25"/>
      <c r="Q196" s="25"/>
      <c r="R196" s="5"/>
    </row>
    <row r="197" spans="1:18" ht="15.6" x14ac:dyDescent="0.3">
      <c r="A197" s="75"/>
      <c r="B197" s="76"/>
      <c r="C197" s="76"/>
      <c r="D197" s="76"/>
      <c r="E197" s="25"/>
      <c r="F197" s="25"/>
      <c r="G197" s="25"/>
      <c r="H197" s="25"/>
      <c r="I197" s="25"/>
      <c r="J197" s="25"/>
      <c r="K197" s="25"/>
      <c r="L197" s="25"/>
      <c r="M197" s="25"/>
      <c r="N197" s="61"/>
      <c r="O197" s="25"/>
      <c r="P197" s="79"/>
      <c r="Q197" s="25"/>
      <c r="R197" s="5"/>
    </row>
    <row r="198" spans="1:18" ht="15.6" x14ac:dyDescent="0.3">
      <c r="A198" s="80"/>
      <c r="B198" s="14" t="s">
        <v>86</v>
      </c>
      <c r="C198" s="81"/>
      <c r="D198" s="82"/>
      <c r="E198" s="81"/>
      <c r="F198" s="17"/>
      <c r="G198" s="17"/>
      <c r="H198" s="17"/>
      <c r="I198" s="17"/>
      <c r="J198" s="17"/>
      <c r="K198" s="17"/>
      <c r="L198" s="17"/>
      <c r="M198" s="17" t="s">
        <v>113</v>
      </c>
      <c r="N198" s="83" t="s">
        <v>121</v>
      </c>
      <c r="O198" s="8"/>
      <c r="P198" s="8"/>
      <c r="Q198" s="8"/>
      <c r="R198" s="5"/>
    </row>
    <row r="199" spans="1:18" ht="15.6" x14ac:dyDescent="0.3">
      <c r="A199" s="84"/>
      <c r="B199" s="76" t="s">
        <v>87</v>
      </c>
      <c r="C199" s="54"/>
      <c r="D199" s="25"/>
      <c r="E199" s="25"/>
      <c r="F199" s="30"/>
      <c r="G199" s="30"/>
      <c r="H199" s="30"/>
      <c r="I199" s="30"/>
      <c r="J199" s="30"/>
      <c r="K199" s="30"/>
      <c r="L199" s="30"/>
      <c r="M199" s="30">
        <v>16</v>
      </c>
      <c r="N199" s="85">
        <v>600</v>
      </c>
      <c r="O199" s="25"/>
      <c r="P199" s="79"/>
      <c r="Q199" s="86"/>
      <c r="R199" s="5"/>
    </row>
    <row r="200" spans="1:18" ht="15.6" x14ac:dyDescent="0.3">
      <c r="A200" s="84"/>
      <c r="B200" s="76" t="s">
        <v>203</v>
      </c>
      <c r="C200" s="54"/>
      <c r="D200" s="25"/>
      <c r="E200" s="25"/>
      <c r="F200" s="30"/>
      <c r="G200" s="30"/>
      <c r="H200" s="30"/>
      <c r="I200" s="30"/>
      <c r="J200" s="30"/>
      <c r="K200" s="30"/>
      <c r="L200" s="30"/>
      <c r="M200" s="151">
        <f>+L234</f>
        <v>33</v>
      </c>
      <c r="N200" s="85">
        <f>+N234</f>
        <v>3766</v>
      </c>
      <c r="O200" s="25"/>
      <c r="P200" s="79"/>
      <c r="Q200" s="86"/>
      <c r="R200" s="5"/>
    </row>
    <row r="201" spans="1:18" ht="15.6" x14ac:dyDescent="0.3">
      <c r="A201" s="84"/>
      <c r="B201" s="76" t="s">
        <v>88</v>
      </c>
      <c r="C201" s="54"/>
      <c r="D201" s="25"/>
      <c r="E201" s="25"/>
      <c r="F201" s="30"/>
      <c r="G201" s="30"/>
      <c r="H201" s="30"/>
      <c r="I201" s="30"/>
      <c r="J201" s="30"/>
      <c r="K201" s="30"/>
      <c r="L201" s="30"/>
      <c r="M201" s="151">
        <f>+L245</f>
        <v>0</v>
      </c>
      <c r="N201" s="85">
        <f>+N245</f>
        <v>0</v>
      </c>
      <c r="O201" s="25"/>
      <c r="P201" s="79"/>
      <c r="Q201" s="86"/>
      <c r="R201" s="5"/>
    </row>
    <row r="202" spans="1:18" ht="15.6" x14ac:dyDescent="0.3">
      <c r="A202" s="84"/>
      <c r="B202" s="122" t="s">
        <v>89</v>
      </c>
      <c r="C202" s="54"/>
      <c r="D202" s="25"/>
      <c r="E202" s="25"/>
      <c r="F202" s="25"/>
      <c r="G202" s="25"/>
      <c r="H202" s="25"/>
      <c r="I202" s="25"/>
      <c r="J202" s="25"/>
      <c r="K202" s="25"/>
      <c r="L202" s="25"/>
      <c r="M202" s="25"/>
      <c r="N202" s="85">
        <v>0</v>
      </c>
      <c r="O202" s="25"/>
      <c r="P202" s="79"/>
      <c r="Q202" s="86"/>
      <c r="R202" s="5"/>
    </row>
    <row r="203" spans="1:18" ht="15.6" x14ac:dyDescent="0.3">
      <c r="A203" s="84"/>
      <c r="B203" s="122" t="s">
        <v>90</v>
      </c>
      <c r="C203" s="54"/>
      <c r="D203" s="25"/>
      <c r="E203" s="25"/>
      <c r="F203" s="25"/>
      <c r="G203" s="25"/>
      <c r="H203" s="25"/>
      <c r="I203" s="25"/>
      <c r="J203" s="25"/>
      <c r="K203" s="25"/>
      <c r="L203" s="25"/>
      <c r="M203" s="25"/>
      <c r="N203" s="62" t="s">
        <v>122</v>
      </c>
      <c r="O203" s="25"/>
      <c r="P203" s="79"/>
      <c r="Q203" s="86"/>
      <c r="R203" s="5"/>
    </row>
    <row r="204" spans="1:18" ht="15.6" x14ac:dyDescent="0.3">
      <c r="A204" s="87"/>
      <c r="B204" s="122" t="s">
        <v>91</v>
      </c>
      <c r="C204" s="76"/>
      <c r="D204" s="76"/>
      <c r="E204" s="25"/>
      <c r="F204" s="25"/>
      <c r="G204" s="25"/>
      <c r="H204" s="25"/>
      <c r="I204" s="25"/>
      <c r="J204" s="167"/>
      <c r="K204" s="25"/>
      <c r="L204" s="25"/>
      <c r="M204" s="25"/>
      <c r="N204" s="85"/>
      <c r="O204" s="25"/>
      <c r="P204" s="79"/>
      <c r="Q204" s="88"/>
      <c r="R204" s="5"/>
    </row>
    <row r="205" spans="1:18" ht="15.6" x14ac:dyDescent="0.3">
      <c r="A205" s="87"/>
      <c r="B205" s="135" t="s">
        <v>92</v>
      </c>
      <c r="C205" s="76"/>
      <c r="D205" s="76"/>
      <c r="E205" s="25"/>
      <c r="F205" s="25"/>
      <c r="G205" s="25"/>
      <c r="H205" s="25"/>
      <c r="I205" s="25"/>
      <c r="J205" s="25"/>
      <c r="K205" s="25"/>
      <c r="L205" s="25"/>
      <c r="M205" s="25">
        <v>0</v>
      </c>
      <c r="N205" s="85">
        <f>P150</f>
        <v>0</v>
      </c>
      <c r="O205" s="25"/>
      <c r="P205" s="79"/>
      <c r="Q205" s="88"/>
      <c r="R205" s="5"/>
    </row>
    <row r="206" spans="1:18" ht="15.6" x14ac:dyDescent="0.3">
      <c r="A206" s="84"/>
      <c r="B206" s="76" t="s">
        <v>93</v>
      </c>
      <c r="C206" s="54"/>
      <c r="D206" s="54"/>
      <c r="E206" s="25"/>
      <c r="F206" s="25"/>
      <c r="G206" s="25"/>
      <c r="H206" s="25"/>
      <c r="I206" s="25"/>
      <c r="J206" s="25"/>
      <c r="K206" s="25"/>
      <c r="L206" s="25"/>
      <c r="M206" s="25">
        <v>0</v>
      </c>
      <c r="N206" s="85">
        <f>+N205</f>
        <v>0</v>
      </c>
      <c r="O206" s="25"/>
      <c r="P206" s="79"/>
      <c r="Q206" s="88"/>
      <c r="R206" s="5"/>
    </row>
    <row r="207" spans="1:18" ht="15.6" x14ac:dyDescent="0.3">
      <c r="A207" s="87"/>
      <c r="B207" s="122" t="s">
        <v>94</v>
      </c>
      <c r="C207" s="76"/>
      <c r="D207" s="76"/>
      <c r="E207" s="25"/>
      <c r="F207" s="25"/>
      <c r="G207" s="25"/>
      <c r="H207" s="25"/>
      <c r="I207" s="25"/>
      <c r="J207" s="25"/>
      <c r="K207" s="25"/>
      <c r="L207" s="25"/>
      <c r="M207" s="25"/>
      <c r="N207" s="85"/>
      <c r="O207" s="25"/>
      <c r="P207" s="79"/>
      <c r="Q207" s="88"/>
      <c r="R207" s="5"/>
    </row>
    <row r="208" spans="1:18" ht="15.6" x14ac:dyDescent="0.3">
      <c r="A208" s="87"/>
      <c r="B208" s="76" t="s">
        <v>276</v>
      </c>
      <c r="C208" s="76"/>
      <c r="D208" s="76"/>
      <c r="E208" s="25"/>
      <c r="F208" s="25"/>
      <c r="G208" s="25"/>
      <c r="H208" s="25"/>
      <c r="I208" s="25"/>
      <c r="J208" s="25"/>
      <c r="K208" s="25"/>
      <c r="L208" s="25"/>
      <c r="M208" s="25">
        <v>1</v>
      </c>
      <c r="N208" s="85">
        <v>61</v>
      </c>
      <c r="O208" s="25"/>
      <c r="P208" s="79"/>
      <c r="Q208" s="88"/>
      <c r="R208" s="5"/>
    </row>
    <row r="209" spans="1:18" ht="15.6" x14ac:dyDescent="0.3">
      <c r="A209" s="84"/>
      <c r="B209" s="76" t="s">
        <v>95</v>
      </c>
      <c r="C209" s="89"/>
      <c r="D209" s="90"/>
      <c r="E209" s="25"/>
      <c r="F209" s="25"/>
      <c r="G209" s="25"/>
      <c r="H209" s="25"/>
      <c r="I209" s="25"/>
      <c r="J209" s="25"/>
      <c r="K209" s="25"/>
      <c r="L209" s="25"/>
      <c r="M209" s="25"/>
      <c r="N209" s="62">
        <v>12.16</v>
      </c>
      <c r="O209" s="25"/>
      <c r="P209" s="79"/>
      <c r="Q209" s="88"/>
      <c r="R209" s="5"/>
    </row>
    <row r="210" spans="1:18" ht="15.6" x14ac:dyDescent="0.3">
      <c r="A210" s="84"/>
      <c r="B210" s="76" t="s">
        <v>96</v>
      </c>
      <c r="C210" s="89"/>
      <c r="D210" s="90"/>
      <c r="E210" s="25"/>
      <c r="F210" s="25"/>
      <c r="G210" s="25"/>
      <c r="H210" s="25"/>
      <c r="I210" s="25"/>
      <c r="J210" s="25"/>
      <c r="K210" s="25"/>
      <c r="L210" s="25"/>
      <c r="M210" s="25"/>
      <c r="N210" s="62">
        <v>6</v>
      </c>
      <c r="O210" s="25"/>
      <c r="P210" s="79"/>
      <c r="Q210" s="88"/>
      <c r="R210" s="5"/>
    </row>
    <row r="211" spans="1:18" ht="15.6" x14ac:dyDescent="0.3">
      <c r="A211" s="84"/>
      <c r="B211" s="76"/>
      <c r="C211" s="89"/>
      <c r="D211" s="90"/>
      <c r="E211" s="25"/>
      <c r="F211" s="25"/>
      <c r="G211" s="25"/>
      <c r="H211" s="25"/>
      <c r="I211" s="25"/>
      <c r="J211" s="25"/>
      <c r="K211" s="25"/>
      <c r="L211" s="25"/>
      <c r="M211" s="25"/>
      <c r="N211" s="91"/>
      <c r="O211" s="25"/>
      <c r="P211" s="79"/>
      <c r="Q211" s="88"/>
      <c r="R211" s="5"/>
    </row>
    <row r="212" spans="1:18" ht="17.399999999999999" x14ac:dyDescent="0.3">
      <c r="A212" s="84"/>
      <c r="B212" s="160" t="s">
        <v>244</v>
      </c>
      <c r="C212" s="161"/>
      <c r="D212" s="162"/>
      <c r="E212" s="163"/>
      <c r="F212" s="163"/>
      <c r="G212" s="163"/>
      <c r="H212" s="163"/>
      <c r="I212" s="166"/>
      <c r="J212" s="166" t="s">
        <v>243</v>
      </c>
      <c r="K212" s="163"/>
      <c r="L212" s="163"/>
      <c r="M212" s="25"/>
      <c r="N212" s="91"/>
      <c r="O212" s="25"/>
      <c r="P212" s="79"/>
      <c r="Q212" s="88"/>
      <c r="R212" s="5"/>
    </row>
    <row r="213" spans="1:18" ht="15.6" x14ac:dyDescent="0.3">
      <c r="A213" s="84"/>
      <c r="B213" s="156"/>
      <c r="C213" s="157"/>
      <c r="D213" s="158"/>
      <c r="E213" s="146"/>
      <c r="F213" s="146"/>
      <c r="G213" s="146"/>
      <c r="H213" s="146"/>
      <c r="I213" s="146"/>
      <c r="J213" s="146"/>
      <c r="K213" s="146"/>
      <c r="L213" s="146"/>
      <c r="M213" s="25"/>
      <c r="N213" s="91"/>
      <c r="O213" s="25"/>
      <c r="P213" s="79"/>
      <c r="Q213" s="88"/>
      <c r="R213" s="5"/>
    </row>
    <row r="214" spans="1:18" ht="15.6" x14ac:dyDescent="0.3">
      <c r="A214" s="6"/>
      <c r="B214" s="14" t="s">
        <v>236</v>
      </c>
      <c r="C214" s="81"/>
      <c r="D214" s="82"/>
      <c r="E214" s="81"/>
      <c r="F214" s="17"/>
      <c r="G214" s="17"/>
      <c r="H214" s="17"/>
      <c r="I214" s="17"/>
      <c r="J214" s="17"/>
      <c r="K214" s="17"/>
      <c r="L214" s="83" t="s">
        <v>113</v>
      </c>
      <c r="M214" s="17" t="s">
        <v>114</v>
      </c>
      <c r="N214" s="83" t="s">
        <v>123</v>
      </c>
      <c r="O214" s="17" t="s">
        <v>114</v>
      </c>
      <c r="P214" s="8"/>
      <c r="Q214" s="92"/>
      <c r="R214" s="5"/>
    </row>
    <row r="215" spans="1:18" ht="15.6" x14ac:dyDescent="0.3">
      <c r="A215" s="24"/>
      <c r="B215" s="54" t="s">
        <v>98</v>
      </c>
      <c r="C215" s="93"/>
      <c r="D215" s="25"/>
      <c r="E215" s="93"/>
      <c r="F215" s="93"/>
      <c r="G215" s="93"/>
      <c r="H215" s="93"/>
      <c r="I215" s="93"/>
      <c r="J215" s="93"/>
      <c r="K215" s="93"/>
      <c r="L215" s="54">
        <v>8411</v>
      </c>
      <c r="M215" s="94">
        <f t="shared" ref="M215:M222" si="1">L215/$L$223</f>
        <v>0.98906396989651924</v>
      </c>
      <c r="N215" s="53">
        <v>780532</v>
      </c>
      <c r="O215" s="136">
        <f>N215/$N$223</f>
        <v>0.98835423290774427</v>
      </c>
      <c r="P215" s="79"/>
      <c r="Q215" s="88"/>
      <c r="R215" s="5"/>
    </row>
    <row r="216" spans="1:18" ht="15.6" x14ac:dyDescent="0.3">
      <c r="A216" s="24"/>
      <c r="B216" s="54" t="s">
        <v>99</v>
      </c>
      <c r="C216" s="93"/>
      <c r="D216" s="25"/>
      <c r="E216" s="94"/>
      <c r="F216" s="93"/>
      <c r="G216" s="93"/>
      <c r="H216" s="93"/>
      <c r="I216" s="93"/>
      <c r="J216" s="93"/>
      <c r="K216" s="93"/>
      <c r="L216" s="54">
        <v>51</v>
      </c>
      <c r="M216" s="94">
        <f t="shared" si="1"/>
        <v>5.9971777986829724E-3</v>
      </c>
      <c r="N216" s="53">
        <v>5095</v>
      </c>
      <c r="O216" s="136">
        <f t="shared" ref="O216:O222" si="2">N216/$N$223</f>
        <v>6.4515802256217003E-3</v>
      </c>
      <c r="P216" s="79"/>
      <c r="Q216" s="88"/>
      <c r="R216" s="5"/>
    </row>
    <row r="217" spans="1:18" ht="15.6" x14ac:dyDescent="0.3">
      <c r="A217" s="24"/>
      <c r="B217" s="54" t="s">
        <v>100</v>
      </c>
      <c r="C217" s="93"/>
      <c r="D217" s="25"/>
      <c r="E217" s="94"/>
      <c r="F217" s="93"/>
      <c r="G217" s="93"/>
      <c r="H217" s="93"/>
      <c r="I217" s="93"/>
      <c r="J217" s="93"/>
      <c r="K217" s="93"/>
      <c r="L217" s="54">
        <v>17</v>
      </c>
      <c r="M217" s="94">
        <f t="shared" si="1"/>
        <v>1.9990592662276576E-3</v>
      </c>
      <c r="N217" s="53">
        <v>1973</v>
      </c>
      <c r="O217" s="136">
        <f t="shared" si="2"/>
        <v>2.4983253749070885E-3</v>
      </c>
      <c r="P217" s="79"/>
      <c r="Q217" s="88"/>
      <c r="R217" s="5"/>
    </row>
    <row r="218" spans="1:18" ht="15.6" x14ac:dyDescent="0.3">
      <c r="A218" s="24"/>
      <c r="B218" s="54" t="s">
        <v>227</v>
      </c>
      <c r="C218" s="93"/>
      <c r="D218" s="25"/>
      <c r="E218" s="94"/>
      <c r="F218" s="93"/>
      <c r="G218" s="93"/>
      <c r="H218" s="93"/>
      <c r="I218" s="93"/>
      <c r="J218" s="93"/>
      <c r="K218" s="93"/>
      <c r="L218" s="54">
        <v>11</v>
      </c>
      <c r="M218" s="94">
        <f t="shared" si="1"/>
        <v>1.2935089369708374E-3</v>
      </c>
      <c r="N218" s="53">
        <v>1026</v>
      </c>
      <c r="O218" s="136">
        <f t="shared" si="2"/>
        <v>1.29917984523805E-3</v>
      </c>
      <c r="P218" s="79"/>
      <c r="Q218" s="88"/>
      <c r="R218" s="5"/>
    </row>
    <row r="219" spans="1:18" ht="15.6" x14ac:dyDescent="0.3">
      <c r="A219" s="24"/>
      <c r="B219" s="54" t="s">
        <v>228</v>
      </c>
      <c r="C219" s="93"/>
      <c r="D219" s="25"/>
      <c r="E219" s="94"/>
      <c r="F219" s="93"/>
      <c r="G219" s="93"/>
      <c r="H219" s="93"/>
      <c r="I219" s="93"/>
      <c r="J219" s="93"/>
      <c r="K219" s="93"/>
      <c r="L219" s="54">
        <v>3</v>
      </c>
      <c r="M219" s="94">
        <f t="shared" si="1"/>
        <v>3.5277516462841018E-4</v>
      </c>
      <c r="N219" s="53">
        <v>216</v>
      </c>
      <c r="O219" s="136">
        <f t="shared" si="2"/>
        <v>2.7351154636590525E-4</v>
      </c>
      <c r="P219" s="79"/>
      <c r="Q219" s="88"/>
      <c r="R219" s="5"/>
    </row>
    <row r="220" spans="1:18" ht="15.6" x14ac:dyDescent="0.3">
      <c r="A220" s="24"/>
      <c r="B220" s="54" t="s">
        <v>229</v>
      </c>
      <c r="C220" s="93"/>
      <c r="D220" s="25"/>
      <c r="E220" s="94"/>
      <c r="F220" s="93"/>
      <c r="G220" s="93"/>
      <c r="H220" s="93"/>
      <c r="I220" s="93"/>
      <c r="J220" s="93"/>
      <c r="K220" s="93"/>
      <c r="L220" s="54">
        <v>2</v>
      </c>
      <c r="M220" s="94">
        <f t="shared" si="1"/>
        <v>2.3518344308560678E-4</v>
      </c>
      <c r="N220" s="53">
        <v>208</v>
      </c>
      <c r="O220" s="136">
        <f t="shared" si="2"/>
        <v>2.6338148909309396E-4</v>
      </c>
      <c r="P220" s="79"/>
      <c r="Q220" s="88"/>
      <c r="R220" s="5"/>
    </row>
    <row r="221" spans="1:18" ht="15.6" x14ac:dyDescent="0.3">
      <c r="A221" s="24"/>
      <c r="B221" s="54" t="s">
        <v>230</v>
      </c>
      <c r="C221" s="93"/>
      <c r="D221" s="25"/>
      <c r="E221" s="94"/>
      <c r="F221" s="93"/>
      <c r="G221" s="93"/>
      <c r="H221" s="93"/>
      <c r="I221" s="93"/>
      <c r="J221" s="93"/>
      <c r="K221" s="93"/>
      <c r="L221" s="54">
        <v>9</v>
      </c>
      <c r="M221" s="94">
        <f t="shared" si="1"/>
        <v>1.0583254938852304E-3</v>
      </c>
      <c r="N221" s="53">
        <v>679</v>
      </c>
      <c r="O221" s="136">
        <f t="shared" si="2"/>
        <v>8.5978861102985963E-4</v>
      </c>
      <c r="P221" s="79"/>
      <c r="Q221" s="88"/>
      <c r="R221" s="5"/>
    </row>
    <row r="222" spans="1:18" ht="15.6" x14ac:dyDescent="0.3">
      <c r="A222" s="24"/>
      <c r="B222" s="54" t="s">
        <v>231</v>
      </c>
      <c r="C222" s="93"/>
      <c r="D222" s="25"/>
      <c r="E222" s="94"/>
      <c r="F222" s="93"/>
      <c r="G222" s="93"/>
      <c r="H222" s="93"/>
      <c r="I222" s="93"/>
      <c r="J222" s="93"/>
      <c r="K222" s="93"/>
      <c r="L222" s="54">
        <v>0</v>
      </c>
      <c r="M222" s="94">
        <f t="shared" si="1"/>
        <v>0</v>
      </c>
      <c r="N222" s="53">
        <v>0</v>
      </c>
      <c r="O222" s="136">
        <f t="shared" si="2"/>
        <v>0</v>
      </c>
      <c r="P222" s="79"/>
      <c r="Q222" s="88"/>
      <c r="R222" s="5"/>
    </row>
    <row r="223" spans="1:18" ht="15.6" x14ac:dyDescent="0.3">
      <c r="A223" s="24"/>
      <c r="B223" s="25" t="s">
        <v>129</v>
      </c>
      <c r="C223" s="25"/>
      <c r="D223" s="25"/>
      <c r="E223" s="25"/>
      <c r="F223" s="95"/>
      <c r="G223" s="95"/>
      <c r="H223" s="95"/>
      <c r="I223" s="95"/>
      <c r="J223" s="95"/>
      <c r="K223" s="95"/>
      <c r="L223" s="34">
        <f>SUM(L215:L222)</f>
        <v>8504</v>
      </c>
      <c r="M223" s="136">
        <f>SUM(M215:M222)</f>
        <v>0.99999999999999989</v>
      </c>
      <c r="N223" s="53">
        <f>SUM(N215:N222)</f>
        <v>789729</v>
      </c>
      <c r="O223" s="136">
        <f>SUM(O215:O222)</f>
        <v>1</v>
      </c>
      <c r="P223" s="25"/>
      <c r="Q223" s="25"/>
      <c r="R223" s="5"/>
    </row>
    <row r="224" spans="1:18" ht="15.6" x14ac:dyDescent="0.3">
      <c r="A224" s="24"/>
      <c r="B224" s="25"/>
      <c r="C224" s="25"/>
      <c r="D224" s="25"/>
      <c r="E224" s="25"/>
      <c r="F224" s="95"/>
      <c r="G224" s="95"/>
      <c r="H224" s="95"/>
      <c r="I224" s="95"/>
      <c r="J224" s="95"/>
      <c r="K224" s="95"/>
      <c r="L224" s="34"/>
      <c r="M224" s="136"/>
      <c r="N224" s="53"/>
      <c r="O224" s="136"/>
      <c r="P224" s="25"/>
      <c r="Q224" s="25"/>
      <c r="R224" s="5"/>
    </row>
    <row r="225" spans="1:18" ht="15.6" x14ac:dyDescent="0.3">
      <c r="A225" s="148"/>
      <c r="B225" s="14" t="s">
        <v>238</v>
      </c>
      <c r="C225" s="81"/>
      <c r="D225" s="82"/>
      <c r="E225" s="81"/>
      <c r="F225" s="17"/>
      <c r="G225" s="17"/>
      <c r="H225" s="17"/>
      <c r="I225" s="17"/>
      <c r="J225" s="17"/>
      <c r="K225" s="17"/>
      <c r="L225" s="83" t="s">
        <v>113</v>
      </c>
      <c r="M225" s="17" t="s">
        <v>114</v>
      </c>
      <c r="N225" s="83" t="s">
        <v>123</v>
      </c>
      <c r="O225" s="17" t="s">
        <v>114</v>
      </c>
      <c r="P225" s="8"/>
      <c r="Q225" s="149"/>
      <c r="R225" s="5"/>
    </row>
    <row r="226" spans="1:18" ht="15.6" x14ac:dyDescent="0.3">
      <c r="A226" s="24"/>
      <c r="B226" s="54" t="s">
        <v>98</v>
      </c>
      <c r="C226" s="93"/>
      <c r="D226" s="25"/>
      <c r="E226" s="93"/>
      <c r="F226" s="93"/>
      <c r="G226" s="93"/>
      <c r="H226" s="93"/>
      <c r="I226" s="93"/>
      <c r="J226" s="93"/>
      <c r="K226" s="93"/>
      <c r="L226" s="54">
        <v>4</v>
      </c>
      <c r="M226" s="94">
        <f t="shared" ref="M226:M233" si="3">L226/$L$234</f>
        <v>0.12121212121212122</v>
      </c>
      <c r="N226" s="53">
        <v>77</v>
      </c>
      <c r="O226" s="136">
        <f t="shared" ref="O226:O233" si="4">N226/$N$234</f>
        <v>2.0446096654275093E-2</v>
      </c>
      <c r="P226" s="79"/>
      <c r="Q226" s="25"/>
      <c r="R226" s="5"/>
    </row>
    <row r="227" spans="1:18" ht="15.6" x14ac:dyDescent="0.3">
      <c r="A227" s="24"/>
      <c r="B227" s="54" t="s">
        <v>99</v>
      </c>
      <c r="C227" s="93"/>
      <c r="D227" s="25"/>
      <c r="E227" s="94"/>
      <c r="F227" s="93"/>
      <c r="G227" s="93"/>
      <c r="H227" s="93"/>
      <c r="I227" s="93"/>
      <c r="J227" s="93"/>
      <c r="K227" s="93"/>
      <c r="L227" s="54">
        <v>2</v>
      </c>
      <c r="M227" s="94">
        <f t="shared" si="3"/>
        <v>6.0606060606060608E-2</v>
      </c>
      <c r="N227" s="53">
        <v>140</v>
      </c>
      <c r="O227" s="136">
        <f t="shared" si="4"/>
        <v>3.717472118959108E-2</v>
      </c>
      <c r="P227" s="79"/>
      <c r="Q227" s="25"/>
      <c r="R227" s="5"/>
    </row>
    <row r="228" spans="1:18" ht="15.6" x14ac:dyDescent="0.3">
      <c r="A228" s="24"/>
      <c r="B228" s="54" t="s">
        <v>100</v>
      </c>
      <c r="C228" s="93"/>
      <c r="D228" s="25"/>
      <c r="E228" s="94"/>
      <c r="F228" s="93"/>
      <c r="G228" s="93"/>
      <c r="H228" s="93"/>
      <c r="I228" s="93"/>
      <c r="J228" s="93"/>
      <c r="K228" s="93"/>
      <c r="L228" s="54">
        <v>3</v>
      </c>
      <c r="M228" s="94">
        <f t="shared" si="3"/>
        <v>9.0909090909090912E-2</v>
      </c>
      <c r="N228" s="53">
        <v>567</v>
      </c>
      <c r="O228" s="136">
        <f t="shared" si="4"/>
        <v>0.15055762081784388</v>
      </c>
      <c r="P228" s="79"/>
      <c r="Q228" s="25"/>
      <c r="R228" s="5"/>
    </row>
    <row r="229" spans="1:18" ht="15.6" x14ac:dyDescent="0.3">
      <c r="A229" s="24"/>
      <c r="B229" s="54" t="s">
        <v>227</v>
      </c>
      <c r="C229" s="93"/>
      <c r="D229" s="25"/>
      <c r="E229" s="94"/>
      <c r="F229" s="93"/>
      <c r="G229" s="93"/>
      <c r="H229" s="93"/>
      <c r="I229" s="93"/>
      <c r="J229" s="93"/>
      <c r="K229" s="93"/>
      <c r="L229" s="54">
        <v>0</v>
      </c>
      <c r="M229" s="94">
        <f t="shared" si="3"/>
        <v>0</v>
      </c>
      <c r="N229" s="53">
        <v>0</v>
      </c>
      <c r="O229" s="136">
        <f t="shared" si="4"/>
        <v>0</v>
      </c>
      <c r="P229" s="79"/>
      <c r="Q229" s="25"/>
      <c r="R229" s="5"/>
    </row>
    <row r="230" spans="1:18" ht="15.6" x14ac:dyDescent="0.3">
      <c r="A230" s="24"/>
      <c r="B230" s="54" t="s">
        <v>228</v>
      </c>
      <c r="C230" s="93"/>
      <c r="D230" s="25"/>
      <c r="E230" s="94"/>
      <c r="F230" s="93"/>
      <c r="G230" s="93"/>
      <c r="H230" s="93"/>
      <c r="I230" s="93"/>
      <c r="J230" s="93"/>
      <c r="K230" s="93"/>
      <c r="L230" s="54">
        <v>5</v>
      </c>
      <c r="M230" s="94">
        <f t="shared" si="3"/>
        <v>0.15151515151515152</v>
      </c>
      <c r="N230" s="53">
        <v>649</v>
      </c>
      <c r="O230" s="136">
        <f t="shared" si="4"/>
        <v>0.17233138608603293</v>
      </c>
      <c r="P230" s="79"/>
      <c r="Q230" s="25"/>
      <c r="R230" s="5"/>
    </row>
    <row r="231" spans="1:18" ht="15.6" x14ac:dyDescent="0.3">
      <c r="A231" s="24"/>
      <c r="B231" s="54" t="s">
        <v>229</v>
      </c>
      <c r="C231" s="93"/>
      <c r="D231" s="25"/>
      <c r="E231" s="94"/>
      <c r="F231" s="93"/>
      <c r="G231" s="93"/>
      <c r="H231" s="93"/>
      <c r="I231" s="93"/>
      <c r="J231" s="93"/>
      <c r="K231" s="93"/>
      <c r="L231" s="54">
        <v>4</v>
      </c>
      <c r="M231" s="94">
        <f t="shared" si="3"/>
        <v>0.12121212121212122</v>
      </c>
      <c r="N231" s="53">
        <v>484</v>
      </c>
      <c r="O231" s="136">
        <f t="shared" si="4"/>
        <v>0.12851832182687201</v>
      </c>
      <c r="P231" s="79"/>
      <c r="Q231" s="25"/>
      <c r="R231" s="5"/>
    </row>
    <row r="232" spans="1:18" ht="15.6" x14ac:dyDescent="0.3">
      <c r="A232" s="24"/>
      <c r="B232" s="54" t="s">
        <v>230</v>
      </c>
      <c r="C232" s="93"/>
      <c r="D232" s="25"/>
      <c r="E232" s="94"/>
      <c r="F232" s="93"/>
      <c r="G232" s="93"/>
      <c r="H232" s="93"/>
      <c r="I232" s="93"/>
      <c r="J232" s="93"/>
      <c r="K232" s="93"/>
      <c r="L232" s="54">
        <v>15</v>
      </c>
      <c r="M232" s="94">
        <f t="shared" si="3"/>
        <v>0.45454545454545453</v>
      </c>
      <c r="N232" s="53">
        <v>1849</v>
      </c>
      <c r="O232" s="136">
        <f t="shared" si="4"/>
        <v>0.49097185342538502</v>
      </c>
      <c r="P232" s="79"/>
      <c r="Q232" s="25"/>
      <c r="R232" s="5"/>
    </row>
    <row r="233" spans="1:18" ht="15.6" x14ac:dyDescent="0.3">
      <c r="A233" s="24"/>
      <c r="B233" s="54" t="s">
        <v>231</v>
      </c>
      <c r="C233" s="93"/>
      <c r="D233" s="25"/>
      <c r="E233" s="94"/>
      <c r="F233" s="93"/>
      <c r="G233" s="93"/>
      <c r="H233" s="93"/>
      <c r="I233" s="93"/>
      <c r="J233" s="93"/>
      <c r="K233" s="93"/>
      <c r="L233" s="54">
        <v>0</v>
      </c>
      <c r="M233" s="94">
        <f t="shared" si="3"/>
        <v>0</v>
      </c>
      <c r="N233" s="53">
        <v>0</v>
      </c>
      <c r="O233" s="136">
        <f t="shared" si="4"/>
        <v>0</v>
      </c>
      <c r="P233" s="79"/>
      <c r="Q233" s="25"/>
      <c r="R233" s="5"/>
    </row>
    <row r="234" spans="1:18" ht="15.6" x14ac:dyDescent="0.3">
      <c r="A234" s="24"/>
      <c r="B234" s="25" t="s">
        <v>129</v>
      </c>
      <c r="C234" s="25"/>
      <c r="D234" s="25"/>
      <c r="E234" s="25"/>
      <c r="F234" s="95"/>
      <c r="G234" s="95"/>
      <c r="H234" s="95"/>
      <c r="I234" s="95"/>
      <c r="J234" s="95"/>
      <c r="K234" s="95"/>
      <c r="L234" s="34">
        <f>SUM(L226:L233)</f>
        <v>33</v>
      </c>
      <c r="M234" s="136">
        <f>SUM(M226:M233)</f>
        <v>1</v>
      </c>
      <c r="N234" s="53">
        <f>SUM(N226:N233)</f>
        <v>3766</v>
      </c>
      <c r="O234" s="136">
        <f>SUM(O226:O233)</f>
        <v>1</v>
      </c>
      <c r="P234" s="25"/>
      <c r="Q234" s="25"/>
      <c r="R234" s="5"/>
    </row>
    <row r="235" spans="1:18" ht="15.6" x14ac:dyDescent="0.3">
      <c r="A235" s="24"/>
      <c r="B235" s="25"/>
      <c r="C235" s="25"/>
      <c r="D235" s="25"/>
      <c r="E235" s="25"/>
      <c r="F235" s="95"/>
      <c r="G235" s="95"/>
      <c r="H235" s="95"/>
      <c r="I235" s="95"/>
      <c r="J235" s="95"/>
      <c r="K235" s="95"/>
      <c r="L235" s="34"/>
      <c r="M235" s="136"/>
      <c r="N235" s="53"/>
      <c r="O235" s="136"/>
      <c r="P235" s="25"/>
      <c r="Q235" s="25"/>
      <c r="R235" s="5"/>
    </row>
    <row r="236" spans="1:18" ht="15.6" x14ac:dyDescent="0.3">
      <c r="A236" s="148"/>
      <c r="B236" s="14" t="s">
        <v>239</v>
      </c>
      <c r="C236" s="81"/>
      <c r="D236" s="82"/>
      <c r="E236" s="81"/>
      <c r="F236" s="17"/>
      <c r="G236" s="17"/>
      <c r="H236" s="17"/>
      <c r="I236" s="17"/>
      <c r="J236" s="17"/>
      <c r="K236" s="17"/>
      <c r="L236" s="83" t="s">
        <v>113</v>
      </c>
      <c r="M236" s="17" t="s">
        <v>114</v>
      </c>
      <c r="N236" s="83" t="s">
        <v>123</v>
      </c>
      <c r="O236" s="17" t="s">
        <v>114</v>
      </c>
      <c r="P236" s="150"/>
      <c r="Q236" s="149"/>
      <c r="R236" s="5"/>
    </row>
    <row r="237" spans="1:18" ht="15.6" x14ac:dyDescent="0.3">
      <c r="A237" s="24"/>
      <c r="B237" s="54" t="s">
        <v>98</v>
      </c>
      <c r="C237" s="93"/>
      <c r="D237" s="25"/>
      <c r="E237" s="93"/>
      <c r="F237" s="93"/>
      <c r="G237" s="93"/>
      <c r="H237" s="93"/>
      <c r="I237" s="93"/>
      <c r="J237" s="93"/>
      <c r="K237" s="93"/>
      <c r="L237" s="54">
        <v>0</v>
      </c>
      <c r="M237" s="94">
        <v>0</v>
      </c>
      <c r="N237" s="53">
        <v>0</v>
      </c>
      <c r="O237" s="136">
        <v>0</v>
      </c>
      <c r="P237" s="25"/>
      <c r="Q237" s="25"/>
      <c r="R237" s="5"/>
    </row>
    <row r="238" spans="1:18" ht="15.6" x14ac:dyDescent="0.3">
      <c r="A238" s="24"/>
      <c r="B238" s="54" t="s">
        <v>99</v>
      </c>
      <c r="C238" s="93"/>
      <c r="D238" s="25"/>
      <c r="E238" s="94"/>
      <c r="F238" s="93"/>
      <c r="G238" s="93"/>
      <c r="H238" s="93"/>
      <c r="I238" s="93"/>
      <c r="J238" s="93"/>
      <c r="K238" s="93"/>
      <c r="L238" s="54">
        <v>0</v>
      </c>
      <c r="M238" s="94">
        <v>0</v>
      </c>
      <c r="N238" s="53">
        <v>0</v>
      </c>
      <c r="O238" s="136">
        <v>0</v>
      </c>
      <c r="P238" s="25"/>
      <c r="Q238" s="25"/>
      <c r="R238" s="5"/>
    </row>
    <row r="239" spans="1:18" ht="15.6" x14ac:dyDescent="0.3">
      <c r="A239" s="24"/>
      <c r="B239" s="54" t="s">
        <v>100</v>
      </c>
      <c r="C239" s="93"/>
      <c r="D239" s="25"/>
      <c r="E239" s="94"/>
      <c r="F239" s="93"/>
      <c r="G239" s="93"/>
      <c r="H239" s="93"/>
      <c r="I239" s="93"/>
      <c r="J239" s="93"/>
      <c r="K239" s="93"/>
      <c r="L239" s="54">
        <v>0</v>
      </c>
      <c r="M239" s="94">
        <v>0</v>
      </c>
      <c r="N239" s="53">
        <v>0</v>
      </c>
      <c r="O239" s="136">
        <v>0</v>
      </c>
      <c r="P239" s="25"/>
      <c r="Q239" s="25"/>
      <c r="R239" s="5"/>
    </row>
    <row r="240" spans="1:18" ht="15.6" x14ac:dyDescent="0.3">
      <c r="A240" s="24"/>
      <c r="B240" s="54" t="s">
        <v>227</v>
      </c>
      <c r="C240" s="93"/>
      <c r="D240" s="25"/>
      <c r="E240" s="94"/>
      <c r="F240" s="93"/>
      <c r="G240" s="93"/>
      <c r="H240" s="93"/>
      <c r="I240" s="93"/>
      <c r="J240" s="93"/>
      <c r="K240" s="93"/>
      <c r="L240" s="54">
        <v>0</v>
      </c>
      <c r="M240" s="94">
        <v>0</v>
      </c>
      <c r="N240" s="53">
        <v>0</v>
      </c>
      <c r="O240" s="136">
        <v>0</v>
      </c>
      <c r="P240" s="25"/>
      <c r="Q240" s="25"/>
      <c r="R240" s="5"/>
    </row>
    <row r="241" spans="1:18" ht="15.6" x14ac:dyDescent="0.3">
      <c r="A241" s="24"/>
      <c r="B241" s="54" t="s">
        <v>228</v>
      </c>
      <c r="C241" s="93"/>
      <c r="D241" s="25"/>
      <c r="E241" s="94"/>
      <c r="F241" s="93"/>
      <c r="G241" s="93"/>
      <c r="H241" s="93"/>
      <c r="I241" s="93"/>
      <c r="J241" s="93"/>
      <c r="K241" s="93"/>
      <c r="L241" s="54">
        <v>0</v>
      </c>
      <c r="M241" s="94">
        <v>0</v>
      </c>
      <c r="N241" s="53">
        <v>0</v>
      </c>
      <c r="O241" s="136">
        <v>0</v>
      </c>
      <c r="P241" s="25"/>
      <c r="Q241" s="25"/>
      <c r="R241" s="5"/>
    </row>
    <row r="242" spans="1:18" ht="15.6" x14ac:dyDescent="0.3">
      <c r="A242" s="24"/>
      <c r="B242" s="54" t="s">
        <v>229</v>
      </c>
      <c r="C242" s="93"/>
      <c r="D242" s="25"/>
      <c r="E242" s="94"/>
      <c r="F242" s="93"/>
      <c r="G242" s="93"/>
      <c r="H242" s="93"/>
      <c r="I242" s="93"/>
      <c r="J242" s="93"/>
      <c r="K242" s="93"/>
      <c r="L242" s="54">
        <v>0</v>
      </c>
      <c r="M242" s="94">
        <v>0</v>
      </c>
      <c r="N242" s="53">
        <v>0</v>
      </c>
      <c r="O242" s="136">
        <v>0</v>
      </c>
      <c r="P242" s="25"/>
      <c r="Q242" s="25"/>
      <c r="R242" s="5"/>
    </row>
    <row r="243" spans="1:18" ht="15.6" x14ac:dyDescent="0.3">
      <c r="A243" s="24"/>
      <c r="B243" s="54" t="s">
        <v>230</v>
      </c>
      <c r="C243" s="93"/>
      <c r="D243" s="25"/>
      <c r="E243" s="94"/>
      <c r="F243" s="93"/>
      <c r="G243" s="93"/>
      <c r="H243" s="93"/>
      <c r="I243" s="93"/>
      <c r="J243" s="93"/>
      <c r="K243" s="93"/>
      <c r="L243" s="54">
        <v>0</v>
      </c>
      <c r="M243" s="94">
        <v>0</v>
      </c>
      <c r="N243" s="53">
        <v>0</v>
      </c>
      <c r="O243" s="136">
        <v>0</v>
      </c>
      <c r="P243" s="25"/>
      <c r="Q243" s="25"/>
      <c r="R243" s="5"/>
    </row>
    <row r="244" spans="1:18" ht="15.6" x14ac:dyDescent="0.3">
      <c r="A244" s="24"/>
      <c r="B244" s="54" t="s">
        <v>231</v>
      </c>
      <c r="C244" s="93"/>
      <c r="D244" s="25"/>
      <c r="E244" s="94"/>
      <c r="F244" s="93"/>
      <c r="G244" s="93"/>
      <c r="H244" s="93"/>
      <c r="I244" s="93"/>
      <c r="J244" s="93"/>
      <c r="K244" s="93"/>
      <c r="L244" s="54">
        <v>0</v>
      </c>
      <c r="M244" s="94">
        <v>0</v>
      </c>
      <c r="N244" s="53">
        <v>0</v>
      </c>
      <c r="O244" s="136">
        <v>0</v>
      </c>
      <c r="P244" s="25"/>
      <c r="Q244" s="25"/>
      <c r="R244" s="5"/>
    </row>
    <row r="245" spans="1:18" ht="15.6" x14ac:dyDescent="0.3">
      <c r="A245" s="24"/>
      <c r="B245" s="25" t="s">
        <v>129</v>
      </c>
      <c r="C245" s="25"/>
      <c r="D245" s="25"/>
      <c r="E245" s="25"/>
      <c r="F245" s="95"/>
      <c r="G245" s="95"/>
      <c r="H245" s="95"/>
      <c r="I245" s="95"/>
      <c r="J245" s="95"/>
      <c r="K245" s="95"/>
      <c r="L245" s="34">
        <f>SUM(L237:L244)</f>
        <v>0</v>
      </c>
      <c r="M245" s="136">
        <v>0</v>
      </c>
      <c r="N245" s="53">
        <f>SUM(N237:N244)</f>
        <v>0</v>
      </c>
      <c r="O245" s="136">
        <v>0</v>
      </c>
      <c r="P245" s="25"/>
      <c r="Q245" s="25"/>
      <c r="R245" s="5"/>
    </row>
    <row r="246" spans="1:18" ht="15.6" x14ac:dyDescent="0.3">
      <c r="A246" s="24"/>
      <c r="B246" s="25"/>
      <c r="C246" s="25"/>
      <c r="D246" s="25"/>
      <c r="E246" s="25"/>
      <c r="F246" s="95"/>
      <c r="G246" s="95"/>
      <c r="H246" s="95"/>
      <c r="I246" s="95"/>
      <c r="J246" s="95"/>
      <c r="K246" s="95"/>
      <c r="L246" s="34"/>
      <c r="M246" s="136"/>
      <c r="N246" s="53"/>
      <c r="O246" s="136"/>
      <c r="P246" s="25"/>
      <c r="Q246" s="25"/>
      <c r="R246" s="5"/>
    </row>
    <row r="247" spans="1:18" ht="15.6" x14ac:dyDescent="0.3">
      <c r="A247" s="24"/>
      <c r="B247" s="152" t="s">
        <v>240</v>
      </c>
      <c r="C247" s="25"/>
      <c r="D247" s="25"/>
      <c r="E247" s="25"/>
      <c r="F247" s="95"/>
      <c r="G247" s="95"/>
      <c r="H247" s="95"/>
      <c r="I247" s="95"/>
      <c r="J247" s="95"/>
      <c r="K247" s="95"/>
      <c r="L247" s="173">
        <f>+L223+L234+L245</f>
        <v>8537</v>
      </c>
      <c r="M247" s="136"/>
      <c r="N247" s="153">
        <f>+N245+N234+N223</f>
        <v>793495</v>
      </c>
      <c r="O247" s="136"/>
      <c r="P247" s="25"/>
      <c r="Q247" s="25"/>
      <c r="R247" s="5"/>
    </row>
    <row r="248" spans="1:18" ht="15.6" x14ac:dyDescent="0.3">
      <c r="A248" s="24"/>
      <c r="B248" s="25"/>
      <c r="C248" s="25"/>
      <c r="D248" s="25"/>
      <c r="E248" s="25"/>
      <c r="F248" s="95"/>
      <c r="G248" s="95"/>
      <c r="H248" s="95"/>
      <c r="I248" s="95"/>
      <c r="J248" s="95"/>
      <c r="K248" s="95"/>
      <c r="L248" s="95"/>
      <c r="M248" s="95"/>
      <c r="N248" s="53"/>
      <c r="O248" s="95"/>
      <c r="P248" s="25"/>
      <c r="Q248" s="25"/>
      <c r="R248" s="5"/>
    </row>
    <row r="249" spans="1:18" ht="15.6" x14ac:dyDescent="0.3">
      <c r="A249" s="6"/>
      <c r="B249" s="8"/>
      <c r="C249" s="8"/>
      <c r="D249" s="8"/>
      <c r="E249" s="8"/>
      <c r="F249" s="96"/>
      <c r="G249" s="96"/>
      <c r="H249" s="96"/>
      <c r="I249" s="96"/>
      <c r="J249" s="96"/>
      <c r="K249" s="96"/>
      <c r="L249" s="96"/>
      <c r="M249" s="96"/>
      <c r="N249" s="97"/>
      <c r="O249" s="96"/>
      <c r="P249" s="8"/>
      <c r="Q249" s="8"/>
      <c r="R249" s="5"/>
    </row>
    <row r="250" spans="1:18" ht="15.6" x14ac:dyDescent="0.3">
      <c r="A250" s="145"/>
      <c r="B250" s="14" t="s">
        <v>234</v>
      </c>
      <c r="C250" s="15"/>
      <c r="D250" s="17"/>
      <c r="E250" s="15"/>
      <c r="F250" s="14"/>
      <c r="G250" s="140"/>
      <c r="H250" s="140"/>
      <c r="I250" s="140"/>
      <c r="J250" s="140"/>
      <c r="K250" s="140"/>
      <c r="L250" s="140"/>
      <c r="M250" s="140"/>
      <c r="N250" s="140"/>
      <c r="O250" s="140"/>
      <c r="P250" s="140"/>
      <c r="Q250" s="140"/>
      <c r="R250" s="5"/>
    </row>
    <row r="251" spans="1:18" ht="15.6" x14ac:dyDescent="0.3">
      <c r="A251" s="145"/>
      <c r="B251" s="140"/>
      <c r="C251" s="8"/>
      <c r="D251" s="8"/>
      <c r="E251" s="8"/>
      <c r="F251" s="8"/>
      <c r="G251" s="140"/>
      <c r="H251" s="140"/>
      <c r="I251" s="140"/>
      <c r="J251" s="140"/>
      <c r="K251" s="140"/>
      <c r="L251" s="140"/>
      <c r="M251" s="140"/>
      <c r="N251" s="140"/>
      <c r="O251" s="140"/>
      <c r="P251" s="140"/>
      <c r="Q251" s="140"/>
      <c r="R251" s="5"/>
    </row>
    <row r="252" spans="1:18" ht="15.6" x14ac:dyDescent="0.3">
      <c r="A252" s="145"/>
      <c r="B252" s="13" t="s">
        <v>232</v>
      </c>
      <c r="C252" s="13"/>
      <c r="D252" s="134"/>
      <c r="E252" s="13"/>
      <c r="F252" s="13"/>
      <c r="G252" s="140"/>
      <c r="H252" s="140"/>
      <c r="I252" s="140"/>
      <c r="J252" s="140"/>
      <c r="K252" s="140"/>
      <c r="L252" s="140"/>
      <c r="M252" s="140"/>
      <c r="N252" s="140"/>
      <c r="O252" s="140"/>
      <c r="P252" s="140"/>
      <c r="Q252" s="140"/>
      <c r="R252" s="5"/>
    </row>
    <row r="253" spans="1:18" ht="15.6" x14ac:dyDescent="0.3">
      <c r="A253" s="145"/>
      <c r="B253" s="13" t="s">
        <v>233</v>
      </c>
      <c r="C253" s="13"/>
      <c r="D253" s="134"/>
      <c r="E253" s="13"/>
      <c r="F253" s="13"/>
      <c r="G253" s="140"/>
      <c r="H253" s="140"/>
      <c r="I253" s="140"/>
      <c r="J253" s="140"/>
      <c r="K253" s="140"/>
      <c r="L253" s="140"/>
      <c r="M253" s="140"/>
      <c r="N253" s="140"/>
      <c r="O253" s="140"/>
      <c r="P253" s="140"/>
      <c r="Q253" s="140"/>
      <c r="R253" s="5"/>
    </row>
    <row r="254" spans="1:18" ht="15.6" x14ac:dyDescent="0.3">
      <c r="A254" s="145"/>
      <c r="B254" s="13"/>
      <c r="C254" s="13"/>
      <c r="D254" s="13"/>
      <c r="E254" s="99"/>
      <c r="F254" s="140"/>
      <c r="G254" s="140"/>
      <c r="H254" s="140"/>
      <c r="I254" s="140"/>
      <c r="J254" s="140"/>
      <c r="K254" s="140"/>
      <c r="L254" s="140"/>
      <c r="M254" s="140"/>
      <c r="N254" s="140"/>
      <c r="O254" s="140"/>
      <c r="P254" s="140"/>
      <c r="Q254" s="140"/>
      <c r="R254" s="5"/>
    </row>
    <row r="255" spans="1:18" ht="15.6" x14ac:dyDescent="0.3">
      <c r="A255" s="145"/>
      <c r="B255" s="13"/>
      <c r="C255" s="13"/>
      <c r="D255" s="13"/>
      <c r="E255" s="99"/>
      <c r="F255" s="140"/>
      <c r="G255" s="140"/>
      <c r="H255" s="140"/>
      <c r="I255" s="140"/>
      <c r="J255" s="140"/>
      <c r="K255" s="140"/>
      <c r="L255" s="140"/>
      <c r="M255" s="140"/>
      <c r="N255" s="140"/>
      <c r="O255" s="140"/>
      <c r="P255" s="140"/>
      <c r="Q255" s="140"/>
      <c r="R255" s="5"/>
    </row>
    <row r="256" spans="1:18" ht="18" thickBot="1" x14ac:dyDescent="0.35">
      <c r="A256" s="145"/>
      <c r="B256" s="49" t="str">
        <f>B178</f>
        <v>PM7 INVESTOR REPORT QUARTER ENDING JULY 2005</v>
      </c>
      <c r="C256" s="13"/>
      <c r="D256" s="13"/>
      <c r="E256" s="99"/>
      <c r="F256" s="140"/>
      <c r="G256" s="140"/>
      <c r="H256" s="140"/>
      <c r="I256" s="140"/>
      <c r="J256" s="140"/>
      <c r="K256" s="140"/>
      <c r="L256" s="140"/>
      <c r="M256" s="140"/>
      <c r="N256" s="140"/>
      <c r="O256" s="140"/>
      <c r="P256" s="140"/>
      <c r="Q256" s="140"/>
      <c r="R256" s="5"/>
    </row>
    <row r="257" spans="1:17" x14ac:dyDescent="0.25">
      <c r="A257" s="100"/>
      <c r="B257" s="100"/>
      <c r="C257" s="100"/>
      <c r="D257" s="100"/>
      <c r="E257" s="100"/>
      <c r="F257" s="100"/>
      <c r="G257" s="100"/>
      <c r="H257" s="100"/>
      <c r="I257" s="100"/>
      <c r="J257" s="100"/>
      <c r="K257" s="100"/>
      <c r="L257" s="100"/>
      <c r="M257" s="100"/>
      <c r="N257" s="100"/>
      <c r="O257" s="100"/>
      <c r="P257" s="100"/>
      <c r="Q257" s="100"/>
    </row>
  </sheetData>
  <phoneticPr fontId="0" type="noConversion"/>
  <hyperlinks>
    <hyperlink ref="H9" r:id="rId1"/>
    <hyperlink ref="J212"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28" max="14" man="1"/>
    <brk id="178" max="14"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0.96040000000000003</v>
      </c>
      <c r="N17" s="246" t="s">
        <v>173</v>
      </c>
      <c r="O17" s="245">
        <v>3.9600000000000003E-2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41871</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316</v>
      </c>
      <c r="K27" s="392"/>
      <c r="L27" s="392" t="s">
        <v>316</v>
      </c>
      <c r="M27" s="392"/>
      <c r="N27" s="262"/>
      <c r="O27" s="263"/>
      <c r="P27" s="263"/>
      <c r="Q27" s="264"/>
      <c r="R27" s="5"/>
    </row>
    <row r="28" spans="1:19" ht="15.6" x14ac:dyDescent="0.3">
      <c r="A28" s="265"/>
      <c r="B28" s="266" t="s">
        <v>10</v>
      </c>
      <c r="C28" s="392"/>
      <c r="D28" s="392" t="s">
        <v>178</v>
      </c>
      <c r="E28" s="392"/>
      <c r="F28" s="392" t="s">
        <v>178</v>
      </c>
      <c r="G28" s="392"/>
      <c r="H28" s="392" t="s">
        <v>178</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162038.20499999999</v>
      </c>
      <c r="E34" s="271"/>
      <c r="F34" s="272">
        <f>+F33*F40</f>
        <v>79195.819999999992</v>
      </c>
      <c r="G34" s="271"/>
      <c r="H34" s="273">
        <f>+H33*H40</f>
        <v>180053.80000000002</v>
      </c>
      <c r="I34" s="271"/>
      <c r="J34" s="270">
        <f>J33*J40</f>
        <v>66856.432499999995</v>
      </c>
      <c r="K34" s="271"/>
      <c r="L34" s="273">
        <f>L33*L40</f>
        <v>52674.719500000007</v>
      </c>
      <c r="M34" s="271"/>
      <c r="N34" s="271"/>
      <c r="O34" s="274"/>
      <c r="P34" s="271"/>
      <c r="Q34" s="275"/>
      <c r="R34" s="5"/>
    </row>
    <row r="35" spans="1:19" ht="15.6" x14ac:dyDescent="0.3">
      <c r="A35" s="265"/>
      <c r="B35" s="266" t="s">
        <v>158</v>
      </c>
      <c r="C35" s="276"/>
      <c r="D35" s="277">
        <f>+D33*D39</f>
        <v>160858.845</v>
      </c>
      <c r="E35" s="278"/>
      <c r="F35" s="279">
        <f>+F33*F39</f>
        <v>78619.42</v>
      </c>
      <c r="G35" s="278"/>
      <c r="H35" s="280">
        <f>+H33*H39</f>
        <v>178743.3</v>
      </c>
      <c r="I35" s="278"/>
      <c r="J35" s="277">
        <f>J33*J39</f>
        <v>66369.831000000006</v>
      </c>
      <c r="K35" s="278"/>
      <c r="L35" s="280">
        <f>L33*L39</f>
        <v>52291.33</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91083.87015177065</v>
      </c>
      <c r="E37" s="271"/>
      <c r="F37" s="271">
        <f>+F34</f>
        <v>79195.819999999992</v>
      </c>
      <c r="G37" s="271"/>
      <c r="H37" s="271">
        <f>+H34/1.481481</f>
        <v>121536.35449931522</v>
      </c>
      <c r="I37" s="271"/>
      <c r="J37" s="271">
        <f>J36*J40</f>
        <v>37580.608494</v>
      </c>
      <c r="K37" s="271"/>
      <c r="L37" s="271">
        <f>L36*L40</f>
        <v>35555.4356625</v>
      </c>
      <c r="M37" s="271"/>
      <c r="N37" s="271"/>
      <c r="O37" s="274"/>
      <c r="P37" s="271">
        <f>SUM(C37:L37)</f>
        <v>364952.08880758582</v>
      </c>
      <c r="Q37" s="275"/>
      <c r="R37" s="5"/>
      <c r="S37" s="154"/>
    </row>
    <row r="38" spans="1:19" ht="15.6" x14ac:dyDescent="0.3">
      <c r="A38" s="265"/>
      <c r="B38" s="266" t="s">
        <v>281</v>
      </c>
      <c r="C38" s="276"/>
      <c r="D38" s="278">
        <f>D35/1.779</f>
        <v>90420.935919055657</v>
      </c>
      <c r="E38" s="278"/>
      <c r="F38" s="278">
        <f>+F35</f>
        <v>78619.42</v>
      </c>
      <c r="G38" s="278"/>
      <c r="H38" s="278">
        <f>H35/1.481481</f>
        <v>120651.76671182417</v>
      </c>
      <c r="I38" s="278"/>
      <c r="J38" s="278">
        <f>J36*J39</f>
        <v>37307.085367200001</v>
      </c>
      <c r="K38" s="278"/>
      <c r="L38" s="278">
        <f>L36*L39</f>
        <v>35296.647750000004</v>
      </c>
      <c r="M38" s="278"/>
      <c r="N38" s="278"/>
      <c r="O38" s="281"/>
      <c r="P38" s="278">
        <f>SUM(D38:L38)</f>
        <v>362295.85574807983</v>
      </c>
      <c r="Q38" s="275"/>
      <c r="R38" s="5"/>
      <c r="S38" s="176"/>
    </row>
    <row r="39" spans="1:19" ht="15.6" x14ac:dyDescent="0.3">
      <c r="A39" s="265"/>
      <c r="B39" s="282" t="s">
        <v>154</v>
      </c>
      <c r="C39" s="283"/>
      <c r="D39" s="284">
        <v>0.35746410000000001</v>
      </c>
      <c r="E39" s="284"/>
      <c r="F39" s="284">
        <v>0.35736099999999998</v>
      </c>
      <c r="G39" s="284"/>
      <c r="H39" s="284">
        <v>0.35748659999999999</v>
      </c>
      <c r="I39" s="284"/>
      <c r="J39" s="284">
        <v>0.80448280000000005</v>
      </c>
      <c r="K39" s="284"/>
      <c r="L39" s="284">
        <v>0.80448200000000003</v>
      </c>
      <c r="M39" s="285"/>
      <c r="N39" s="285"/>
      <c r="O39" s="286"/>
      <c r="P39" s="285"/>
      <c r="Q39" s="287"/>
      <c r="R39" s="5"/>
    </row>
    <row r="40" spans="1:19" ht="15.6" x14ac:dyDescent="0.3">
      <c r="A40" s="265"/>
      <c r="B40" s="282" t="s">
        <v>155</v>
      </c>
      <c r="C40" s="283"/>
      <c r="D40" s="284">
        <v>0.36008489999999999</v>
      </c>
      <c r="E40" s="284"/>
      <c r="F40" s="284">
        <v>0.359981</v>
      </c>
      <c r="G40" s="284"/>
      <c r="H40" s="284">
        <v>0.36010760000000003</v>
      </c>
      <c r="I40" s="284"/>
      <c r="J40" s="284">
        <v>0.81038100000000002</v>
      </c>
      <c r="K40" s="284"/>
      <c r="L40" s="284">
        <v>0.81038030000000005</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6.4384999999999998E-3</v>
      </c>
      <c r="E42" s="290"/>
      <c r="F42" s="289">
        <v>9.4506E-3</v>
      </c>
      <c r="G42" s="290"/>
      <c r="H42" s="289">
        <v>7.5500000000000003E-3</v>
      </c>
      <c r="I42" s="290"/>
      <c r="J42" s="289">
        <v>1.72385E-2</v>
      </c>
      <c r="K42" s="290"/>
      <c r="L42" s="289">
        <v>1.8350000000000002E-2</v>
      </c>
      <c r="M42" s="290"/>
      <c r="N42" s="289"/>
      <c r="O42" s="263"/>
      <c r="P42" s="290"/>
      <c r="Q42" s="264"/>
      <c r="R42" s="5"/>
    </row>
    <row r="43" spans="1:19" ht="15.6" x14ac:dyDescent="0.3">
      <c r="A43" s="260"/>
      <c r="B43" s="261" t="s">
        <v>14</v>
      </c>
      <c r="C43" s="261"/>
      <c r="D43" s="289">
        <v>6.5585000000000001E-3</v>
      </c>
      <c r="E43" s="290"/>
      <c r="F43" s="289">
        <v>9.4094000000000001E-3</v>
      </c>
      <c r="G43" s="290"/>
      <c r="H43" s="289">
        <v>7.0699999999999999E-3</v>
      </c>
      <c r="I43" s="290"/>
      <c r="J43" s="289">
        <v>1.7358499999999999E-2</v>
      </c>
      <c r="K43" s="290"/>
      <c r="L43" s="289">
        <v>1.787E-2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1.1340599999999999E-2</v>
      </c>
      <c r="E45" s="290"/>
      <c r="F45" s="289">
        <f>+F42</f>
        <v>9.4506E-3</v>
      </c>
      <c r="G45" s="290"/>
      <c r="H45" s="289">
        <v>1.11006E-2</v>
      </c>
      <c r="I45" s="290"/>
      <c r="J45" s="289">
        <v>2.3600599999999999E-2</v>
      </c>
      <c r="K45" s="290"/>
      <c r="L45" s="289">
        <v>2.3600599999999999E-2</v>
      </c>
      <c r="M45" s="290"/>
      <c r="N45" s="289"/>
      <c r="O45" s="263"/>
      <c r="P45" s="290">
        <f>SUMPRODUCT(D45:L45,D37:L37)/P37</f>
        <v>1.3307430985470265E-2</v>
      </c>
      <c r="Q45" s="264"/>
      <c r="R45" s="5"/>
    </row>
    <row r="46" spans="1:19" ht="15.6" x14ac:dyDescent="0.3">
      <c r="A46" s="260"/>
      <c r="B46" s="261" t="s">
        <v>283</v>
      </c>
      <c r="C46" s="261"/>
      <c r="D46" s="289">
        <v>1.1299399999999999E-2</v>
      </c>
      <c r="E46" s="290"/>
      <c r="F46" s="289">
        <f>+F43</f>
        <v>9.4094000000000001E-3</v>
      </c>
      <c r="G46" s="290"/>
      <c r="H46" s="289">
        <v>1.10594E-2</v>
      </c>
      <c r="I46" s="290"/>
      <c r="J46" s="289">
        <v>2.3559400000000001E-2</v>
      </c>
      <c r="K46" s="290"/>
      <c r="L46" s="289">
        <v>2.3559400000000001E-2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0.2506237741566425</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41866</v>
      </c>
      <c r="Q57" s="264"/>
      <c r="R57" s="5"/>
    </row>
    <row r="58" spans="1:18" ht="15.6" x14ac:dyDescent="0.3">
      <c r="A58" s="260"/>
      <c r="B58" s="261" t="s">
        <v>142</v>
      </c>
      <c r="C58" s="261"/>
      <c r="D58" s="261"/>
      <c r="E58" s="261"/>
      <c r="F58" s="297"/>
      <c r="G58" s="297"/>
      <c r="H58" s="297"/>
      <c r="I58" s="297"/>
      <c r="J58" s="297"/>
      <c r="K58" s="297"/>
      <c r="L58" s="261">
        <f>+P58-N58+1</f>
        <v>86</v>
      </c>
      <c r="M58" s="297"/>
      <c r="N58" s="298">
        <v>41688</v>
      </c>
      <c r="O58" s="299"/>
      <c r="P58" s="298">
        <v>41773</v>
      </c>
      <c r="Q58" s="264"/>
      <c r="R58" s="5"/>
    </row>
    <row r="59" spans="1:18" ht="15.6" x14ac:dyDescent="0.3">
      <c r="A59" s="260"/>
      <c r="B59" s="261" t="s">
        <v>143</v>
      </c>
      <c r="C59" s="261"/>
      <c r="D59" s="261"/>
      <c r="E59" s="261"/>
      <c r="F59" s="261"/>
      <c r="G59" s="261"/>
      <c r="H59" s="261"/>
      <c r="I59" s="261"/>
      <c r="J59" s="261"/>
      <c r="K59" s="261"/>
      <c r="L59" s="261">
        <f>+P59-N59+1</f>
        <v>92</v>
      </c>
      <c r="M59" s="261"/>
      <c r="N59" s="298">
        <v>41774</v>
      </c>
      <c r="O59" s="299"/>
      <c r="P59" s="298">
        <v>41865</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41852</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317</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364952</v>
      </c>
      <c r="I69" s="330"/>
      <c r="J69" s="330">
        <f>2656+90</f>
        <v>2746</v>
      </c>
      <c r="K69" s="330"/>
      <c r="L69" s="330">
        <v>90</v>
      </c>
      <c r="M69" s="330"/>
      <c r="N69" s="330">
        <v>0</v>
      </c>
      <c r="O69" s="330"/>
      <c r="P69" s="331">
        <f>+H69-J69+L69-N69</f>
        <v>362296</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364952</v>
      </c>
      <c r="I72" s="330"/>
      <c r="J72" s="330">
        <f>SUM(J69:J71)</f>
        <v>2746</v>
      </c>
      <c r="K72" s="330"/>
      <c r="L72" s="330">
        <f>SUM(L69:L71)</f>
        <v>90</v>
      </c>
      <c r="M72" s="330"/>
      <c r="N72" s="330">
        <f>SUM(N69:N71)</f>
        <v>0</v>
      </c>
      <c r="O72" s="330"/>
      <c r="P72" s="330">
        <f>SUM(P69:P71)</f>
        <v>362296</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364952</v>
      </c>
      <c r="I86" s="330"/>
      <c r="J86" s="330">
        <f>SUM(J72:J85)</f>
        <v>2746</v>
      </c>
      <c r="K86" s="330"/>
      <c r="L86" s="330">
        <f>SUM(L72:L85)</f>
        <v>90</v>
      </c>
      <c r="M86" s="330"/>
      <c r="N86" s="330"/>
      <c r="O86" s="330"/>
      <c r="P86" s="330">
        <f>SUM(P72:P85)</f>
        <v>362296</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41851</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2746+56</f>
        <v>2802</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2547+124-574-41</f>
        <v>2056</v>
      </c>
      <c r="Q92" s="264"/>
      <c r="R92" s="5"/>
    </row>
    <row r="93" spans="1:18" ht="15.6" x14ac:dyDescent="0.3">
      <c r="A93" s="260"/>
      <c r="B93" s="261" t="s">
        <v>249</v>
      </c>
      <c r="C93" s="261"/>
      <c r="D93" s="261"/>
      <c r="E93" s="261"/>
      <c r="F93" s="292"/>
      <c r="G93" s="332"/>
      <c r="H93" s="333"/>
      <c r="I93" s="261"/>
      <c r="J93" s="261"/>
      <c r="K93" s="261"/>
      <c r="L93" s="261"/>
      <c r="M93" s="261"/>
      <c r="N93" s="330"/>
      <c r="O93" s="261"/>
      <c r="P93" s="331">
        <f>26+2</f>
        <v>28</v>
      </c>
      <c r="Q93" s="264"/>
      <c r="R93" s="5"/>
    </row>
    <row r="94" spans="1:18" ht="15.6" x14ac:dyDescent="0.3">
      <c r="A94" s="260"/>
      <c r="B94" s="261" t="s">
        <v>250</v>
      </c>
      <c r="C94" s="261"/>
      <c r="D94" s="261"/>
      <c r="E94" s="261"/>
      <c r="F94" s="292"/>
      <c r="G94" s="332"/>
      <c r="H94" s="333"/>
      <c r="I94" s="261"/>
      <c r="J94" s="261"/>
      <c r="K94" s="261"/>
      <c r="L94" s="261"/>
      <c r="M94" s="261"/>
      <c r="N94" s="330"/>
      <c r="O94" s="261"/>
      <c r="P94" s="331">
        <v>23</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153</v>
      </c>
      <c r="Q97" s="264"/>
      <c r="R97" s="5"/>
    </row>
    <row r="98" spans="1:19" ht="15.6" x14ac:dyDescent="0.3">
      <c r="A98" s="260"/>
      <c r="B98" s="261" t="s">
        <v>35</v>
      </c>
      <c r="C98" s="261"/>
      <c r="D98" s="261"/>
      <c r="E98" s="261"/>
      <c r="F98" s="261"/>
      <c r="G98" s="261"/>
      <c r="H98" s="261"/>
      <c r="I98" s="261"/>
      <c r="J98" s="261"/>
      <c r="K98" s="261"/>
      <c r="L98" s="261"/>
      <c r="M98" s="261"/>
      <c r="N98" s="330">
        <f>SUM(N90:N97)</f>
        <v>2802</v>
      </c>
      <c r="O98" s="261"/>
      <c r="P98" s="330">
        <f>SUM(P90:P97)</f>
        <v>2260</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50</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2802</v>
      </c>
      <c r="O102" s="261"/>
      <c r="P102" s="330">
        <f>P98+P100+P99+P101</f>
        <v>2310</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-93-75-5</f>
        <v>-173</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-260</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-189</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-340</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-224</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-211</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-56</v>
      </c>
      <c r="O115" s="261"/>
      <c r="P115" s="331">
        <v>56</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-188</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-771</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-5</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-85</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-663</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-576</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-885</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-273</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-259</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-2746</v>
      </c>
      <c r="O129" s="330"/>
      <c r="P129" s="330">
        <f>SUM(P103:P128)</f>
        <v>-2310</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JULY 2014</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-56</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-56</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56</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362296</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362295.85574807983</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+'April 14'!M173</f>
        <v>88716</v>
      </c>
      <c r="N171" s="331">
        <f>+'April 14'!N173</f>
        <v>10225</v>
      </c>
      <c r="O171" s="261"/>
      <c r="P171" s="331">
        <f>M171+N171</f>
        <v>98941</v>
      </c>
      <c r="Q171" s="264"/>
      <c r="R171" s="5"/>
    </row>
    <row r="172" spans="1:19" ht="15.6" x14ac:dyDescent="0.3">
      <c r="A172" s="260"/>
      <c r="B172" s="261" t="s">
        <v>69</v>
      </c>
      <c r="C172" s="261"/>
      <c r="D172" s="261"/>
      <c r="E172" s="261"/>
      <c r="F172" s="261"/>
      <c r="G172" s="261"/>
      <c r="H172" s="261"/>
      <c r="I172" s="261"/>
      <c r="J172" s="261"/>
      <c r="K172" s="261"/>
      <c r="L172" s="261"/>
      <c r="M172" s="330">
        <v>85</v>
      </c>
      <c r="N172" s="330">
        <f>-N99-N122</f>
        <v>5</v>
      </c>
      <c r="O172" s="261"/>
      <c r="P172" s="331">
        <f>M172+N172</f>
        <v>90</v>
      </c>
      <c r="Q172" s="264"/>
      <c r="R172" s="5"/>
    </row>
    <row r="173" spans="1:19" ht="15.6" x14ac:dyDescent="0.3">
      <c r="A173" s="260"/>
      <c r="B173" s="261" t="s">
        <v>70</v>
      </c>
      <c r="C173" s="261"/>
      <c r="D173" s="261"/>
      <c r="E173" s="261"/>
      <c r="F173" s="261"/>
      <c r="G173" s="261"/>
      <c r="H173" s="261"/>
      <c r="I173" s="261"/>
      <c r="J173" s="261"/>
      <c r="K173" s="261"/>
      <c r="L173" s="261"/>
      <c r="M173" s="331">
        <f>M171+M172</f>
        <v>88801</v>
      </c>
      <c r="N173" s="331">
        <f>N172+N171</f>
        <v>10230</v>
      </c>
      <c r="O173" s="261"/>
      <c r="P173" s="331">
        <f>M173+N173</f>
        <v>99031</v>
      </c>
      <c r="Q173" s="264"/>
      <c r="R173" s="5"/>
    </row>
    <row r="174" spans="1:19" ht="15.6" x14ac:dyDescent="0.3">
      <c r="A174" s="260"/>
      <c r="B174" s="261" t="s">
        <v>71</v>
      </c>
      <c r="C174" s="261"/>
      <c r="D174" s="261"/>
      <c r="E174" s="261"/>
      <c r="F174" s="261"/>
      <c r="G174" s="261"/>
      <c r="H174" s="261"/>
      <c r="I174" s="261"/>
      <c r="J174" s="261"/>
      <c r="K174" s="261"/>
      <c r="L174" s="261"/>
      <c r="M174" s="331">
        <f>M170-M173-N173</f>
        <v>44969</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2.70595690747782</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1.55</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3.0942528735632182</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2.5499999999999998</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JULY 2014</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41851</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2.333E-2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1.3307430985470265E-2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1.0022569014529735E-2</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6.3295995089765232E-3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12.34</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7.524277165216248E-3</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0.10009999999999999</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1</v>
      </c>
      <c r="N206" s="305">
        <v>41</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41</v>
      </c>
      <c r="N207" s="353">
        <f>+N255</f>
        <v>6766</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-56</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'April 14'!N213+'July 14'!N212</f>
        <v>5781</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2</v>
      </c>
      <c r="N219" s="353">
        <v>432</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3105</v>
      </c>
      <c r="M225" s="382">
        <f t="shared" ref="M225:M232" si="2">L225/$L$233</f>
        <v>0.99169594378792714</v>
      </c>
      <c r="N225" s="331">
        <f t="shared" ref="N225:N232" si="3">+N236+N247+N258</f>
        <v>359960</v>
      </c>
      <c r="O225" s="382">
        <f t="shared" ref="O225:O232" si="4">N225/$N$233</f>
        <v>0.99355223353280187</v>
      </c>
      <c r="P225" s="306"/>
      <c r="Q225" s="417"/>
      <c r="R225" s="5"/>
    </row>
    <row r="226" spans="1:18" ht="15.6" x14ac:dyDescent="0.3">
      <c r="A226" s="260"/>
      <c r="B226" s="330" t="s">
        <v>99</v>
      </c>
      <c r="C226" s="381"/>
      <c r="D226" s="261"/>
      <c r="E226" s="382"/>
      <c r="F226" s="381"/>
      <c r="G226" s="381"/>
      <c r="H226" s="381"/>
      <c r="I226" s="381"/>
      <c r="J226" s="381"/>
      <c r="K226" s="381"/>
      <c r="L226" s="330">
        <f t="shared" si="1"/>
        <v>9</v>
      </c>
      <c r="M226" s="382">
        <f t="shared" si="2"/>
        <v>2.8744809964867456E-3</v>
      </c>
      <c r="N226" s="331">
        <f t="shared" si="3"/>
        <v>436</v>
      </c>
      <c r="O226" s="382">
        <f t="shared" si="4"/>
        <v>1.2034358645969041E-3</v>
      </c>
      <c r="P226" s="354"/>
      <c r="Q226" s="373"/>
      <c r="R226" s="5"/>
    </row>
    <row r="227" spans="1:18" ht="15.6" x14ac:dyDescent="0.3">
      <c r="A227" s="260"/>
      <c r="B227" s="330" t="s">
        <v>100</v>
      </c>
      <c r="C227" s="381"/>
      <c r="D227" s="261"/>
      <c r="E227" s="382"/>
      <c r="F227" s="381"/>
      <c r="G227" s="381"/>
      <c r="H227" s="381"/>
      <c r="I227" s="381"/>
      <c r="J227" s="381"/>
      <c r="K227" s="381"/>
      <c r="L227" s="330">
        <f t="shared" si="1"/>
        <v>2</v>
      </c>
      <c r="M227" s="382">
        <f t="shared" si="2"/>
        <v>6.3877355477483233E-4</v>
      </c>
      <c r="N227" s="331">
        <f t="shared" si="3"/>
        <v>88</v>
      </c>
      <c r="O227" s="382">
        <f t="shared" si="4"/>
        <v>2.4289531212047608E-4</v>
      </c>
      <c r="P227" s="354"/>
      <c r="Q227" s="373"/>
      <c r="R227" s="5"/>
    </row>
    <row r="228" spans="1:18" ht="15.6" x14ac:dyDescent="0.3">
      <c r="A228" s="260"/>
      <c r="B228" s="330" t="s">
        <v>227</v>
      </c>
      <c r="C228" s="381"/>
      <c r="D228" s="261"/>
      <c r="E228" s="382"/>
      <c r="F228" s="381"/>
      <c r="G228" s="381"/>
      <c r="H228" s="381"/>
      <c r="I228" s="381"/>
      <c r="J228" s="381"/>
      <c r="K228" s="381"/>
      <c r="L228" s="330">
        <f t="shared" si="1"/>
        <v>1</v>
      </c>
      <c r="M228" s="382">
        <f t="shared" si="2"/>
        <v>3.1938677738741617E-4</v>
      </c>
      <c r="N228" s="331">
        <f t="shared" si="3"/>
        <v>34</v>
      </c>
      <c r="O228" s="382">
        <f t="shared" si="4"/>
        <v>9.384591604654757E-5</v>
      </c>
      <c r="P228" s="354"/>
      <c r="Q228" s="373"/>
      <c r="R228" s="5"/>
    </row>
    <row r="229" spans="1:18" ht="15.6" x14ac:dyDescent="0.3">
      <c r="A229" s="260"/>
      <c r="B229" s="330" t="s">
        <v>228</v>
      </c>
      <c r="C229" s="381"/>
      <c r="D229" s="261"/>
      <c r="E229" s="382"/>
      <c r="F229" s="381"/>
      <c r="G229" s="381"/>
      <c r="H229" s="381"/>
      <c r="I229" s="381"/>
      <c r="J229" s="381"/>
      <c r="K229" s="381"/>
      <c r="L229" s="330">
        <f t="shared" si="1"/>
        <v>4</v>
      </c>
      <c r="M229" s="382">
        <f t="shared" si="2"/>
        <v>1.2775471095496647E-3</v>
      </c>
      <c r="N229" s="331">
        <f t="shared" si="3"/>
        <v>772</v>
      </c>
      <c r="O229" s="382">
        <f t="shared" si="4"/>
        <v>2.1308543290569039E-3</v>
      </c>
      <c r="P229" s="354"/>
      <c r="Q229" s="373"/>
      <c r="R229" s="5"/>
    </row>
    <row r="230" spans="1:18" ht="15.6" x14ac:dyDescent="0.3">
      <c r="A230" s="260"/>
      <c r="B230" s="330" t="s">
        <v>229</v>
      </c>
      <c r="C230" s="381"/>
      <c r="D230" s="261"/>
      <c r="E230" s="382"/>
      <c r="F230" s="381"/>
      <c r="G230" s="381"/>
      <c r="H230" s="381"/>
      <c r="I230" s="381"/>
      <c r="J230" s="381"/>
      <c r="K230" s="381"/>
      <c r="L230" s="330">
        <f t="shared" si="1"/>
        <v>0</v>
      </c>
      <c r="M230" s="382">
        <f t="shared" si="2"/>
        <v>0</v>
      </c>
      <c r="N230" s="331">
        <f t="shared" si="3"/>
        <v>0</v>
      </c>
      <c r="O230" s="382">
        <f t="shared" si="4"/>
        <v>0</v>
      </c>
      <c r="P230" s="354"/>
      <c r="Q230" s="373"/>
      <c r="R230" s="5"/>
    </row>
    <row r="231" spans="1:18" ht="15.6" x14ac:dyDescent="0.3">
      <c r="A231" s="260"/>
      <c r="B231" s="330" t="s">
        <v>230</v>
      </c>
      <c r="C231" s="381"/>
      <c r="D231" s="261"/>
      <c r="E231" s="382"/>
      <c r="F231" s="381"/>
      <c r="G231" s="381"/>
      <c r="H231" s="381"/>
      <c r="I231" s="381"/>
      <c r="J231" s="381"/>
      <c r="K231" s="381"/>
      <c r="L231" s="330">
        <f t="shared" si="1"/>
        <v>6</v>
      </c>
      <c r="M231" s="382">
        <f t="shared" si="2"/>
        <v>1.9163206643244969E-3</v>
      </c>
      <c r="N231" s="331">
        <f t="shared" si="3"/>
        <v>374</v>
      </c>
      <c r="O231" s="382">
        <f t="shared" si="4"/>
        <v>1.0323050765120234E-3</v>
      </c>
      <c r="P231" s="354"/>
      <c r="Q231" s="373"/>
      <c r="R231" s="5"/>
    </row>
    <row r="232" spans="1:18" ht="15.6" x14ac:dyDescent="0.3">
      <c r="A232" s="260"/>
      <c r="B232" s="330" t="s">
        <v>231</v>
      </c>
      <c r="C232" s="381"/>
      <c r="D232" s="261"/>
      <c r="E232" s="382"/>
      <c r="F232" s="381"/>
      <c r="G232" s="381"/>
      <c r="H232" s="381"/>
      <c r="I232" s="381"/>
      <c r="J232" s="381"/>
      <c r="K232" s="381"/>
      <c r="L232" s="330">
        <f t="shared" si="1"/>
        <v>4</v>
      </c>
      <c r="M232" s="382">
        <f t="shared" si="2"/>
        <v>1.2775471095496647E-3</v>
      </c>
      <c r="N232" s="331">
        <f t="shared" si="3"/>
        <v>632</v>
      </c>
      <c r="O232" s="382">
        <f t="shared" si="4"/>
        <v>1.7444299688652372E-3</v>
      </c>
      <c r="P232" s="354"/>
      <c r="Q232" s="373"/>
      <c r="R232" s="5"/>
    </row>
    <row r="233" spans="1:18" ht="15.6" x14ac:dyDescent="0.3">
      <c r="A233" s="260"/>
      <c r="B233" s="261" t="s">
        <v>129</v>
      </c>
      <c r="C233" s="261"/>
      <c r="D233" s="261"/>
      <c r="E233" s="261"/>
      <c r="F233" s="383"/>
      <c r="G233" s="383"/>
      <c r="H233" s="383"/>
      <c r="I233" s="383"/>
      <c r="J233" s="383"/>
      <c r="K233" s="383"/>
      <c r="L233" s="330">
        <f>SUM(L225:L232)</f>
        <v>3131</v>
      </c>
      <c r="M233" s="382">
        <f>SUM(M225:M232)</f>
        <v>0.99999999999999989</v>
      </c>
      <c r="N233" s="330">
        <f>SUM(N225:N232)</f>
        <v>362296</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3070</v>
      </c>
      <c r="M236" s="310">
        <f t="shared" ref="M236:M243" si="5">L236/$L$244</f>
        <v>0.99352750809061485</v>
      </c>
      <c r="N236" s="300">
        <v>354184</v>
      </c>
      <c r="O236" s="310">
        <f t="shared" ref="O236:O243" si="6">N236/$N$244</f>
        <v>0.99621410288864509</v>
      </c>
      <c r="P236" s="306"/>
      <c r="Q236" s="417"/>
      <c r="R236" s="5"/>
    </row>
    <row r="237" spans="1:18" ht="15.6" x14ac:dyDescent="0.3">
      <c r="A237" s="260"/>
      <c r="B237" s="330" t="s">
        <v>99</v>
      </c>
      <c r="C237" s="381"/>
      <c r="D237" s="261"/>
      <c r="E237" s="382"/>
      <c r="F237" s="381"/>
      <c r="G237" s="381"/>
      <c r="H237" s="381"/>
      <c r="I237" s="381"/>
      <c r="J237" s="381"/>
      <c r="K237" s="381"/>
      <c r="L237" s="330">
        <v>7</v>
      </c>
      <c r="M237" s="382">
        <f t="shared" si="5"/>
        <v>2.2653721682847896E-3</v>
      </c>
      <c r="N237" s="331">
        <v>250</v>
      </c>
      <c r="O237" s="382">
        <f t="shared" si="6"/>
        <v>7.0317554074199079E-4</v>
      </c>
      <c r="P237" s="354"/>
      <c r="Q237" s="373"/>
      <c r="R237" s="5"/>
    </row>
    <row r="238" spans="1:18" ht="15.6" x14ac:dyDescent="0.3">
      <c r="A238" s="260"/>
      <c r="B238" s="330" t="s">
        <v>100</v>
      </c>
      <c r="C238" s="381"/>
      <c r="D238" s="261"/>
      <c r="E238" s="382"/>
      <c r="F238" s="381"/>
      <c r="G238" s="381"/>
      <c r="H238" s="381"/>
      <c r="I238" s="381"/>
      <c r="J238" s="381"/>
      <c r="K238" s="381"/>
      <c r="L238" s="330">
        <v>2</v>
      </c>
      <c r="M238" s="382">
        <f t="shared" si="5"/>
        <v>6.4724919093851134E-4</v>
      </c>
      <c r="N238" s="331">
        <v>88</v>
      </c>
      <c r="O238" s="382">
        <f t="shared" si="6"/>
        <v>2.4751779034118079E-4</v>
      </c>
      <c r="P238" s="354"/>
      <c r="Q238" s="373"/>
      <c r="R238" s="5"/>
    </row>
    <row r="239" spans="1:18" ht="15.6" x14ac:dyDescent="0.3">
      <c r="A239" s="260"/>
      <c r="B239" s="330" t="s">
        <v>227</v>
      </c>
      <c r="C239" s="381"/>
      <c r="D239" s="261"/>
      <c r="E239" s="382"/>
      <c r="F239" s="381"/>
      <c r="G239" s="381"/>
      <c r="H239" s="381"/>
      <c r="I239" s="381"/>
      <c r="J239" s="381"/>
      <c r="K239" s="381"/>
      <c r="L239" s="330">
        <v>1</v>
      </c>
      <c r="M239" s="382">
        <f t="shared" si="5"/>
        <v>3.2362459546925567E-4</v>
      </c>
      <c r="N239" s="331">
        <v>34</v>
      </c>
      <c r="O239" s="382">
        <f t="shared" si="6"/>
        <v>9.5631873540910755E-5</v>
      </c>
      <c r="P239" s="354"/>
      <c r="Q239" s="373"/>
      <c r="R239" s="5"/>
    </row>
    <row r="240" spans="1:18" ht="15.6" x14ac:dyDescent="0.3">
      <c r="A240" s="260"/>
      <c r="B240" s="330" t="s">
        <v>228</v>
      </c>
      <c r="C240" s="381"/>
      <c r="D240" s="261"/>
      <c r="E240" s="382"/>
      <c r="F240" s="381"/>
      <c r="G240" s="381"/>
      <c r="H240" s="381"/>
      <c r="I240" s="381"/>
      <c r="J240" s="381"/>
      <c r="K240" s="381"/>
      <c r="L240" s="330">
        <v>4</v>
      </c>
      <c r="M240" s="382">
        <f t="shared" si="5"/>
        <v>1.2944983818770227E-3</v>
      </c>
      <c r="N240" s="331">
        <v>772</v>
      </c>
      <c r="O240" s="382">
        <f t="shared" si="6"/>
        <v>2.1714060698112677E-3</v>
      </c>
      <c r="P240" s="354"/>
      <c r="Q240" s="373"/>
      <c r="R240" s="5"/>
    </row>
    <row r="241" spans="1:18" ht="15.6" x14ac:dyDescent="0.3">
      <c r="A241" s="260"/>
      <c r="B241" s="330" t="s">
        <v>229</v>
      </c>
      <c r="C241" s="381"/>
      <c r="D241" s="261"/>
      <c r="E241" s="382"/>
      <c r="F241" s="381"/>
      <c r="G241" s="381"/>
      <c r="H241" s="381"/>
      <c r="I241" s="381"/>
      <c r="J241" s="381"/>
      <c r="K241" s="381"/>
      <c r="L241" s="330">
        <v>0</v>
      </c>
      <c r="M241" s="382">
        <f t="shared" si="5"/>
        <v>0</v>
      </c>
      <c r="N241" s="331">
        <v>0</v>
      </c>
      <c r="O241" s="382">
        <f t="shared" si="6"/>
        <v>0</v>
      </c>
      <c r="P241" s="354"/>
      <c r="Q241" s="373"/>
      <c r="R241" s="5"/>
    </row>
    <row r="242" spans="1:18" ht="15.6" x14ac:dyDescent="0.3">
      <c r="A242" s="260"/>
      <c r="B242" s="330" t="s">
        <v>230</v>
      </c>
      <c r="C242" s="381"/>
      <c r="D242" s="261"/>
      <c r="E242" s="382"/>
      <c r="F242" s="381"/>
      <c r="G242" s="381"/>
      <c r="H242" s="381"/>
      <c r="I242" s="381"/>
      <c r="J242" s="381"/>
      <c r="K242" s="381"/>
      <c r="L242" s="330">
        <v>5</v>
      </c>
      <c r="M242" s="382">
        <f t="shared" si="5"/>
        <v>1.6181229773462784E-3</v>
      </c>
      <c r="N242" s="331">
        <v>191</v>
      </c>
      <c r="O242" s="382">
        <f t="shared" si="6"/>
        <v>5.3722611312688104E-4</v>
      </c>
      <c r="P242" s="354"/>
      <c r="Q242" s="373"/>
      <c r="R242" s="5"/>
    </row>
    <row r="243" spans="1:18" ht="15.6" x14ac:dyDescent="0.3">
      <c r="A243" s="260"/>
      <c r="B243" s="330" t="s">
        <v>231</v>
      </c>
      <c r="C243" s="381"/>
      <c r="D243" s="261"/>
      <c r="E243" s="382"/>
      <c r="F243" s="381"/>
      <c r="G243" s="381"/>
      <c r="H243" s="381"/>
      <c r="I243" s="381"/>
      <c r="J243" s="381"/>
      <c r="K243" s="381"/>
      <c r="L243" s="330">
        <v>1</v>
      </c>
      <c r="M243" s="382">
        <f t="shared" si="5"/>
        <v>3.2362459546925567E-4</v>
      </c>
      <c r="N243" s="331">
        <v>11</v>
      </c>
      <c r="O243" s="382">
        <f t="shared" si="6"/>
        <v>3.0939723792647599E-5</v>
      </c>
      <c r="P243" s="354"/>
      <c r="Q243" s="373"/>
      <c r="R243" s="5"/>
    </row>
    <row r="244" spans="1:18" ht="15.6" x14ac:dyDescent="0.3">
      <c r="A244" s="260"/>
      <c r="B244" s="261" t="s">
        <v>129</v>
      </c>
      <c r="C244" s="261"/>
      <c r="D244" s="261"/>
      <c r="E244" s="261"/>
      <c r="F244" s="383"/>
      <c r="G244" s="383"/>
      <c r="H244" s="383"/>
      <c r="I244" s="383"/>
      <c r="J244" s="383"/>
      <c r="K244" s="383"/>
      <c r="L244" s="330">
        <f>SUM(L236:L243)</f>
        <v>3090</v>
      </c>
      <c r="M244" s="382">
        <f>SUM(M236:M243)</f>
        <v>1</v>
      </c>
      <c r="N244" s="331">
        <f>SUM(N236:N243)</f>
        <v>355530</v>
      </c>
      <c r="O244" s="382">
        <f>SUM(O236:O243)</f>
        <v>0.99999999999999989</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35</v>
      </c>
      <c r="M247" s="310">
        <f t="shared" ref="M247:M254" si="7">L247/$L$255</f>
        <v>0.85365853658536583</v>
      </c>
      <c r="N247" s="300">
        <v>5776</v>
      </c>
      <c r="O247" s="310">
        <f t="shared" ref="O247:O254" si="8">N247/$N$255</f>
        <v>0.85368016553355008</v>
      </c>
      <c r="P247" s="306"/>
      <c r="Q247" s="408"/>
      <c r="R247" s="5"/>
    </row>
    <row r="248" spans="1:18" ht="15.6" x14ac:dyDescent="0.3">
      <c r="A248" s="260"/>
      <c r="B248" s="330" t="s">
        <v>99</v>
      </c>
      <c r="C248" s="381"/>
      <c r="D248" s="261"/>
      <c r="E248" s="382"/>
      <c r="F248" s="381"/>
      <c r="G248" s="381"/>
      <c r="H248" s="381"/>
      <c r="I248" s="381"/>
      <c r="J248" s="381"/>
      <c r="K248" s="381"/>
      <c r="L248" s="330">
        <v>2</v>
      </c>
      <c r="M248" s="382">
        <f t="shared" si="7"/>
        <v>4.878048780487805E-2</v>
      </c>
      <c r="N248" s="331">
        <v>186</v>
      </c>
      <c r="O248" s="382">
        <f t="shared" si="8"/>
        <v>2.7490393142181494E-2</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1</v>
      </c>
      <c r="M253" s="382">
        <f t="shared" si="7"/>
        <v>2.4390243902439025E-2</v>
      </c>
      <c r="N253" s="331">
        <v>183</v>
      </c>
      <c r="O253" s="382">
        <f t="shared" si="8"/>
        <v>2.7046999704404374E-2</v>
      </c>
      <c r="P253" s="354"/>
      <c r="Q253" s="264"/>
      <c r="R253" s="5"/>
    </row>
    <row r="254" spans="1:18" ht="15.6" x14ac:dyDescent="0.3">
      <c r="A254" s="260"/>
      <c r="B254" s="330" t="s">
        <v>231</v>
      </c>
      <c r="C254" s="381"/>
      <c r="D254" s="261"/>
      <c r="E254" s="382"/>
      <c r="F254" s="381"/>
      <c r="G254" s="381"/>
      <c r="H254" s="381"/>
      <c r="I254" s="381"/>
      <c r="J254" s="381"/>
      <c r="K254" s="381"/>
      <c r="L254" s="330">
        <v>3</v>
      </c>
      <c r="M254" s="382">
        <f t="shared" si="7"/>
        <v>7.3170731707317069E-2</v>
      </c>
      <c r="N254" s="331">
        <v>621</v>
      </c>
      <c r="O254" s="382">
        <f t="shared" si="8"/>
        <v>9.1782441619864027E-2</v>
      </c>
      <c r="P254" s="354"/>
      <c r="Q254" s="264"/>
      <c r="R254" s="5"/>
    </row>
    <row r="255" spans="1:18" ht="15.6" x14ac:dyDescent="0.3">
      <c r="A255" s="260"/>
      <c r="B255" s="261" t="s">
        <v>129</v>
      </c>
      <c r="C255" s="261"/>
      <c r="D255" s="261"/>
      <c r="E255" s="261"/>
      <c r="F255" s="383"/>
      <c r="G255" s="383"/>
      <c r="H255" s="383"/>
      <c r="I255" s="383"/>
      <c r="J255" s="383"/>
      <c r="K255" s="383"/>
      <c r="L255" s="330">
        <f>SUM(L247:L254)</f>
        <v>41</v>
      </c>
      <c r="M255" s="382">
        <f>SUM(M247:M254)</f>
        <v>1</v>
      </c>
      <c r="N255" s="331">
        <f>SUM(N247:N254)</f>
        <v>6766</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f>SUM(M258:M265)</f>
        <v>0</v>
      </c>
      <c r="N266" s="331">
        <f>SUM(N258:N265)</f>
        <v>0</v>
      </c>
      <c r="O266" s="382">
        <f>SUM(O258:O265)</f>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3131</v>
      </c>
      <c r="M268" s="382"/>
      <c r="N268" s="386">
        <f>+N266+N255+N244</f>
        <v>362296</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418"/>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418"/>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5.6" x14ac:dyDescent="0.3">
      <c r="A277" s="225"/>
      <c r="B277" s="228"/>
      <c r="C277" s="228"/>
      <c r="D277" s="228"/>
      <c r="E277" s="314"/>
      <c r="F277" s="249"/>
      <c r="G277" s="249"/>
      <c r="H277" s="249"/>
      <c r="I277" s="249"/>
      <c r="J277" s="249"/>
      <c r="K277" s="249"/>
      <c r="L277" s="249"/>
      <c r="M277" s="249"/>
      <c r="N277" s="249"/>
      <c r="O277" s="249"/>
      <c r="P277" s="249"/>
      <c r="Q277" s="418"/>
      <c r="R277" s="5"/>
    </row>
    <row r="278" spans="1:18" ht="18" thickBot="1" x14ac:dyDescent="0.35">
      <c r="A278" s="225"/>
      <c r="B278" s="315" t="str">
        <f>B185</f>
        <v>PM7 INVESTOR REPORT QUARTER ENDING JULY 2014</v>
      </c>
      <c r="C278" s="228"/>
      <c r="D278" s="228"/>
      <c r="E278" s="314"/>
      <c r="F278" s="249"/>
      <c r="G278" s="249"/>
      <c r="H278" s="249"/>
      <c r="I278" s="249"/>
      <c r="J278" s="249"/>
      <c r="K278" s="249"/>
      <c r="L278" s="249"/>
      <c r="M278" s="249"/>
      <c r="N278" s="249"/>
      <c r="O278" s="249"/>
      <c r="P278" s="249"/>
      <c r="Q278" s="41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6" man="1"/>
    <brk id="133" max="16" man="1"/>
    <brk id="185" max="16" man="1"/>
    <brk id="278" max="16" man="1"/>
  </row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0.96050000000000002</v>
      </c>
      <c r="N17" s="246" t="s">
        <v>173</v>
      </c>
      <c r="O17" s="245">
        <v>3.95E-2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41964</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316</v>
      </c>
      <c r="K27" s="392"/>
      <c r="L27" s="392" t="s">
        <v>316</v>
      </c>
      <c r="M27" s="392"/>
      <c r="N27" s="262"/>
      <c r="O27" s="263"/>
      <c r="P27" s="263"/>
      <c r="Q27" s="264"/>
      <c r="R27" s="5"/>
    </row>
    <row r="28" spans="1:19" ht="15.6" x14ac:dyDescent="0.3">
      <c r="A28" s="265"/>
      <c r="B28" s="266" t="s">
        <v>10</v>
      </c>
      <c r="C28" s="392"/>
      <c r="D28" s="392" t="s">
        <v>178</v>
      </c>
      <c r="E28" s="392"/>
      <c r="F28" s="392" t="s">
        <v>178</v>
      </c>
      <c r="G28" s="392"/>
      <c r="H28" s="392" t="s">
        <v>178</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160858.845</v>
      </c>
      <c r="E34" s="271"/>
      <c r="F34" s="272">
        <f>+F33*F40</f>
        <v>78619.42</v>
      </c>
      <c r="G34" s="271"/>
      <c r="H34" s="273">
        <f>+H33*H40</f>
        <v>178743.3</v>
      </c>
      <c r="I34" s="271"/>
      <c r="J34" s="270">
        <f>J33*J40</f>
        <v>66369.831000000006</v>
      </c>
      <c r="K34" s="271"/>
      <c r="L34" s="273">
        <f>L33*L40</f>
        <v>52291.33</v>
      </c>
      <c r="M34" s="271"/>
      <c r="N34" s="271"/>
      <c r="O34" s="274"/>
      <c r="P34" s="271"/>
      <c r="Q34" s="275"/>
      <c r="R34" s="5"/>
    </row>
    <row r="35" spans="1:19" ht="15.6" x14ac:dyDescent="0.3">
      <c r="A35" s="265"/>
      <c r="B35" s="266" t="s">
        <v>158</v>
      </c>
      <c r="C35" s="276"/>
      <c r="D35" s="277">
        <f>+D33*D39</f>
        <v>158741.595</v>
      </c>
      <c r="E35" s="278"/>
      <c r="F35" s="279">
        <f>+F33*F39</f>
        <v>77584.627999999997</v>
      </c>
      <c r="G35" s="278"/>
      <c r="H35" s="280">
        <f>+H33*H39</f>
        <v>176390.65000000002</v>
      </c>
      <c r="I35" s="278"/>
      <c r="J35" s="277">
        <f>J33*J39</f>
        <v>65496.246750000006</v>
      </c>
      <c r="K35" s="278"/>
      <c r="L35" s="280">
        <f>L33*L39</f>
        <v>51603.051500000001</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90420.935919055657</v>
      </c>
      <c r="E37" s="271"/>
      <c r="F37" s="271">
        <f>+F34</f>
        <v>78619.42</v>
      </c>
      <c r="G37" s="271"/>
      <c r="H37" s="271">
        <f>+H34/1.481481</f>
        <v>120651.76671182417</v>
      </c>
      <c r="I37" s="271"/>
      <c r="J37" s="271">
        <f>J36*J40</f>
        <v>37307.085367200001</v>
      </c>
      <c r="K37" s="271"/>
      <c r="L37" s="271">
        <f>L36*L40</f>
        <v>35296.647750000004</v>
      </c>
      <c r="M37" s="271"/>
      <c r="N37" s="271"/>
      <c r="O37" s="274"/>
      <c r="P37" s="271">
        <f>SUM(C37:L37)</f>
        <v>362295.85574807983</v>
      </c>
      <c r="Q37" s="275"/>
      <c r="R37" s="5"/>
      <c r="S37" s="154"/>
    </row>
    <row r="38" spans="1:19" ht="15.6" x14ac:dyDescent="0.3">
      <c r="A38" s="265"/>
      <c r="B38" s="266" t="s">
        <v>281</v>
      </c>
      <c r="C38" s="276"/>
      <c r="D38" s="278">
        <f>D35/1.779</f>
        <v>89230.801011804389</v>
      </c>
      <c r="E38" s="278"/>
      <c r="F38" s="278">
        <f>+F35</f>
        <v>77584.627999999997</v>
      </c>
      <c r="G38" s="278"/>
      <c r="H38" s="278">
        <f>H35/1.481481</f>
        <v>119063.72744571143</v>
      </c>
      <c r="I38" s="278"/>
      <c r="J38" s="278">
        <f>J36*J39</f>
        <v>36816.035718600004</v>
      </c>
      <c r="K38" s="278"/>
      <c r="L38" s="278">
        <f>L36*L39</f>
        <v>34832.059762500001</v>
      </c>
      <c r="M38" s="278"/>
      <c r="N38" s="278"/>
      <c r="O38" s="281"/>
      <c r="P38" s="278">
        <f>SUM(D38:L38)</f>
        <v>357527.25193861581</v>
      </c>
      <c r="Q38" s="275"/>
      <c r="R38" s="5"/>
      <c r="S38" s="176"/>
    </row>
    <row r="39" spans="1:19" ht="15.6" x14ac:dyDescent="0.3">
      <c r="A39" s="265"/>
      <c r="B39" s="282" t="s">
        <v>154</v>
      </c>
      <c r="C39" s="283"/>
      <c r="D39" s="284">
        <v>0.35275909999999999</v>
      </c>
      <c r="E39" s="284"/>
      <c r="F39" s="284">
        <v>0.35265740000000001</v>
      </c>
      <c r="G39" s="284"/>
      <c r="H39" s="284">
        <v>0.35278130000000002</v>
      </c>
      <c r="I39" s="284"/>
      <c r="J39" s="284">
        <v>0.79389390000000004</v>
      </c>
      <c r="K39" s="284"/>
      <c r="L39" s="284">
        <v>0.79389310000000002</v>
      </c>
      <c r="M39" s="285"/>
      <c r="N39" s="285"/>
      <c r="O39" s="286"/>
      <c r="P39" s="285"/>
      <c r="Q39" s="287"/>
      <c r="R39" s="5"/>
    </row>
    <row r="40" spans="1:19" ht="15.6" x14ac:dyDescent="0.3">
      <c r="A40" s="265"/>
      <c r="B40" s="282" t="s">
        <v>155</v>
      </c>
      <c r="C40" s="283"/>
      <c r="D40" s="284">
        <v>0.35746410000000001</v>
      </c>
      <c r="E40" s="284"/>
      <c r="F40" s="284">
        <v>0.35736099999999998</v>
      </c>
      <c r="G40" s="284"/>
      <c r="H40" s="284">
        <v>0.35748659999999999</v>
      </c>
      <c r="I40" s="284"/>
      <c r="J40" s="284">
        <v>0.80448280000000005</v>
      </c>
      <c r="K40" s="284"/>
      <c r="L40" s="284">
        <v>0.80448200000000003</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6.5360000000000001E-3</v>
      </c>
      <c r="E42" s="290"/>
      <c r="F42" s="289">
        <v>9.7963000000000008E-3</v>
      </c>
      <c r="G42" s="290"/>
      <c r="H42" s="289">
        <v>6.1900000000000002E-3</v>
      </c>
      <c r="I42" s="290"/>
      <c r="J42" s="289">
        <v>1.7336000000000001E-2</v>
      </c>
      <c r="K42" s="290"/>
      <c r="L42" s="289">
        <v>1.6990000000000002E-2</v>
      </c>
      <c r="M42" s="290"/>
      <c r="N42" s="289"/>
      <c r="O42" s="263"/>
      <c r="P42" s="290"/>
      <c r="Q42" s="264"/>
      <c r="R42" s="5"/>
    </row>
    <row r="43" spans="1:19" ht="15.6" x14ac:dyDescent="0.3">
      <c r="A43" s="260"/>
      <c r="B43" s="261" t="s">
        <v>14</v>
      </c>
      <c r="C43" s="261"/>
      <c r="D43" s="289">
        <v>6.4384999999999998E-3</v>
      </c>
      <c r="E43" s="290"/>
      <c r="F43" s="289">
        <v>9.4506E-3</v>
      </c>
      <c r="G43" s="290"/>
      <c r="H43" s="289">
        <v>7.5500000000000003E-3</v>
      </c>
      <c r="I43" s="290"/>
      <c r="J43" s="289">
        <v>1.72385E-2</v>
      </c>
      <c r="K43" s="290"/>
      <c r="L43" s="289">
        <v>1.8350000000000002E-2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1.16863E-2</v>
      </c>
      <c r="E45" s="290"/>
      <c r="F45" s="289">
        <f>+F42</f>
        <v>9.7963000000000008E-3</v>
      </c>
      <c r="G45" s="290"/>
      <c r="H45" s="289">
        <v>1.14463E-2</v>
      </c>
      <c r="I45" s="290"/>
      <c r="J45" s="289">
        <v>2.39463E-2</v>
      </c>
      <c r="K45" s="290"/>
      <c r="L45" s="289">
        <v>2.39463E-2</v>
      </c>
      <c r="M45" s="290"/>
      <c r="N45" s="289"/>
      <c r="O45" s="263"/>
      <c r="P45" s="290">
        <f>SUMPRODUCT(D45:L45,D37:L37)/P37</f>
        <v>1.365313077904573E-2</v>
      </c>
      <c r="Q45" s="264"/>
      <c r="R45" s="5"/>
    </row>
    <row r="46" spans="1:19" ht="15.6" x14ac:dyDescent="0.3">
      <c r="A46" s="260"/>
      <c r="B46" s="261" t="s">
        <v>283</v>
      </c>
      <c r="C46" s="261"/>
      <c r="D46" s="289">
        <v>1.1340599999999999E-2</v>
      </c>
      <c r="E46" s="290"/>
      <c r="F46" s="289">
        <f>+F43</f>
        <v>9.4506E-3</v>
      </c>
      <c r="G46" s="290"/>
      <c r="H46" s="289">
        <v>1.11006E-2</v>
      </c>
      <c r="I46" s="290"/>
      <c r="J46" s="289">
        <v>2.3600599999999999E-2</v>
      </c>
      <c r="K46" s="290"/>
      <c r="L46" s="289">
        <v>2.3600599999999999E-2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0.25062371237179559</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41960</v>
      </c>
      <c r="Q57" s="264"/>
      <c r="R57" s="5"/>
    </row>
    <row r="58" spans="1:18" ht="15.6" x14ac:dyDescent="0.3">
      <c r="A58" s="260"/>
      <c r="B58" s="261" t="s">
        <v>142</v>
      </c>
      <c r="C58" s="261"/>
      <c r="D58" s="261"/>
      <c r="E58" s="261"/>
      <c r="F58" s="297"/>
      <c r="G58" s="297"/>
      <c r="H58" s="297"/>
      <c r="I58" s="297"/>
      <c r="J58" s="297"/>
      <c r="K58" s="297"/>
      <c r="L58" s="261">
        <f>+P58-N58+1</f>
        <v>92</v>
      </c>
      <c r="M58" s="297"/>
      <c r="N58" s="298">
        <v>41774</v>
      </c>
      <c r="O58" s="299"/>
      <c r="P58" s="298">
        <v>41865</v>
      </c>
      <c r="Q58" s="264"/>
      <c r="R58" s="5"/>
    </row>
    <row r="59" spans="1:18" ht="15.6" x14ac:dyDescent="0.3">
      <c r="A59" s="260"/>
      <c r="B59" s="261" t="s">
        <v>143</v>
      </c>
      <c r="C59" s="261"/>
      <c r="D59" s="261"/>
      <c r="E59" s="261"/>
      <c r="F59" s="261"/>
      <c r="G59" s="261"/>
      <c r="H59" s="261"/>
      <c r="I59" s="261"/>
      <c r="J59" s="261"/>
      <c r="K59" s="261"/>
      <c r="L59" s="261">
        <f>+P59-N59+1</f>
        <v>94</v>
      </c>
      <c r="M59" s="261"/>
      <c r="N59" s="298">
        <v>41866</v>
      </c>
      <c r="O59" s="299"/>
      <c r="P59" s="298">
        <v>41959</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41946</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318</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362296</v>
      </c>
      <c r="I69" s="330"/>
      <c r="J69" s="330">
        <f>4769</f>
        <v>4769</v>
      </c>
      <c r="K69" s="330"/>
      <c r="L69" s="330">
        <v>0</v>
      </c>
      <c r="M69" s="330"/>
      <c r="N69" s="330">
        <v>0</v>
      </c>
      <c r="O69" s="330"/>
      <c r="P69" s="331">
        <f>+H69-J69+L69-N69</f>
        <v>357527</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362296</v>
      </c>
      <c r="I72" s="330"/>
      <c r="J72" s="330">
        <f>SUM(J69:J71)</f>
        <v>4769</v>
      </c>
      <c r="K72" s="330"/>
      <c r="L72" s="330">
        <f>SUM(L69:L71)</f>
        <v>0</v>
      </c>
      <c r="M72" s="330"/>
      <c r="N72" s="330">
        <f>SUM(N69:N71)</f>
        <v>0</v>
      </c>
      <c r="O72" s="330"/>
      <c r="P72" s="330">
        <f>SUM(P69:P71)</f>
        <v>357527</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362296</v>
      </c>
      <c r="I86" s="330"/>
      <c r="J86" s="330">
        <f>SUM(J72:J85)</f>
        <v>4769</v>
      </c>
      <c r="K86" s="330"/>
      <c r="L86" s="330">
        <f>SUM(L72:L85)</f>
        <v>0</v>
      </c>
      <c r="M86" s="330"/>
      <c r="N86" s="330"/>
      <c r="O86" s="330"/>
      <c r="P86" s="330">
        <f>SUM(P72:P85)</f>
        <v>357527</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41943</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4769-168</f>
        <v>4601</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3421+121-1383-39</f>
        <v>2120</v>
      </c>
      <c r="Q92" s="264"/>
      <c r="R92" s="5"/>
    </row>
    <row r="93" spans="1:18" ht="15.6" x14ac:dyDescent="0.3">
      <c r="A93" s="260"/>
      <c r="B93" s="261" t="s">
        <v>249</v>
      </c>
      <c r="C93" s="261"/>
      <c r="D93" s="261"/>
      <c r="E93" s="261"/>
      <c r="F93" s="292"/>
      <c r="G93" s="332"/>
      <c r="H93" s="333"/>
      <c r="I93" s="261"/>
      <c r="J93" s="261"/>
      <c r="K93" s="261"/>
      <c r="L93" s="261"/>
      <c r="M93" s="261"/>
      <c r="N93" s="330"/>
      <c r="O93" s="261"/>
      <c r="P93" s="331">
        <f>73</f>
        <v>73</v>
      </c>
      <c r="Q93" s="264"/>
      <c r="R93" s="5"/>
    </row>
    <row r="94" spans="1:18" ht="15.6" x14ac:dyDescent="0.3">
      <c r="A94" s="260"/>
      <c r="B94" s="261" t="s">
        <v>250</v>
      </c>
      <c r="C94" s="261"/>
      <c r="D94" s="261"/>
      <c r="E94" s="261"/>
      <c r="F94" s="292"/>
      <c r="G94" s="332"/>
      <c r="H94" s="333"/>
      <c r="I94" s="261"/>
      <c r="J94" s="261"/>
      <c r="K94" s="261"/>
      <c r="L94" s="261"/>
      <c r="M94" s="261"/>
      <c r="N94" s="330"/>
      <c r="O94" s="261"/>
      <c r="P94" s="331">
        <v>25</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175</v>
      </c>
      <c r="Q97" s="264"/>
      <c r="R97" s="5"/>
    </row>
    <row r="98" spans="1:19" ht="15.6" x14ac:dyDescent="0.3">
      <c r="A98" s="260"/>
      <c r="B98" s="261" t="s">
        <v>35</v>
      </c>
      <c r="C98" s="261"/>
      <c r="D98" s="261"/>
      <c r="E98" s="261"/>
      <c r="F98" s="261"/>
      <c r="G98" s="261"/>
      <c r="H98" s="261"/>
      <c r="I98" s="261"/>
      <c r="J98" s="261"/>
      <c r="K98" s="261"/>
      <c r="L98" s="261"/>
      <c r="M98" s="261"/>
      <c r="N98" s="330">
        <f>SUM(N90:N97)</f>
        <v>4601</v>
      </c>
      <c r="O98" s="261"/>
      <c r="P98" s="330">
        <f>SUM(P90:P97)</f>
        <v>2393</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60</v>
      </c>
      <c r="Q101" s="264"/>
      <c r="R101" s="5"/>
    </row>
    <row r="102" spans="1:19" ht="15.6" x14ac:dyDescent="0.3">
      <c r="A102" s="260"/>
      <c r="B102" s="261" t="s">
        <v>37</v>
      </c>
      <c r="C102" s="261"/>
      <c r="D102" s="261"/>
      <c r="E102" s="261"/>
      <c r="F102" s="261"/>
      <c r="G102" s="261"/>
      <c r="H102" s="261"/>
      <c r="I102" s="261"/>
      <c r="J102" s="261"/>
      <c r="K102" s="261"/>
      <c r="L102" s="261"/>
      <c r="M102" s="261"/>
      <c r="N102" s="330">
        <f>N98+N100+N99</f>
        <v>4601</v>
      </c>
      <c r="O102" s="261"/>
      <c r="P102" s="330">
        <f>P98+P100+P99+P101</f>
        <v>2453</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-92-72-5</f>
        <v>-169</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-272</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-198</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-356</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-230</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-218</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168</v>
      </c>
      <c r="O115" s="261"/>
      <c r="P115" s="331">
        <v>-168</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-187</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-645</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0</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-1190</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-1035</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-1588</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-491</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-465</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-4769</v>
      </c>
      <c r="O129" s="330"/>
      <c r="P129" s="330">
        <f>SUM(P103:P128)</f>
        <v>-2453</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OCTOBER 2014</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168</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168</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-168</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357527</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357527.25193861581</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+'July 14'!M173</f>
        <v>88801</v>
      </c>
      <c r="N171" s="331">
        <f>+'July 14'!N173</f>
        <v>10230</v>
      </c>
      <c r="O171" s="261"/>
      <c r="P171" s="331">
        <f>M171+N171</f>
        <v>99031</v>
      </c>
      <c r="Q171" s="264"/>
      <c r="R171" s="5"/>
    </row>
    <row r="172" spans="1:19" ht="15.6" x14ac:dyDescent="0.3">
      <c r="A172" s="260"/>
      <c r="B172" s="261" t="s">
        <v>69</v>
      </c>
      <c r="C172" s="261"/>
      <c r="D172" s="261"/>
      <c r="E172" s="261"/>
      <c r="F172" s="261"/>
      <c r="G172" s="261"/>
      <c r="H172" s="261"/>
      <c r="I172" s="261"/>
      <c r="J172" s="261"/>
      <c r="K172" s="261"/>
      <c r="L172" s="261"/>
      <c r="M172" s="330">
        <v>0</v>
      </c>
      <c r="N172" s="330">
        <f>-N99-N122</f>
        <v>0</v>
      </c>
      <c r="O172" s="261"/>
      <c r="P172" s="331">
        <f>M172+N172</f>
        <v>0</v>
      </c>
      <c r="Q172" s="264"/>
      <c r="R172" s="5"/>
    </row>
    <row r="173" spans="1:19" ht="15.6" x14ac:dyDescent="0.3">
      <c r="A173" s="260"/>
      <c r="B173" s="261" t="s">
        <v>70</v>
      </c>
      <c r="C173" s="261"/>
      <c r="D173" s="261"/>
      <c r="E173" s="261"/>
      <c r="F173" s="261"/>
      <c r="G173" s="261"/>
      <c r="H173" s="261"/>
      <c r="I173" s="261"/>
      <c r="J173" s="261"/>
      <c r="K173" s="261"/>
      <c r="L173" s="261"/>
      <c r="M173" s="331">
        <f>M171+M172</f>
        <v>88801</v>
      </c>
      <c r="N173" s="331">
        <f>N172+N171</f>
        <v>10230</v>
      </c>
      <c r="O173" s="261"/>
      <c r="P173" s="331">
        <f>M173+N173</f>
        <v>99031</v>
      </c>
      <c r="Q173" s="264"/>
      <c r="R173" s="5"/>
    </row>
    <row r="174" spans="1:19" ht="15.6" x14ac:dyDescent="0.3">
      <c r="A174" s="260"/>
      <c r="B174" s="261" t="s">
        <v>71</v>
      </c>
      <c r="C174" s="261"/>
      <c r="D174" s="261"/>
      <c r="E174" s="261"/>
      <c r="F174" s="261"/>
      <c r="G174" s="261"/>
      <c r="H174" s="261"/>
      <c r="I174" s="261"/>
      <c r="J174" s="261"/>
      <c r="K174" s="261"/>
      <c r="L174" s="261"/>
      <c r="M174" s="331">
        <f>M170-M173-N173</f>
        <v>44969</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2.7627118644067798</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1.55</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3.25</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2.5499999999999998</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OCTOBER 2014</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41943</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2.3480000000000001E-2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1.365313077904573E-2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9.8268692209542707E-3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6.7707068253582709E-3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12.13</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1.3163269812528982E-2</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9.9000000000000005E-2</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1</v>
      </c>
      <c r="N206" s="305">
        <v>47</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41</v>
      </c>
      <c r="N207" s="353">
        <f>+N255</f>
        <v>6654</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1</v>
      </c>
      <c r="N208" s="353">
        <f>+N266</f>
        <v>11</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168</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'July 14'!N213+'Oct 14'!N212</f>
        <v>5949</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1</v>
      </c>
      <c r="N219" s="353">
        <v>282</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3051</v>
      </c>
      <c r="M225" s="382">
        <f t="shared" ref="M225:M232" si="2">L225/$L$233</f>
        <v>0.9857835218093699</v>
      </c>
      <c r="N225" s="331">
        <f t="shared" ref="N225:N232" si="3">+N236+N247+N258</f>
        <v>354480</v>
      </c>
      <c r="O225" s="382">
        <f t="shared" ref="O225:O232" si="4">N225/$N$233</f>
        <v>0.99147756672922605</v>
      </c>
      <c r="P225" s="306"/>
      <c r="Q225" s="417"/>
      <c r="R225" s="5"/>
    </row>
    <row r="226" spans="1:18" ht="15.6" x14ac:dyDescent="0.3">
      <c r="A226" s="260"/>
      <c r="B226" s="330" t="s">
        <v>99</v>
      </c>
      <c r="C226" s="381"/>
      <c r="D226" s="261"/>
      <c r="E226" s="382"/>
      <c r="F226" s="381"/>
      <c r="G226" s="381"/>
      <c r="H226" s="381"/>
      <c r="I226" s="381"/>
      <c r="J226" s="381"/>
      <c r="K226" s="381"/>
      <c r="L226" s="330">
        <f t="shared" si="1"/>
        <v>31</v>
      </c>
      <c r="M226" s="382">
        <f t="shared" si="2"/>
        <v>1.0016155088852988E-2</v>
      </c>
      <c r="N226" s="331">
        <f t="shared" si="3"/>
        <v>1982</v>
      </c>
      <c r="O226" s="382">
        <f t="shared" si="4"/>
        <v>5.5436372637591011E-3</v>
      </c>
      <c r="P226" s="354"/>
      <c r="Q226" s="373"/>
      <c r="R226" s="5"/>
    </row>
    <row r="227" spans="1:18" ht="15.6" x14ac:dyDescent="0.3">
      <c r="A227" s="260"/>
      <c r="B227" s="330" t="s">
        <v>100</v>
      </c>
      <c r="C227" s="381"/>
      <c r="D227" s="261"/>
      <c r="E227" s="382"/>
      <c r="F227" s="381"/>
      <c r="G227" s="381"/>
      <c r="H227" s="381"/>
      <c r="I227" s="381"/>
      <c r="J227" s="381"/>
      <c r="K227" s="381"/>
      <c r="L227" s="330">
        <f t="shared" si="1"/>
        <v>2</v>
      </c>
      <c r="M227" s="382">
        <f t="shared" si="2"/>
        <v>6.462035541195477E-4</v>
      </c>
      <c r="N227" s="331">
        <f t="shared" si="3"/>
        <v>144</v>
      </c>
      <c r="O227" s="382">
        <f t="shared" si="4"/>
        <v>4.0276678404707898E-4</v>
      </c>
      <c r="P227" s="354"/>
      <c r="Q227" s="373"/>
      <c r="R227" s="5"/>
    </row>
    <row r="228" spans="1:18" ht="15.6" x14ac:dyDescent="0.3">
      <c r="A228" s="260"/>
      <c r="B228" s="330" t="s">
        <v>227</v>
      </c>
      <c r="C228" s="381"/>
      <c r="D228" s="261"/>
      <c r="E228" s="382"/>
      <c r="F228" s="381"/>
      <c r="G228" s="381"/>
      <c r="H228" s="381"/>
      <c r="I228" s="381"/>
      <c r="J228" s="381"/>
      <c r="K228" s="381"/>
      <c r="L228" s="330">
        <f t="shared" si="1"/>
        <v>2</v>
      </c>
      <c r="M228" s="382">
        <f t="shared" si="2"/>
        <v>6.462035541195477E-4</v>
      </c>
      <c r="N228" s="331">
        <f t="shared" si="3"/>
        <v>98</v>
      </c>
      <c r="O228" s="382">
        <f t="shared" si="4"/>
        <v>2.7410517247648429E-4</v>
      </c>
      <c r="P228" s="354"/>
      <c r="Q228" s="373"/>
      <c r="R228" s="5"/>
    </row>
    <row r="229" spans="1:18" ht="15.6" x14ac:dyDescent="0.3">
      <c r="A229" s="260"/>
      <c r="B229" s="330" t="s">
        <v>228</v>
      </c>
      <c r="C229" s="381"/>
      <c r="D229" s="261"/>
      <c r="E229" s="382"/>
      <c r="F229" s="381"/>
      <c r="G229" s="381"/>
      <c r="H229" s="381"/>
      <c r="I229" s="381"/>
      <c r="J229" s="381"/>
      <c r="K229" s="381"/>
      <c r="L229" s="330">
        <f t="shared" si="1"/>
        <v>0</v>
      </c>
      <c r="M229" s="382">
        <f t="shared" si="2"/>
        <v>0</v>
      </c>
      <c r="N229" s="331">
        <f t="shared" si="3"/>
        <v>0</v>
      </c>
      <c r="O229" s="382">
        <f t="shared" si="4"/>
        <v>0</v>
      </c>
      <c r="P229" s="354"/>
      <c r="Q229" s="373"/>
      <c r="R229" s="5"/>
    </row>
    <row r="230" spans="1:18" ht="15.6" x14ac:dyDescent="0.3">
      <c r="A230" s="260"/>
      <c r="B230" s="330" t="s">
        <v>229</v>
      </c>
      <c r="C230" s="381"/>
      <c r="D230" s="261"/>
      <c r="E230" s="382"/>
      <c r="F230" s="381"/>
      <c r="G230" s="381"/>
      <c r="H230" s="381"/>
      <c r="I230" s="381"/>
      <c r="J230" s="381"/>
      <c r="K230" s="381"/>
      <c r="L230" s="330">
        <f t="shared" si="1"/>
        <v>2</v>
      </c>
      <c r="M230" s="382">
        <f t="shared" si="2"/>
        <v>6.462035541195477E-4</v>
      </c>
      <c r="N230" s="331">
        <f t="shared" si="3"/>
        <v>91</v>
      </c>
      <c r="O230" s="382">
        <f t="shared" si="4"/>
        <v>2.5452623158530685E-4</v>
      </c>
      <c r="P230" s="354"/>
      <c r="Q230" s="373"/>
      <c r="R230" s="5"/>
    </row>
    <row r="231" spans="1:18" ht="15.6" x14ac:dyDescent="0.3">
      <c r="A231" s="260"/>
      <c r="B231" s="330" t="s">
        <v>230</v>
      </c>
      <c r="C231" s="381"/>
      <c r="D231" s="261"/>
      <c r="E231" s="382"/>
      <c r="F231" s="381"/>
      <c r="G231" s="381"/>
      <c r="H231" s="381"/>
      <c r="I231" s="381"/>
      <c r="J231" s="381"/>
      <c r="K231" s="381"/>
      <c r="L231" s="330">
        <f t="shared" si="1"/>
        <v>3</v>
      </c>
      <c r="M231" s="382">
        <f t="shared" si="2"/>
        <v>9.6930533117932144E-4</v>
      </c>
      <c r="N231" s="331">
        <f t="shared" si="3"/>
        <v>100</v>
      </c>
      <c r="O231" s="382">
        <f t="shared" si="4"/>
        <v>2.7969915558824927E-4</v>
      </c>
      <c r="P231" s="354"/>
      <c r="Q231" s="373"/>
      <c r="R231" s="5"/>
    </row>
    <row r="232" spans="1:18" ht="15.6" x14ac:dyDescent="0.3">
      <c r="A232" s="260"/>
      <c r="B232" s="330" t="s">
        <v>231</v>
      </c>
      <c r="C232" s="381"/>
      <c r="D232" s="261"/>
      <c r="E232" s="382"/>
      <c r="F232" s="381"/>
      <c r="G232" s="381"/>
      <c r="H232" s="381"/>
      <c r="I232" s="381"/>
      <c r="J232" s="381"/>
      <c r="K232" s="381"/>
      <c r="L232" s="330">
        <f t="shared" si="1"/>
        <v>4</v>
      </c>
      <c r="M232" s="382">
        <f t="shared" si="2"/>
        <v>1.2924071082390954E-3</v>
      </c>
      <c r="N232" s="331">
        <f t="shared" si="3"/>
        <v>632</v>
      </c>
      <c r="O232" s="382">
        <f t="shared" si="4"/>
        <v>1.7676986633177354E-3</v>
      </c>
      <c r="P232" s="354"/>
      <c r="Q232" s="373"/>
      <c r="R232" s="5"/>
    </row>
    <row r="233" spans="1:18" ht="15.6" x14ac:dyDescent="0.3">
      <c r="A233" s="260"/>
      <c r="B233" s="261" t="s">
        <v>129</v>
      </c>
      <c r="C233" s="261"/>
      <c r="D233" s="261"/>
      <c r="E233" s="261"/>
      <c r="F233" s="383"/>
      <c r="G233" s="383"/>
      <c r="H233" s="383"/>
      <c r="I233" s="383"/>
      <c r="J233" s="383"/>
      <c r="K233" s="383"/>
      <c r="L233" s="330">
        <f>SUM(L225:L232)</f>
        <v>3095</v>
      </c>
      <c r="M233" s="382">
        <f>SUM(M225:M232)</f>
        <v>1.0000000000000002</v>
      </c>
      <c r="N233" s="330">
        <f>SUM(N225:N232)</f>
        <v>357527</v>
      </c>
      <c r="O233" s="382">
        <f>SUM(O225:O232)</f>
        <v>0.99999999999999989</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3016</v>
      </c>
      <c r="M236" s="310">
        <f t="shared" ref="M236:M243" si="5">L236/$L$244</f>
        <v>0.98788077301015398</v>
      </c>
      <c r="N236" s="300">
        <v>348803</v>
      </c>
      <c r="O236" s="310">
        <f t="shared" ref="O236:O243" si="6">N236/$N$244</f>
        <v>0.9941315958981024</v>
      </c>
      <c r="P236" s="306"/>
      <c r="Q236" s="417"/>
      <c r="R236" s="5"/>
    </row>
    <row r="237" spans="1:18" ht="15.6" x14ac:dyDescent="0.3">
      <c r="A237" s="260"/>
      <c r="B237" s="330" t="s">
        <v>99</v>
      </c>
      <c r="C237" s="381"/>
      <c r="D237" s="261"/>
      <c r="E237" s="382"/>
      <c r="F237" s="381"/>
      <c r="G237" s="381"/>
      <c r="H237" s="381"/>
      <c r="I237" s="381"/>
      <c r="J237" s="381"/>
      <c r="K237" s="381"/>
      <c r="L237" s="330">
        <v>29</v>
      </c>
      <c r="M237" s="382">
        <f t="shared" si="5"/>
        <v>9.4988535866360954E-3</v>
      </c>
      <c r="N237" s="331">
        <v>1706</v>
      </c>
      <c r="O237" s="382">
        <f t="shared" si="6"/>
        <v>4.8623105380462975E-3</v>
      </c>
      <c r="P237" s="354"/>
      <c r="Q237" s="373"/>
      <c r="R237" s="5"/>
    </row>
    <row r="238" spans="1:18" ht="15.6" x14ac:dyDescent="0.3">
      <c r="A238" s="260"/>
      <c r="B238" s="330" t="s">
        <v>100</v>
      </c>
      <c r="C238" s="381"/>
      <c r="D238" s="261"/>
      <c r="E238" s="382"/>
      <c r="F238" s="381"/>
      <c r="G238" s="381"/>
      <c r="H238" s="381"/>
      <c r="I238" s="381"/>
      <c r="J238" s="381"/>
      <c r="K238" s="381"/>
      <c r="L238" s="330">
        <v>2</v>
      </c>
      <c r="M238" s="382">
        <f t="shared" si="5"/>
        <v>6.5509335080248931E-4</v>
      </c>
      <c r="N238" s="331">
        <v>144</v>
      </c>
      <c r="O238" s="382">
        <f t="shared" si="6"/>
        <v>4.1041777108948816E-4</v>
      </c>
      <c r="P238" s="354"/>
      <c r="Q238" s="373"/>
      <c r="R238" s="5"/>
    </row>
    <row r="239" spans="1:18" ht="15.6" x14ac:dyDescent="0.3">
      <c r="A239" s="260"/>
      <c r="B239" s="330" t="s">
        <v>227</v>
      </c>
      <c r="C239" s="381"/>
      <c r="D239" s="261"/>
      <c r="E239" s="382"/>
      <c r="F239" s="381"/>
      <c r="G239" s="381"/>
      <c r="H239" s="381"/>
      <c r="I239" s="381"/>
      <c r="J239" s="381"/>
      <c r="K239" s="381"/>
      <c r="L239" s="330">
        <v>1</v>
      </c>
      <c r="M239" s="382">
        <f t="shared" si="5"/>
        <v>3.2754667540124465E-4</v>
      </c>
      <c r="N239" s="331">
        <v>18</v>
      </c>
      <c r="O239" s="382">
        <f t="shared" si="6"/>
        <v>5.130222138618602E-5</v>
      </c>
      <c r="P239" s="354"/>
      <c r="Q239" s="373"/>
      <c r="R239" s="5"/>
    </row>
    <row r="240" spans="1:18" ht="15.6" x14ac:dyDescent="0.3">
      <c r="A240" s="260"/>
      <c r="B240" s="330" t="s">
        <v>228</v>
      </c>
      <c r="C240" s="381"/>
      <c r="D240" s="261"/>
      <c r="E240" s="382"/>
      <c r="F240" s="381"/>
      <c r="G240" s="381"/>
      <c r="H240" s="381"/>
      <c r="I240" s="381"/>
      <c r="J240" s="381"/>
      <c r="K240" s="381"/>
      <c r="L240" s="330">
        <v>0</v>
      </c>
      <c r="M240" s="382">
        <f t="shared" si="5"/>
        <v>0</v>
      </c>
      <c r="N240" s="331">
        <v>0</v>
      </c>
      <c r="O240" s="382">
        <f t="shared" si="6"/>
        <v>0</v>
      </c>
      <c r="P240" s="354"/>
      <c r="Q240" s="373"/>
      <c r="R240" s="5"/>
    </row>
    <row r="241" spans="1:18" ht="15.6" x14ac:dyDescent="0.3">
      <c r="A241" s="260"/>
      <c r="B241" s="330" t="s">
        <v>229</v>
      </c>
      <c r="C241" s="381"/>
      <c r="D241" s="261"/>
      <c r="E241" s="382"/>
      <c r="F241" s="381"/>
      <c r="G241" s="381"/>
      <c r="H241" s="381"/>
      <c r="I241" s="381"/>
      <c r="J241" s="381"/>
      <c r="K241" s="381"/>
      <c r="L241" s="330">
        <v>2</v>
      </c>
      <c r="M241" s="382">
        <f t="shared" si="5"/>
        <v>6.5509335080248931E-4</v>
      </c>
      <c r="N241" s="331">
        <v>91</v>
      </c>
      <c r="O241" s="382">
        <f t="shared" si="6"/>
        <v>2.5936123034127378E-4</v>
      </c>
      <c r="P241" s="354"/>
      <c r="Q241" s="373"/>
      <c r="R241" s="5"/>
    </row>
    <row r="242" spans="1:18" ht="15.6" x14ac:dyDescent="0.3">
      <c r="A242" s="260"/>
      <c r="B242" s="330" t="s">
        <v>230</v>
      </c>
      <c r="C242" s="381"/>
      <c r="D242" s="261"/>
      <c r="E242" s="382"/>
      <c r="F242" s="381"/>
      <c r="G242" s="381"/>
      <c r="H242" s="381"/>
      <c r="I242" s="381"/>
      <c r="J242" s="381"/>
      <c r="K242" s="381"/>
      <c r="L242" s="330">
        <v>3</v>
      </c>
      <c r="M242" s="382">
        <f t="shared" si="5"/>
        <v>9.8264002620373396E-4</v>
      </c>
      <c r="N242" s="331">
        <v>100</v>
      </c>
      <c r="O242" s="382">
        <f t="shared" si="6"/>
        <v>2.8501234103436678E-4</v>
      </c>
      <c r="P242" s="354"/>
      <c r="Q242" s="373"/>
      <c r="R242" s="5"/>
    </row>
    <row r="243" spans="1:18" ht="15.6" x14ac:dyDescent="0.3">
      <c r="A243" s="260"/>
      <c r="B243" s="330" t="s">
        <v>231</v>
      </c>
      <c r="C243" s="381"/>
      <c r="D243" s="261"/>
      <c r="E243" s="382"/>
      <c r="F243" s="381"/>
      <c r="G243" s="381"/>
      <c r="H243" s="381"/>
      <c r="I243" s="381"/>
      <c r="J243" s="381"/>
      <c r="K243" s="381"/>
      <c r="L243" s="330">
        <v>0</v>
      </c>
      <c r="M243" s="382">
        <f t="shared" si="5"/>
        <v>0</v>
      </c>
      <c r="N243" s="331">
        <v>0</v>
      </c>
      <c r="O243" s="382">
        <f t="shared" si="6"/>
        <v>0</v>
      </c>
      <c r="P243" s="354"/>
      <c r="Q243" s="373"/>
      <c r="R243" s="5"/>
    </row>
    <row r="244" spans="1:18" ht="15.6" x14ac:dyDescent="0.3">
      <c r="A244" s="260"/>
      <c r="B244" s="261" t="s">
        <v>129</v>
      </c>
      <c r="C244" s="261"/>
      <c r="D244" s="261"/>
      <c r="E244" s="261"/>
      <c r="F244" s="383"/>
      <c r="G244" s="383"/>
      <c r="H244" s="383"/>
      <c r="I244" s="383"/>
      <c r="J244" s="383"/>
      <c r="K244" s="383"/>
      <c r="L244" s="330">
        <f>SUM(L236:L243)</f>
        <v>3053</v>
      </c>
      <c r="M244" s="382">
        <f>SUM(M236:M243)</f>
        <v>1</v>
      </c>
      <c r="N244" s="331">
        <f>SUM(N236:N243)</f>
        <v>350862</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35</v>
      </c>
      <c r="M247" s="310">
        <f t="shared" ref="M247:M254" si="7">L247/$L$255</f>
        <v>0.85365853658536583</v>
      </c>
      <c r="N247" s="300">
        <v>5677</v>
      </c>
      <c r="O247" s="310">
        <f t="shared" ref="O247:O254" si="8">N247/$N$255</f>
        <v>0.85317102494740005</v>
      </c>
      <c r="P247" s="306"/>
      <c r="Q247" s="408"/>
      <c r="R247" s="5"/>
    </row>
    <row r="248" spans="1:18" ht="15.6" x14ac:dyDescent="0.3">
      <c r="A248" s="260"/>
      <c r="B248" s="330" t="s">
        <v>99</v>
      </c>
      <c r="C248" s="381"/>
      <c r="D248" s="261"/>
      <c r="E248" s="382"/>
      <c r="F248" s="381"/>
      <c r="G248" s="381"/>
      <c r="H248" s="381"/>
      <c r="I248" s="381"/>
      <c r="J248" s="381"/>
      <c r="K248" s="381"/>
      <c r="L248" s="330">
        <v>2</v>
      </c>
      <c r="M248" s="382">
        <f t="shared" si="7"/>
        <v>4.878048780487805E-2</v>
      </c>
      <c r="N248" s="331">
        <v>276</v>
      </c>
      <c r="O248" s="382">
        <f t="shared" si="8"/>
        <v>4.1478809738503153E-2</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1</v>
      </c>
      <c r="M250" s="382">
        <f t="shared" si="7"/>
        <v>2.4390243902439025E-2</v>
      </c>
      <c r="N250" s="331">
        <v>80</v>
      </c>
      <c r="O250" s="382">
        <f t="shared" si="8"/>
        <v>1.2022843402464683E-2</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0</v>
      </c>
      <c r="M253" s="382">
        <f t="shared" si="7"/>
        <v>0</v>
      </c>
      <c r="N253" s="331">
        <v>0</v>
      </c>
      <c r="O253" s="382">
        <f t="shared" si="8"/>
        <v>0</v>
      </c>
      <c r="P253" s="354"/>
      <c r="Q253" s="264"/>
      <c r="R253" s="5"/>
    </row>
    <row r="254" spans="1:18" ht="15.6" x14ac:dyDescent="0.3">
      <c r="A254" s="260"/>
      <c r="B254" s="330" t="s">
        <v>231</v>
      </c>
      <c r="C254" s="381"/>
      <c r="D254" s="261"/>
      <c r="E254" s="382"/>
      <c r="F254" s="381"/>
      <c r="G254" s="381"/>
      <c r="H254" s="381"/>
      <c r="I254" s="381"/>
      <c r="J254" s="381"/>
      <c r="K254" s="381"/>
      <c r="L254" s="330">
        <v>3</v>
      </c>
      <c r="M254" s="382">
        <f t="shared" si="7"/>
        <v>7.3170731707317069E-2</v>
      </c>
      <c r="N254" s="331">
        <v>621</v>
      </c>
      <c r="O254" s="382">
        <f t="shared" si="8"/>
        <v>9.3327321911632108E-2</v>
      </c>
      <c r="P254" s="354"/>
      <c r="Q254" s="264"/>
      <c r="R254" s="5"/>
    </row>
    <row r="255" spans="1:18" ht="15.6" x14ac:dyDescent="0.3">
      <c r="A255" s="260"/>
      <c r="B255" s="261" t="s">
        <v>129</v>
      </c>
      <c r="C255" s="261"/>
      <c r="D255" s="261"/>
      <c r="E255" s="261"/>
      <c r="F255" s="383"/>
      <c r="G255" s="383"/>
      <c r="H255" s="383"/>
      <c r="I255" s="383"/>
      <c r="J255" s="383"/>
      <c r="K255" s="383"/>
      <c r="L255" s="330">
        <f>SUM(L247:L254)</f>
        <v>41</v>
      </c>
      <c r="M255" s="382">
        <f>SUM(M247:M254)</f>
        <v>1</v>
      </c>
      <c r="N255" s="331">
        <f>SUM(N247:N254)</f>
        <v>6654</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f>+L259/L266</f>
        <v>0</v>
      </c>
      <c r="N259" s="331">
        <v>0</v>
      </c>
      <c r="O259" s="382">
        <f>+N259/N266</f>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1</v>
      </c>
      <c r="M265" s="382">
        <f>+L265/L266</f>
        <v>1</v>
      </c>
      <c r="N265" s="331">
        <v>11</v>
      </c>
      <c r="O265" s="382">
        <f>+N265/N266</f>
        <v>1</v>
      </c>
      <c r="P265" s="261"/>
      <c r="Q265" s="264"/>
      <c r="R265" s="5"/>
    </row>
    <row r="266" spans="1:18" ht="15.6" x14ac:dyDescent="0.3">
      <c r="A266" s="260"/>
      <c r="B266" s="261" t="s">
        <v>129</v>
      </c>
      <c r="C266" s="261"/>
      <c r="D266" s="261"/>
      <c r="E266" s="261"/>
      <c r="F266" s="383"/>
      <c r="G266" s="383"/>
      <c r="H266" s="383"/>
      <c r="I266" s="383"/>
      <c r="J266" s="383"/>
      <c r="K266" s="383"/>
      <c r="L266" s="330">
        <f>SUM(L258:L265)</f>
        <v>1</v>
      </c>
      <c r="M266" s="382">
        <f>SUM(M258:M265)</f>
        <v>1</v>
      </c>
      <c r="N266" s="331">
        <f>SUM(N258:N265)</f>
        <v>11</v>
      </c>
      <c r="O266" s="382">
        <f>SUM(O258:O265)</f>
        <v>1</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3095</v>
      </c>
      <c r="M268" s="382"/>
      <c r="N268" s="386">
        <f>+N266+N255+N244</f>
        <v>357527</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418"/>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418"/>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5.6" x14ac:dyDescent="0.3">
      <c r="A277" s="225"/>
      <c r="B277" s="228"/>
      <c r="C277" s="228"/>
      <c r="D277" s="228"/>
      <c r="E277" s="314"/>
      <c r="F277" s="249"/>
      <c r="G277" s="249"/>
      <c r="H277" s="249"/>
      <c r="I277" s="249"/>
      <c r="J277" s="249"/>
      <c r="K277" s="249"/>
      <c r="L277" s="249"/>
      <c r="M277" s="249"/>
      <c r="N277" s="249"/>
      <c r="O277" s="249"/>
      <c r="P277" s="249"/>
      <c r="Q277" s="418"/>
      <c r="R277" s="5"/>
    </row>
    <row r="278" spans="1:18" ht="18" thickBot="1" x14ac:dyDescent="0.35">
      <c r="A278" s="225"/>
      <c r="B278" s="315" t="str">
        <f>B185</f>
        <v>PM7 INVESTOR REPORT QUARTER ENDING OCTOBER 2014</v>
      </c>
      <c r="C278" s="228"/>
      <c r="D278" s="228"/>
      <c r="E278" s="314"/>
      <c r="F278" s="249"/>
      <c r="G278" s="249"/>
      <c r="H278" s="249"/>
      <c r="I278" s="249"/>
      <c r="J278" s="249"/>
      <c r="K278" s="249"/>
      <c r="L278" s="249"/>
      <c r="M278" s="249"/>
      <c r="N278" s="249"/>
      <c r="O278" s="249"/>
      <c r="P278" s="249"/>
      <c r="Q278" s="41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6" man="1"/>
    <brk id="133" max="16" man="1"/>
    <brk id="185" max="16" man="1"/>
    <brk id="278" max="16" man="1"/>
  </row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0.96050000000000002</v>
      </c>
      <c r="N17" s="246" t="s">
        <v>173</v>
      </c>
      <c r="O17" s="245">
        <v>3.95E-2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42059</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316</v>
      </c>
      <c r="K27" s="392"/>
      <c r="L27" s="392" t="s">
        <v>316</v>
      </c>
      <c r="M27" s="392"/>
      <c r="N27" s="262"/>
      <c r="O27" s="263"/>
      <c r="P27" s="263"/>
      <c r="Q27" s="264"/>
      <c r="R27" s="5"/>
    </row>
    <row r="28" spans="1:19" ht="15.6" x14ac:dyDescent="0.3">
      <c r="A28" s="265"/>
      <c r="B28" s="266" t="s">
        <v>10</v>
      </c>
      <c r="C28" s="392"/>
      <c r="D28" s="392" t="s">
        <v>178</v>
      </c>
      <c r="E28" s="392"/>
      <c r="F28" s="392" t="s">
        <v>178</v>
      </c>
      <c r="G28" s="392"/>
      <c r="H28" s="392" t="s">
        <v>178</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158741.595</v>
      </c>
      <c r="E34" s="271"/>
      <c r="F34" s="272">
        <f>+F33*F40</f>
        <v>77584.627999999997</v>
      </c>
      <c r="G34" s="271"/>
      <c r="H34" s="273">
        <f>+H33*H40</f>
        <v>176390.65000000002</v>
      </c>
      <c r="I34" s="271"/>
      <c r="J34" s="270">
        <f>J33*J40</f>
        <v>65496.246750000006</v>
      </c>
      <c r="K34" s="271"/>
      <c r="L34" s="273">
        <f>L33*L40</f>
        <v>51603.051500000001</v>
      </c>
      <c r="M34" s="271"/>
      <c r="N34" s="271"/>
      <c r="O34" s="274"/>
      <c r="P34" s="271"/>
      <c r="Q34" s="275"/>
      <c r="R34" s="5"/>
    </row>
    <row r="35" spans="1:19" ht="15.6" x14ac:dyDescent="0.3">
      <c r="A35" s="265"/>
      <c r="B35" s="266" t="s">
        <v>158</v>
      </c>
      <c r="C35" s="276"/>
      <c r="D35" s="277">
        <f>+D33*D39</f>
        <v>157455.04499999998</v>
      </c>
      <c r="E35" s="278"/>
      <c r="F35" s="279">
        <f>+F33*F39</f>
        <v>76955.823999999993</v>
      </c>
      <c r="G35" s="278"/>
      <c r="H35" s="280">
        <f>+H33*H39</f>
        <v>174961</v>
      </c>
      <c r="I35" s="278"/>
      <c r="J35" s="277">
        <f>J33*J39</f>
        <v>64965.408749999995</v>
      </c>
      <c r="K35" s="278"/>
      <c r="L35" s="280">
        <f>L33*L39</f>
        <v>51184.815499999997</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89230.801011804389</v>
      </c>
      <c r="E37" s="271"/>
      <c r="F37" s="271">
        <f>+F34</f>
        <v>77584.627999999997</v>
      </c>
      <c r="G37" s="271"/>
      <c r="H37" s="271">
        <f>+H34/1.481481</f>
        <v>119063.72744571143</v>
      </c>
      <c r="I37" s="271"/>
      <c r="J37" s="271">
        <f>J36*J40</f>
        <v>36816.035718600004</v>
      </c>
      <c r="K37" s="271"/>
      <c r="L37" s="271">
        <f>L36*L40</f>
        <v>34832.059762500001</v>
      </c>
      <c r="M37" s="271"/>
      <c r="N37" s="271"/>
      <c r="O37" s="274"/>
      <c r="P37" s="271">
        <f>SUM(C37:L37)</f>
        <v>357527.25193861581</v>
      </c>
      <c r="Q37" s="275"/>
      <c r="R37" s="5"/>
      <c r="S37" s="154"/>
    </row>
    <row r="38" spans="1:19" ht="15.6" x14ac:dyDescent="0.3">
      <c r="A38" s="265"/>
      <c r="B38" s="266" t="s">
        <v>281</v>
      </c>
      <c r="C38" s="276"/>
      <c r="D38" s="278">
        <f>D35/1.779</f>
        <v>88507.613827993249</v>
      </c>
      <c r="E38" s="278"/>
      <c r="F38" s="278">
        <f>+F35</f>
        <v>76955.823999999993</v>
      </c>
      <c r="G38" s="278"/>
      <c r="H38" s="278">
        <f>H35/1.481481</f>
        <v>118098.71338208184</v>
      </c>
      <c r="I38" s="278"/>
      <c r="J38" s="278">
        <f>J36*J39</f>
        <v>36517.646852999998</v>
      </c>
      <c r="K38" s="278"/>
      <c r="L38" s="278">
        <f>L36*L39</f>
        <v>34549.7504625</v>
      </c>
      <c r="M38" s="278"/>
      <c r="N38" s="278"/>
      <c r="O38" s="281"/>
      <c r="P38" s="278">
        <f>SUM(D38:L38)</f>
        <v>354629.54852557508</v>
      </c>
      <c r="Q38" s="275"/>
      <c r="R38" s="5"/>
      <c r="S38" s="176"/>
    </row>
    <row r="39" spans="1:19" ht="15.6" x14ac:dyDescent="0.3">
      <c r="A39" s="265"/>
      <c r="B39" s="282" t="s">
        <v>154</v>
      </c>
      <c r="C39" s="283"/>
      <c r="D39" s="284">
        <v>0.34990009999999999</v>
      </c>
      <c r="E39" s="284"/>
      <c r="F39" s="284">
        <v>0.34979919999999998</v>
      </c>
      <c r="G39" s="284"/>
      <c r="H39" s="284">
        <v>0.34992200000000001</v>
      </c>
      <c r="I39" s="284"/>
      <c r="J39" s="284">
        <v>0.78745949999999998</v>
      </c>
      <c r="K39" s="284"/>
      <c r="L39" s="284">
        <v>0.78745869999999996</v>
      </c>
      <c r="M39" s="285"/>
      <c r="N39" s="285"/>
      <c r="O39" s="286"/>
      <c r="P39" s="285"/>
      <c r="Q39" s="287"/>
      <c r="R39" s="5"/>
    </row>
    <row r="40" spans="1:19" ht="15.6" x14ac:dyDescent="0.3">
      <c r="A40" s="265"/>
      <c r="B40" s="282" t="s">
        <v>155</v>
      </c>
      <c r="C40" s="283"/>
      <c r="D40" s="284">
        <v>0.35275909999999999</v>
      </c>
      <c r="E40" s="284"/>
      <c r="F40" s="284">
        <v>0.35265740000000001</v>
      </c>
      <c r="G40" s="284"/>
      <c r="H40" s="284">
        <v>0.35278130000000002</v>
      </c>
      <c r="I40" s="284"/>
      <c r="J40" s="284">
        <v>0.79389390000000004</v>
      </c>
      <c r="K40" s="284"/>
      <c r="L40" s="284">
        <v>0.79389310000000002</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6.5209999999999999E-3</v>
      </c>
      <c r="E42" s="290"/>
      <c r="F42" s="289">
        <v>9.7525000000000008E-3</v>
      </c>
      <c r="G42" s="290"/>
      <c r="H42" s="289">
        <v>4.9800000000000001E-3</v>
      </c>
      <c r="I42" s="290"/>
      <c r="J42" s="289">
        <v>1.7321E-2</v>
      </c>
      <c r="K42" s="290"/>
      <c r="L42" s="289">
        <v>1.5779999999999999E-2</v>
      </c>
      <c r="M42" s="290"/>
      <c r="N42" s="289"/>
      <c r="O42" s="263"/>
      <c r="P42" s="290"/>
      <c r="Q42" s="264"/>
      <c r="R42" s="5"/>
    </row>
    <row r="43" spans="1:19" ht="15.6" x14ac:dyDescent="0.3">
      <c r="A43" s="260"/>
      <c r="B43" s="261" t="s">
        <v>14</v>
      </c>
      <c r="C43" s="261"/>
      <c r="D43" s="289">
        <v>6.5360000000000001E-3</v>
      </c>
      <c r="E43" s="290"/>
      <c r="F43" s="289">
        <v>9.7963000000000008E-3</v>
      </c>
      <c r="G43" s="290"/>
      <c r="H43" s="289">
        <v>6.1900000000000002E-3</v>
      </c>
      <c r="I43" s="290"/>
      <c r="J43" s="289">
        <v>1.7336000000000001E-2</v>
      </c>
      <c r="K43" s="290"/>
      <c r="L43" s="289">
        <v>1.6990000000000002E-2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1.16425E-2</v>
      </c>
      <c r="E45" s="290"/>
      <c r="F45" s="289">
        <f>+F42</f>
        <v>9.7525000000000008E-3</v>
      </c>
      <c r="G45" s="290"/>
      <c r="H45" s="289">
        <v>1.1402499999999999E-2</v>
      </c>
      <c r="I45" s="290"/>
      <c r="J45" s="289">
        <v>2.39025E-2</v>
      </c>
      <c r="K45" s="290"/>
      <c r="L45" s="289">
        <v>2.39025E-2</v>
      </c>
      <c r="M45" s="290"/>
      <c r="N45" s="289"/>
      <c r="O45" s="263"/>
      <c r="P45" s="290">
        <f>SUMPRODUCT(D45:L45,D37:L37)/P37</f>
        <v>1.3609330235397126E-2</v>
      </c>
      <c r="Q45" s="264"/>
      <c r="R45" s="5"/>
    </row>
    <row r="46" spans="1:19" ht="15.6" x14ac:dyDescent="0.3">
      <c r="A46" s="260"/>
      <c r="B46" s="261" t="s">
        <v>283</v>
      </c>
      <c r="C46" s="261"/>
      <c r="D46" s="289">
        <v>1.16863E-2</v>
      </c>
      <c r="E46" s="290"/>
      <c r="F46" s="289">
        <f>+F43</f>
        <v>9.7963000000000008E-3</v>
      </c>
      <c r="G46" s="290"/>
      <c r="H46" s="289">
        <v>1.14463E-2</v>
      </c>
      <c r="I46" s="290"/>
      <c r="J46" s="289">
        <v>2.39463E-2</v>
      </c>
      <c r="K46" s="290"/>
      <c r="L46" s="289">
        <v>2.39463E-2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0.25062370634524567</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42052</v>
      </c>
      <c r="Q57" s="264"/>
      <c r="R57" s="5"/>
    </row>
    <row r="58" spans="1:18" ht="15.6" x14ac:dyDescent="0.3">
      <c r="A58" s="260"/>
      <c r="B58" s="261" t="s">
        <v>142</v>
      </c>
      <c r="C58" s="261"/>
      <c r="D58" s="261"/>
      <c r="E58" s="261"/>
      <c r="F58" s="297"/>
      <c r="G58" s="297"/>
      <c r="H58" s="297"/>
      <c r="I58" s="297"/>
      <c r="J58" s="297"/>
      <c r="K58" s="297"/>
      <c r="L58" s="261">
        <f>+P58-N58+1</f>
        <v>94</v>
      </c>
      <c r="M58" s="297"/>
      <c r="N58" s="298">
        <v>41866</v>
      </c>
      <c r="O58" s="299"/>
      <c r="P58" s="298">
        <v>41959</v>
      </c>
      <c r="Q58" s="264"/>
      <c r="R58" s="5"/>
    </row>
    <row r="59" spans="1:18" ht="15.6" x14ac:dyDescent="0.3">
      <c r="A59" s="260"/>
      <c r="B59" s="261" t="s">
        <v>143</v>
      </c>
      <c r="C59" s="261"/>
      <c r="D59" s="261"/>
      <c r="E59" s="261"/>
      <c r="F59" s="261"/>
      <c r="G59" s="261"/>
      <c r="H59" s="261"/>
      <c r="I59" s="261"/>
      <c r="J59" s="261"/>
      <c r="K59" s="261"/>
      <c r="L59" s="261">
        <f>+P59-N59+1</f>
        <v>92</v>
      </c>
      <c r="M59" s="261"/>
      <c r="N59" s="298">
        <v>41960</v>
      </c>
      <c r="O59" s="299"/>
      <c r="P59" s="298">
        <v>42051</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42037</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319</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357527</v>
      </c>
      <c r="I69" s="330"/>
      <c r="J69" s="330">
        <f>2897+32</f>
        <v>2929</v>
      </c>
      <c r="K69" s="330"/>
      <c r="L69" s="330">
        <v>32</v>
      </c>
      <c r="M69" s="330"/>
      <c r="N69" s="330">
        <v>0</v>
      </c>
      <c r="O69" s="330"/>
      <c r="P69" s="331">
        <f>+H69-J69+L69-N69</f>
        <v>354630</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357527</v>
      </c>
      <c r="I72" s="330"/>
      <c r="J72" s="330">
        <f>SUM(J69:J71)</f>
        <v>2929</v>
      </c>
      <c r="K72" s="330"/>
      <c r="L72" s="330">
        <f>SUM(L69:L71)</f>
        <v>32</v>
      </c>
      <c r="M72" s="330"/>
      <c r="N72" s="330">
        <f>SUM(N69:N71)</f>
        <v>0</v>
      </c>
      <c r="O72" s="330"/>
      <c r="P72" s="330">
        <f>SUM(P69:P71)</f>
        <v>354630</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357527</v>
      </c>
      <c r="I86" s="330"/>
      <c r="J86" s="330">
        <f>SUM(J72:J85)</f>
        <v>2929</v>
      </c>
      <c r="K86" s="330"/>
      <c r="L86" s="330">
        <f>SUM(L72:L85)</f>
        <v>32</v>
      </c>
      <c r="M86" s="330"/>
      <c r="N86" s="330"/>
      <c r="O86" s="330"/>
      <c r="P86" s="330">
        <f>SUM(P72:P85)</f>
        <v>354630</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42034</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2929+52</f>
        <v>2981</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2868+130-858-122</f>
        <v>2018</v>
      </c>
      <c r="Q92" s="264"/>
      <c r="R92" s="5"/>
    </row>
    <row r="93" spans="1:18" ht="15.6" x14ac:dyDescent="0.3">
      <c r="A93" s="260"/>
      <c r="B93" s="261" t="s">
        <v>249</v>
      </c>
      <c r="C93" s="261"/>
      <c r="D93" s="261"/>
      <c r="E93" s="261"/>
      <c r="F93" s="292"/>
      <c r="G93" s="332"/>
      <c r="H93" s="333"/>
      <c r="I93" s="261"/>
      <c r="J93" s="261"/>
      <c r="K93" s="261"/>
      <c r="L93" s="261"/>
      <c r="M93" s="261"/>
      <c r="N93" s="330"/>
      <c r="O93" s="261"/>
      <c r="P93" s="331">
        <f>27+1</f>
        <v>28</v>
      </c>
      <c r="Q93" s="264"/>
      <c r="R93" s="5"/>
    </row>
    <row r="94" spans="1:18" ht="15.6" x14ac:dyDescent="0.3">
      <c r="A94" s="260"/>
      <c r="B94" s="261" t="s">
        <v>250</v>
      </c>
      <c r="C94" s="261"/>
      <c r="D94" s="261"/>
      <c r="E94" s="261"/>
      <c r="F94" s="292"/>
      <c r="G94" s="332"/>
      <c r="H94" s="333"/>
      <c r="I94" s="261"/>
      <c r="J94" s="261"/>
      <c r="K94" s="261"/>
      <c r="L94" s="261"/>
      <c r="M94" s="261"/>
      <c r="N94" s="330"/>
      <c r="O94" s="261"/>
      <c r="P94" s="331">
        <v>24</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163</v>
      </c>
      <c r="Q97" s="264"/>
      <c r="R97" s="5"/>
    </row>
    <row r="98" spans="1:19" ht="15.6" x14ac:dyDescent="0.3">
      <c r="A98" s="260"/>
      <c r="B98" s="261" t="s">
        <v>35</v>
      </c>
      <c r="C98" s="261"/>
      <c r="D98" s="261"/>
      <c r="E98" s="261"/>
      <c r="F98" s="261"/>
      <c r="G98" s="261"/>
      <c r="H98" s="261"/>
      <c r="I98" s="261"/>
      <c r="J98" s="261"/>
      <c r="K98" s="261"/>
      <c r="L98" s="261"/>
      <c r="M98" s="261"/>
      <c r="N98" s="330">
        <f>SUM(N90:N97)</f>
        <v>2981</v>
      </c>
      <c r="O98" s="261"/>
      <c r="P98" s="330">
        <f>SUM(P90:P97)</f>
        <v>2233</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-320</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2981</v>
      </c>
      <c r="O102" s="261"/>
      <c r="P102" s="330">
        <f>P98+P100+P99+P101</f>
        <v>1913</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-91-53-5</f>
        <v>-149</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-262</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-191</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-342</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-222</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-210</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-52</v>
      </c>
      <c r="O115" s="261"/>
      <c r="P115" s="331">
        <v>52</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-184</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-395</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-32</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-723</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-629</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-965</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-298</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-282</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-2929</v>
      </c>
      <c r="O129" s="330"/>
      <c r="P129" s="330">
        <f>SUM(P103:P128)</f>
        <v>-1913</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JANUARY 2015</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-52</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-52</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52</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f>-P101</f>
        <v>320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354630</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354629.54852557508</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+'Oct 14'!M173</f>
        <v>88801</v>
      </c>
      <c r="N171" s="331">
        <f>+'Oct 14'!N173</f>
        <v>10230</v>
      </c>
      <c r="O171" s="261"/>
      <c r="P171" s="331">
        <f>M171+N171</f>
        <v>99031</v>
      </c>
      <c r="Q171" s="264"/>
      <c r="R171" s="5"/>
    </row>
    <row r="172" spans="1:19" ht="15.6" x14ac:dyDescent="0.3">
      <c r="A172" s="260"/>
      <c r="B172" s="261" t="s">
        <v>69</v>
      </c>
      <c r="C172" s="261"/>
      <c r="D172" s="261"/>
      <c r="E172" s="261"/>
      <c r="F172" s="261"/>
      <c r="G172" s="261"/>
      <c r="H172" s="261"/>
      <c r="I172" s="261"/>
      <c r="J172" s="261"/>
      <c r="K172" s="261"/>
      <c r="L172" s="261"/>
      <c r="M172" s="330">
        <v>32</v>
      </c>
      <c r="N172" s="330">
        <f>-N99-N122</f>
        <v>0</v>
      </c>
      <c r="O172" s="261"/>
      <c r="P172" s="331">
        <f>M172+N172</f>
        <v>32</v>
      </c>
      <c r="Q172" s="264"/>
      <c r="R172" s="5"/>
    </row>
    <row r="173" spans="1:19" ht="15.6" x14ac:dyDescent="0.3">
      <c r="A173" s="260"/>
      <c r="B173" s="261" t="s">
        <v>70</v>
      </c>
      <c r="C173" s="261"/>
      <c r="D173" s="261"/>
      <c r="E173" s="261"/>
      <c r="F173" s="261"/>
      <c r="G173" s="261"/>
      <c r="H173" s="261"/>
      <c r="I173" s="261"/>
      <c r="J173" s="261"/>
      <c r="K173" s="261"/>
      <c r="L173" s="261"/>
      <c r="M173" s="331">
        <f>M171+M172</f>
        <v>88833</v>
      </c>
      <c r="N173" s="331">
        <f>N172+N171</f>
        <v>10230</v>
      </c>
      <c r="O173" s="261"/>
      <c r="P173" s="331">
        <f>M173+N173</f>
        <v>99063</v>
      </c>
      <c r="Q173" s="264"/>
      <c r="R173" s="5"/>
    </row>
    <row r="174" spans="1:19" ht="15.6" x14ac:dyDescent="0.3">
      <c r="A174" s="260"/>
      <c r="B174" s="261" t="s">
        <v>71</v>
      </c>
      <c r="C174" s="261"/>
      <c r="D174" s="261"/>
      <c r="E174" s="261"/>
      <c r="F174" s="261"/>
      <c r="G174" s="261"/>
      <c r="H174" s="261"/>
      <c r="I174" s="261"/>
      <c r="J174" s="261"/>
      <c r="K174" s="261"/>
      <c r="L174" s="261"/>
      <c r="M174" s="331">
        <f>M170-M173-N173</f>
        <v>44937</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2.2163522012578616</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1.56</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2.238425925925926</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2.5499999999999998</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JANUARY 2015</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42034</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2.3480000000000001E-2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1.3609330235397126E-2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9.8706697646028744E-3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5.3506448464032087E-3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11.9</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8.1923882671798218E-3</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9.7500000000000003E-2</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1</v>
      </c>
      <c r="N206" s="305">
        <v>47</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39</v>
      </c>
      <c r="N207" s="353">
        <f>+N255</f>
        <v>6452</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1</v>
      </c>
      <c r="N208" s="353">
        <f>+N266</f>
        <v>11</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-52</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'Oct 14'!N213+'Jan 15'!N212</f>
        <v>5897</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2</v>
      </c>
      <c r="N219" s="353">
        <v>168</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0.55000000000000004</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3041</v>
      </c>
      <c r="M225" s="382">
        <f t="shared" ref="M225:M232" si="2">L225/$L$233</f>
        <v>0.99216965742251229</v>
      </c>
      <c r="N225" s="331">
        <f t="shared" ref="N225:N232" si="3">+N236+N247+N258</f>
        <v>353018</v>
      </c>
      <c r="O225" s="382">
        <f t="shared" ref="O225:O232" si="4">N225/$N$233</f>
        <v>0.99545441727998196</v>
      </c>
      <c r="P225" s="306"/>
      <c r="Q225" s="417"/>
      <c r="R225" s="5"/>
    </row>
    <row r="226" spans="1:18" ht="15.6" x14ac:dyDescent="0.3">
      <c r="A226" s="260"/>
      <c r="B226" s="330" t="s">
        <v>99</v>
      </c>
      <c r="C226" s="381"/>
      <c r="D226" s="261"/>
      <c r="E226" s="382"/>
      <c r="F226" s="381"/>
      <c r="G226" s="381"/>
      <c r="H226" s="381"/>
      <c r="I226" s="381"/>
      <c r="J226" s="381"/>
      <c r="K226" s="381"/>
      <c r="L226" s="330">
        <f t="shared" si="1"/>
        <v>10</v>
      </c>
      <c r="M226" s="382">
        <f t="shared" si="2"/>
        <v>3.2626427406199023E-3</v>
      </c>
      <c r="N226" s="331">
        <f t="shared" si="3"/>
        <v>554</v>
      </c>
      <c r="O226" s="382">
        <f t="shared" si="4"/>
        <v>1.5621915799565744E-3</v>
      </c>
      <c r="P226" s="354"/>
      <c r="Q226" s="373"/>
      <c r="R226" s="5"/>
    </row>
    <row r="227" spans="1:18" ht="15.6" x14ac:dyDescent="0.3">
      <c r="A227" s="260"/>
      <c r="B227" s="330" t="s">
        <v>100</v>
      </c>
      <c r="C227" s="381"/>
      <c r="D227" s="261"/>
      <c r="E227" s="382"/>
      <c r="F227" s="381"/>
      <c r="G227" s="381"/>
      <c r="H227" s="381"/>
      <c r="I227" s="381"/>
      <c r="J227" s="381"/>
      <c r="K227" s="381"/>
      <c r="L227" s="330">
        <f t="shared" si="1"/>
        <v>5</v>
      </c>
      <c r="M227" s="382">
        <f t="shared" si="2"/>
        <v>1.6313213703099511E-3</v>
      </c>
      <c r="N227" s="331">
        <f t="shared" si="3"/>
        <v>264</v>
      </c>
      <c r="O227" s="382">
        <f t="shared" si="4"/>
        <v>7.4443786481685141E-4</v>
      </c>
      <c r="P227" s="354"/>
      <c r="Q227" s="373"/>
      <c r="R227" s="5"/>
    </row>
    <row r="228" spans="1:18" ht="15.6" x14ac:dyDescent="0.3">
      <c r="A228" s="260"/>
      <c r="B228" s="330" t="s">
        <v>227</v>
      </c>
      <c r="C228" s="381"/>
      <c r="D228" s="261"/>
      <c r="E228" s="382"/>
      <c r="F228" s="381"/>
      <c r="G228" s="381"/>
      <c r="H228" s="381"/>
      <c r="I228" s="381"/>
      <c r="J228" s="381"/>
      <c r="K228" s="381"/>
      <c r="L228" s="330">
        <f t="shared" si="1"/>
        <v>1</v>
      </c>
      <c r="M228" s="382">
        <f t="shared" si="2"/>
        <v>3.2626427406199022E-4</v>
      </c>
      <c r="N228" s="331">
        <f t="shared" si="3"/>
        <v>18</v>
      </c>
      <c r="O228" s="382">
        <f t="shared" si="4"/>
        <v>5.0757127146603503E-5</v>
      </c>
      <c r="P228" s="354"/>
      <c r="Q228" s="373"/>
      <c r="R228" s="5"/>
    </row>
    <row r="229" spans="1:18" ht="15.6" x14ac:dyDescent="0.3">
      <c r="A229" s="260"/>
      <c r="B229" s="330" t="s">
        <v>228</v>
      </c>
      <c r="C229" s="381"/>
      <c r="D229" s="261"/>
      <c r="E229" s="382"/>
      <c r="F229" s="381"/>
      <c r="G229" s="381"/>
      <c r="H229" s="381"/>
      <c r="I229" s="381"/>
      <c r="J229" s="381"/>
      <c r="K229" s="381"/>
      <c r="L229" s="330">
        <f t="shared" si="1"/>
        <v>0</v>
      </c>
      <c r="M229" s="382">
        <f t="shared" si="2"/>
        <v>0</v>
      </c>
      <c r="N229" s="331">
        <f t="shared" si="3"/>
        <v>0</v>
      </c>
      <c r="O229" s="382">
        <f t="shared" si="4"/>
        <v>0</v>
      </c>
      <c r="P229" s="354"/>
      <c r="Q229" s="373"/>
      <c r="R229" s="5"/>
    </row>
    <row r="230" spans="1:18" ht="15.6" x14ac:dyDescent="0.3">
      <c r="A230" s="260"/>
      <c r="B230" s="330" t="s">
        <v>229</v>
      </c>
      <c r="C230" s="381"/>
      <c r="D230" s="261"/>
      <c r="E230" s="382"/>
      <c r="F230" s="381"/>
      <c r="G230" s="381"/>
      <c r="H230" s="381"/>
      <c r="I230" s="381"/>
      <c r="J230" s="381"/>
      <c r="K230" s="381"/>
      <c r="L230" s="330">
        <f t="shared" si="1"/>
        <v>0</v>
      </c>
      <c r="M230" s="382">
        <f t="shared" si="2"/>
        <v>0</v>
      </c>
      <c r="N230" s="331">
        <f t="shared" si="3"/>
        <v>0</v>
      </c>
      <c r="O230" s="382">
        <f t="shared" si="4"/>
        <v>0</v>
      </c>
      <c r="P230" s="354"/>
      <c r="Q230" s="373"/>
      <c r="R230" s="5"/>
    </row>
    <row r="231" spans="1:18" ht="15.6" x14ac:dyDescent="0.3">
      <c r="A231" s="260"/>
      <c r="B231" s="330" t="s">
        <v>230</v>
      </c>
      <c r="C231" s="381"/>
      <c r="D231" s="261"/>
      <c r="E231" s="382"/>
      <c r="F231" s="381"/>
      <c r="G231" s="381"/>
      <c r="H231" s="381"/>
      <c r="I231" s="381"/>
      <c r="J231" s="381"/>
      <c r="K231" s="381"/>
      <c r="L231" s="330">
        <f t="shared" si="1"/>
        <v>4</v>
      </c>
      <c r="M231" s="382">
        <f t="shared" si="2"/>
        <v>1.3050570962479609E-3</v>
      </c>
      <c r="N231" s="331">
        <f t="shared" si="3"/>
        <v>144</v>
      </c>
      <c r="O231" s="382">
        <f t="shared" si="4"/>
        <v>4.0605701717282803E-4</v>
      </c>
      <c r="P231" s="354"/>
      <c r="Q231" s="373"/>
      <c r="R231" s="5"/>
    </row>
    <row r="232" spans="1:18" ht="15.6" x14ac:dyDescent="0.3">
      <c r="A232" s="260"/>
      <c r="B232" s="330" t="s">
        <v>231</v>
      </c>
      <c r="C232" s="381"/>
      <c r="D232" s="261"/>
      <c r="E232" s="382"/>
      <c r="F232" s="381"/>
      <c r="G232" s="381"/>
      <c r="H232" s="381"/>
      <c r="I232" s="381"/>
      <c r="J232" s="381"/>
      <c r="K232" s="381"/>
      <c r="L232" s="330">
        <f t="shared" si="1"/>
        <v>4</v>
      </c>
      <c r="M232" s="382">
        <f t="shared" si="2"/>
        <v>1.3050570962479609E-3</v>
      </c>
      <c r="N232" s="331">
        <f t="shared" si="3"/>
        <v>632</v>
      </c>
      <c r="O232" s="382">
        <f t="shared" si="4"/>
        <v>1.7821391309251896E-3</v>
      </c>
      <c r="P232" s="354"/>
      <c r="Q232" s="373"/>
      <c r="R232" s="5"/>
    </row>
    <row r="233" spans="1:18" ht="15.6" x14ac:dyDescent="0.3">
      <c r="A233" s="260"/>
      <c r="B233" s="261" t="s">
        <v>129</v>
      </c>
      <c r="C233" s="261"/>
      <c r="D233" s="261"/>
      <c r="E233" s="261"/>
      <c r="F233" s="383"/>
      <c r="G233" s="383"/>
      <c r="H233" s="383"/>
      <c r="I233" s="383"/>
      <c r="J233" s="383"/>
      <c r="K233" s="383"/>
      <c r="L233" s="330">
        <f>SUM(L225:L232)</f>
        <v>3065</v>
      </c>
      <c r="M233" s="382">
        <f>SUM(M225:M232)</f>
        <v>1.0000000000000002</v>
      </c>
      <c r="N233" s="330">
        <f>SUM(N225:N232)</f>
        <v>354630</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3005</v>
      </c>
      <c r="M236" s="310">
        <f t="shared" ref="M236:M243" si="5">L236/$L$244</f>
        <v>0.99338842975206609</v>
      </c>
      <c r="N236" s="300">
        <v>347187</v>
      </c>
      <c r="O236" s="310">
        <f t="shared" ref="O236:O243" si="6">N236/$N$244</f>
        <v>0.9971852587982204</v>
      </c>
      <c r="P236" s="306"/>
      <c r="Q236" s="417"/>
      <c r="R236" s="5"/>
    </row>
    <row r="237" spans="1:18" ht="15.6" x14ac:dyDescent="0.3">
      <c r="A237" s="260"/>
      <c r="B237" s="330" t="s">
        <v>99</v>
      </c>
      <c r="C237" s="381"/>
      <c r="D237" s="261"/>
      <c r="E237" s="382"/>
      <c r="F237" s="381"/>
      <c r="G237" s="381"/>
      <c r="H237" s="381"/>
      <c r="I237" s="381"/>
      <c r="J237" s="381"/>
      <c r="K237" s="381"/>
      <c r="L237" s="330">
        <v>10</v>
      </c>
      <c r="M237" s="382">
        <f t="shared" si="5"/>
        <v>3.3057851239669421E-3</v>
      </c>
      <c r="N237" s="331">
        <v>554</v>
      </c>
      <c r="O237" s="382">
        <f t="shared" si="6"/>
        <v>1.5911904344754098E-3</v>
      </c>
      <c r="P237" s="354"/>
      <c r="Q237" s="373"/>
      <c r="R237" s="5"/>
    </row>
    <row r="238" spans="1:18" ht="15.6" x14ac:dyDescent="0.3">
      <c r="A238" s="260"/>
      <c r="B238" s="330" t="s">
        <v>100</v>
      </c>
      <c r="C238" s="381"/>
      <c r="D238" s="261"/>
      <c r="E238" s="382"/>
      <c r="F238" s="381"/>
      <c r="G238" s="381"/>
      <c r="H238" s="381"/>
      <c r="I238" s="381"/>
      <c r="J238" s="381"/>
      <c r="K238" s="381"/>
      <c r="L238" s="330">
        <v>5</v>
      </c>
      <c r="M238" s="382">
        <f t="shared" si="5"/>
        <v>1.652892561983471E-3</v>
      </c>
      <c r="N238" s="331">
        <v>264</v>
      </c>
      <c r="O238" s="382">
        <f t="shared" si="6"/>
        <v>7.5825681354062854E-4</v>
      </c>
      <c r="P238" s="354"/>
      <c r="Q238" s="373"/>
      <c r="R238" s="5"/>
    </row>
    <row r="239" spans="1:18" ht="15.6" x14ac:dyDescent="0.3">
      <c r="A239" s="260"/>
      <c r="B239" s="330" t="s">
        <v>227</v>
      </c>
      <c r="C239" s="381"/>
      <c r="D239" s="261"/>
      <c r="E239" s="382"/>
      <c r="F239" s="381"/>
      <c r="G239" s="381"/>
      <c r="H239" s="381"/>
      <c r="I239" s="381"/>
      <c r="J239" s="381"/>
      <c r="K239" s="381"/>
      <c r="L239" s="330">
        <v>1</v>
      </c>
      <c r="M239" s="382">
        <f t="shared" si="5"/>
        <v>3.3057851239669424E-4</v>
      </c>
      <c r="N239" s="331">
        <v>18</v>
      </c>
      <c r="O239" s="382">
        <f t="shared" si="6"/>
        <v>5.1699328195951943E-5</v>
      </c>
      <c r="P239" s="354"/>
      <c r="Q239" s="373"/>
      <c r="R239" s="5"/>
    </row>
    <row r="240" spans="1:18" ht="15.6" x14ac:dyDescent="0.3">
      <c r="A240" s="260"/>
      <c r="B240" s="330" t="s">
        <v>228</v>
      </c>
      <c r="C240" s="381"/>
      <c r="D240" s="261"/>
      <c r="E240" s="382"/>
      <c r="F240" s="381"/>
      <c r="G240" s="381"/>
      <c r="H240" s="381"/>
      <c r="I240" s="381"/>
      <c r="J240" s="381"/>
      <c r="K240" s="381"/>
      <c r="L240" s="330">
        <v>0</v>
      </c>
      <c r="M240" s="382">
        <f t="shared" si="5"/>
        <v>0</v>
      </c>
      <c r="N240" s="331">
        <v>0</v>
      </c>
      <c r="O240" s="382">
        <f t="shared" si="6"/>
        <v>0</v>
      </c>
      <c r="P240" s="354"/>
      <c r="Q240" s="373"/>
      <c r="R240" s="5"/>
    </row>
    <row r="241" spans="1:18" ht="15.6" x14ac:dyDescent="0.3">
      <c r="A241" s="260"/>
      <c r="B241" s="330" t="s">
        <v>229</v>
      </c>
      <c r="C241" s="381"/>
      <c r="D241" s="261"/>
      <c r="E241" s="382"/>
      <c r="F241" s="381"/>
      <c r="G241" s="381"/>
      <c r="H241" s="381"/>
      <c r="I241" s="381"/>
      <c r="J241" s="381"/>
      <c r="K241" s="381"/>
      <c r="L241" s="330">
        <v>0</v>
      </c>
      <c r="M241" s="382">
        <f t="shared" si="5"/>
        <v>0</v>
      </c>
      <c r="N241" s="331">
        <v>0</v>
      </c>
      <c r="O241" s="382">
        <f t="shared" si="6"/>
        <v>0</v>
      </c>
      <c r="P241" s="354"/>
      <c r="Q241" s="373"/>
      <c r="R241" s="5"/>
    </row>
    <row r="242" spans="1:18" ht="15.6" x14ac:dyDescent="0.3">
      <c r="A242" s="260"/>
      <c r="B242" s="330" t="s">
        <v>230</v>
      </c>
      <c r="C242" s="381"/>
      <c r="D242" s="261"/>
      <c r="E242" s="382"/>
      <c r="F242" s="381"/>
      <c r="G242" s="381"/>
      <c r="H242" s="381"/>
      <c r="I242" s="381"/>
      <c r="J242" s="381"/>
      <c r="K242" s="381"/>
      <c r="L242" s="330">
        <v>4</v>
      </c>
      <c r="M242" s="382">
        <f t="shared" si="5"/>
        <v>1.322314049586777E-3</v>
      </c>
      <c r="N242" s="331">
        <v>144</v>
      </c>
      <c r="O242" s="382">
        <f t="shared" si="6"/>
        <v>4.1359462556761554E-4</v>
      </c>
      <c r="P242" s="354"/>
      <c r="Q242" s="373"/>
      <c r="R242" s="5"/>
    </row>
    <row r="243" spans="1:18" ht="15.6" x14ac:dyDescent="0.3">
      <c r="A243" s="260"/>
      <c r="B243" s="330" t="s">
        <v>231</v>
      </c>
      <c r="C243" s="381"/>
      <c r="D243" s="261"/>
      <c r="E243" s="382"/>
      <c r="F243" s="381"/>
      <c r="G243" s="381"/>
      <c r="H243" s="381"/>
      <c r="I243" s="381"/>
      <c r="J243" s="381"/>
      <c r="K243" s="381"/>
      <c r="L243" s="330">
        <v>0</v>
      </c>
      <c r="M243" s="382">
        <f t="shared" si="5"/>
        <v>0</v>
      </c>
      <c r="N243" s="331">
        <v>0</v>
      </c>
      <c r="O243" s="382">
        <f t="shared" si="6"/>
        <v>0</v>
      </c>
      <c r="P243" s="354"/>
      <c r="Q243" s="373"/>
      <c r="R243" s="5"/>
    </row>
    <row r="244" spans="1:18" ht="15.6" x14ac:dyDescent="0.3">
      <c r="A244" s="260"/>
      <c r="B244" s="261" t="s">
        <v>129</v>
      </c>
      <c r="C244" s="261"/>
      <c r="D244" s="261"/>
      <c r="E244" s="261"/>
      <c r="F244" s="383"/>
      <c r="G244" s="383"/>
      <c r="H244" s="383"/>
      <c r="I244" s="383"/>
      <c r="J244" s="383"/>
      <c r="K244" s="383"/>
      <c r="L244" s="330">
        <f>SUM(L236:L243)</f>
        <v>3025</v>
      </c>
      <c r="M244" s="382">
        <f>SUM(M236:M243)</f>
        <v>1</v>
      </c>
      <c r="N244" s="331">
        <f>SUM(N236:N243)</f>
        <v>348167</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36</v>
      </c>
      <c r="M247" s="310">
        <f t="shared" ref="M247:M254" si="7">L247/$L$255</f>
        <v>0.92307692307692313</v>
      </c>
      <c r="N247" s="300">
        <v>5831</v>
      </c>
      <c r="O247" s="310">
        <f t="shared" ref="O247:O254" si="8">N247/$N$255</f>
        <v>0.90375077495350276</v>
      </c>
      <c r="P247" s="306"/>
      <c r="Q247" s="408"/>
      <c r="R247" s="5"/>
    </row>
    <row r="248" spans="1:18" ht="15.6" x14ac:dyDescent="0.3">
      <c r="A248" s="260"/>
      <c r="B248" s="330" t="s">
        <v>99</v>
      </c>
      <c r="C248" s="381"/>
      <c r="D248" s="261"/>
      <c r="E248" s="382"/>
      <c r="F248" s="381"/>
      <c r="G248" s="381"/>
      <c r="H248" s="381"/>
      <c r="I248" s="381"/>
      <c r="J248" s="381"/>
      <c r="K248" s="381"/>
      <c r="L248" s="330">
        <v>0</v>
      </c>
      <c r="M248" s="382">
        <f t="shared" si="7"/>
        <v>0</v>
      </c>
      <c r="N248" s="331">
        <v>0</v>
      </c>
      <c r="O248" s="382">
        <f t="shared" si="8"/>
        <v>0</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0</v>
      </c>
      <c r="M253" s="382">
        <f t="shared" si="7"/>
        <v>0</v>
      </c>
      <c r="N253" s="331">
        <v>0</v>
      </c>
      <c r="O253" s="382">
        <f t="shared" si="8"/>
        <v>0</v>
      </c>
      <c r="P253" s="354"/>
      <c r="Q253" s="264"/>
      <c r="R253" s="5"/>
    </row>
    <row r="254" spans="1:18" ht="15.6" x14ac:dyDescent="0.3">
      <c r="A254" s="260"/>
      <c r="B254" s="330" t="s">
        <v>231</v>
      </c>
      <c r="C254" s="381"/>
      <c r="D254" s="261"/>
      <c r="E254" s="382"/>
      <c r="F254" s="381"/>
      <c r="G254" s="381"/>
      <c r="H254" s="381"/>
      <c r="I254" s="381"/>
      <c r="J254" s="381"/>
      <c r="K254" s="381"/>
      <c r="L254" s="330">
        <v>3</v>
      </c>
      <c r="M254" s="382">
        <f t="shared" si="7"/>
        <v>7.6923076923076927E-2</v>
      </c>
      <c r="N254" s="331">
        <v>621</v>
      </c>
      <c r="O254" s="382">
        <f t="shared" si="8"/>
        <v>9.6249225046497217E-2</v>
      </c>
      <c r="P254" s="354"/>
      <c r="Q254" s="264"/>
      <c r="R254" s="5"/>
    </row>
    <row r="255" spans="1:18" ht="15.6" x14ac:dyDescent="0.3">
      <c r="A255" s="260"/>
      <c r="B255" s="261" t="s">
        <v>129</v>
      </c>
      <c r="C255" s="261"/>
      <c r="D255" s="261"/>
      <c r="E255" s="261"/>
      <c r="F255" s="383"/>
      <c r="G255" s="383"/>
      <c r="H255" s="383"/>
      <c r="I255" s="383"/>
      <c r="J255" s="383"/>
      <c r="K255" s="383"/>
      <c r="L255" s="330">
        <f>SUM(L247:L254)</f>
        <v>39</v>
      </c>
      <c r="M255" s="382">
        <f>SUM(M247:M254)</f>
        <v>1</v>
      </c>
      <c r="N255" s="331">
        <f>SUM(N247:N254)</f>
        <v>6452</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f>+L259/L266</f>
        <v>0</v>
      </c>
      <c r="N259" s="331">
        <v>0</v>
      </c>
      <c r="O259" s="382">
        <f>+N259/N266</f>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1</v>
      </c>
      <c r="M265" s="382">
        <f>+L265/L266</f>
        <v>1</v>
      </c>
      <c r="N265" s="331">
        <v>11</v>
      </c>
      <c r="O265" s="382">
        <f>+N265/N266</f>
        <v>1</v>
      </c>
      <c r="P265" s="261"/>
      <c r="Q265" s="264"/>
      <c r="R265" s="5"/>
    </row>
    <row r="266" spans="1:18" ht="15.6" x14ac:dyDescent="0.3">
      <c r="A266" s="260"/>
      <c r="B266" s="261" t="s">
        <v>129</v>
      </c>
      <c r="C266" s="261"/>
      <c r="D266" s="261"/>
      <c r="E266" s="261"/>
      <c r="F266" s="383"/>
      <c r="G266" s="383"/>
      <c r="H266" s="383"/>
      <c r="I266" s="383"/>
      <c r="J266" s="383"/>
      <c r="K266" s="383"/>
      <c r="L266" s="330">
        <f>SUM(L258:L265)</f>
        <v>1</v>
      </c>
      <c r="M266" s="382">
        <f>SUM(M258:M265)</f>
        <v>1</v>
      </c>
      <c r="N266" s="331">
        <f>SUM(N258:N265)</f>
        <v>11</v>
      </c>
      <c r="O266" s="382">
        <f>SUM(O258:O265)</f>
        <v>1</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3065</v>
      </c>
      <c r="M268" s="382"/>
      <c r="N268" s="386">
        <f>+N266+N255+N244</f>
        <v>354630</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418"/>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418"/>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5.6" x14ac:dyDescent="0.3">
      <c r="A277" s="225"/>
      <c r="B277" s="228"/>
      <c r="C277" s="228"/>
      <c r="D277" s="228"/>
      <c r="E277" s="314"/>
      <c r="F277" s="249"/>
      <c r="G277" s="249"/>
      <c r="H277" s="249"/>
      <c r="I277" s="249"/>
      <c r="J277" s="249"/>
      <c r="K277" s="249"/>
      <c r="L277" s="249"/>
      <c r="M277" s="249"/>
      <c r="N277" s="249"/>
      <c r="O277" s="249"/>
      <c r="P277" s="249"/>
      <c r="Q277" s="418"/>
      <c r="R277" s="5"/>
    </row>
    <row r="278" spans="1:18" ht="18" thickBot="1" x14ac:dyDescent="0.35">
      <c r="A278" s="225"/>
      <c r="B278" s="315" t="str">
        <f>B185</f>
        <v>PM7 INVESTOR REPORT QUARTER ENDING JANUARY 2015</v>
      </c>
      <c r="C278" s="228"/>
      <c r="D278" s="228"/>
      <c r="E278" s="314"/>
      <c r="F278" s="249"/>
      <c r="G278" s="249"/>
      <c r="H278" s="249"/>
      <c r="I278" s="249"/>
      <c r="J278" s="249"/>
      <c r="K278" s="249"/>
      <c r="L278" s="249"/>
      <c r="M278" s="249"/>
      <c r="N278" s="249"/>
      <c r="O278" s="249"/>
      <c r="P278" s="249"/>
      <c r="Q278" s="41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6" man="1"/>
    <brk id="133" max="16" man="1"/>
    <brk id="185" max="16" man="1"/>
    <brk id="278" max="16" man="1"/>
  </rowBreak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0.96030000000000004</v>
      </c>
      <c r="N17" s="246" t="s">
        <v>173</v>
      </c>
      <c r="O17" s="245">
        <v>3.9699999999999999E-2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42146</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316</v>
      </c>
      <c r="K27" s="392"/>
      <c r="L27" s="392" t="s">
        <v>316</v>
      </c>
      <c r="M27" s="392"/>
      <c r="N27" s="262"/>
      <c r="O27" s="263"/>
      <c r="P27" s="263"/>
      <c r="Q27" s="264"/>
      <c r="R27" s="5"/>
    </row>
    <row r="28" spans="1:19" ht="15.6" x14ac:dyDescent="0.3">
      <c r="A28" s="265"/>
      <c r="B28" s="266" t="s">
        <v>10</v>
      </c>
      <c r="C28" s="392"/>
      <c r="D28" s="392" t="s">
        <v>178</v>
      </c>
      <c r="E28" s="392"/>
      <c r="F28" s="392" t="s">
        <v>178</v>
      </c>
      <c r="G28" s="392"/>
      <c r="H28" s="392" t="s">
        <v>178</v>
      </c>
      <c r="I28" s="392"/>
      <c r="J28" s="392" t="s">
        <v>178</v>
      </c>
      <c r="K28" s="392"/>
      <c r="L28" s="392" t="s">
        <v>178</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157455.04499999998</v>
      </c>
      <c r="E34" s="271"/>
      <c r="F34" s="272">
        <f>+F33*F40</f>
        <v>76955.823999999993</v>
      </c>
      <c r="G34" s="271"/>
      <c r="H34" s="273">
        <f>+H33*H40</f>
        <v>174961</v>
      </c>
      <c r="I34" s="271"/>
      <c r="J34" s="270">
        <f>J33*J40</f>
        <v>64965.408749999995</v>
      </c>
      <c r="K34" s="271"/>
      <c r="L34" s="273">
        <f>L33*L40</f>
        <v>51184.815499999997</v>
      </c>
      <c r="M34" s="271"/>
      <c r="N34" s="271"/>
      <c r="O34" s="274"/>
      <c r="P34" s="271"/>
      <c r="Q34" s="275"/>
      <c r="R34" s="5"/>
    </row>
    <row r="35" spans="1:19" ht="15.6" x14ac:dyDescent="0.3">
      <c r="A35" s="265"/>
      <c r="B35" s="266" t="s">
        <v>158</v>
      </c>
      <c r="C35" s="276"/>
      <c r="D35" s="277">
        <f>+D33*D39</f>
        <v>155550.285</v>
      </c>
      <c r="E35" s="278"/>
      <c r="F35" s="279">
        <f>+F33*F39</f>
        <v>76024.915999999997</v>
      </c>
      <c r="G35" s="278"/>
      <c r="H35" s="280">
        <f>+H33*H39</f>
        <v>172844.45</v>
      </c>
      <c r="I35" s="278"/>
      <c r="J35" s="277">
        <f>J33*J39</f>
        <v>64179.513750000006</v>
      </c>
      <c r="K35" s="278"/>
      <c r="L35" s="280">
        <f>L33*L39</f>
        <v>50565.618999999999</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88507.613827993249</v>
      </c>
      <c r="E37" s="271"/>
      <c r="F37" s="271">
        <f>+F34</f>
        <v>76955.823999999993</v>
      </c>
      <c r="G37" s="271"/>
      <c r="H37" s="271">
        <f>+H34/1.481481</f>
        <v>118098.71338208184</v>
      </c>
      <c r="I37" s="271"/>
      <c r="J37" s="271">
        <f>J36*J40</f>
        <v>36517.646852999998</v>
      </c>
      <c r="K37" s="271"/>
      <c r="L37" s="271">
        <f>L36*L40</f>
        <v>34549.7504625</v>
      </c>
      <c r="M37" s="271"/>
      <c r="N37" s="271"/>
      <c r="O37" s="274"/>
      <c r="P37" s="271">
        <f>SUM(C37:L37)</f>
        <v>354629.54852557508</v>
      </c>
      <c r="Q37" s="275"/>
      <c r="R37" s="5"/>
      <c r="S37" s="154"/>
    </row>
    <row r="38" spans="1:19" ht="15.6" x14ac:dyDescent="0.3">
      <c r="A38" s="265"/>
      <c r="B38" s="266" t="s">
        <v>281</v>
      </c>
      <c r="C38" s="276"/>
      <c r="D38" s="278">
        <f>D35/1.779</f>
        <v>87436.922428330523</v>
      </c>
      <c r="E38" s="278"/>
      <c r="F38" s="278">
        <f>+F35</f>
        <v>76024.915999999997</v>
      </c>
      <c r="G38" s="278"/>
      <c r="H38" s="278">
        <f>H35/1.481481</f>
        <v>116670.04166776355</v>
      </c>
      <c r="I38" s="278"/>
      <c r="J38" s="278">
        <f>J36*J39</f>
        <v>36075.888128999999</v>
      </c>
      <c r="K38" s="278"/>
      <c r="L38" s="278">
        <f>L36*L39</f>
        <v>34131.792824999997</v>
      </c>
      <c r="M38" s="278"/>
      <c r="N38" s="278"/>
      <c r="O38" s="281"/>
      <c r="P38" s="278">
        <f>SUM(D38:L38)</f>
        <v>350339.56105009408</v>
      </c>
      <c r="Q38" s="275"/>
      <c r="R38" s="5"/>
      <c r="S38" s="176"/>
    </row>
    <row r="39" spans="1:19" ht="15.6" x14ac:dyDescent="0.3">
      <c r="A39" s="265"/>
      <c r="B39" s="282" t="s">
        <v>154</v>
      </c>
      <c r="C39" s="283"/>
      <c r="D39" s="284">
        <v>0.34566730000000001</v>
      </c>
      <c r="E39" s="284"/>
      <c r="F39" s="284">
        <v>0.34556779999999998</v>
      </c>
      <c r="G39" s="284"/>
      <c r="H39" s="284">
        <v>0.34568890000000002</v>
      </c>
      <c r="I39" s="284"/>
      <c r="J39" s="284">
        <v>0.77793350000000006</v>
      </c>
      <c r="K39" s="284"/>
      <c r="L39" s="284">
        <v>0.77793259999999997</v>
      </c>
      <c r="M39" s="285"/>
      <c r="N39" s="285"/>
      <c r="O39" s="286"/>
      <c r="P39" s="285"/>
      <c r="Q39" s="287"/>
      <c r="R39" s="5"/>
    </row>
    <row r="40" spans="1:19" ht="15.6" x14ac:dyDescent="0.3">
      <c r="A40" s="265"/>
      <c r="B40" s="282" t="s">
        <v>155</v>
      </c>
      <c r="C40" s="283"/>
      <c r="D40" s="284">
        <v>0.34990009999999999</v>
      </c>
      <c r="E40" s="284"/>
      <c r="F40" s="284">
        <v>0.34979919999999998</v>
      </c>
      <c r="G40" s="284"/>
      <c r="H40" s="284">
        <v>0.34992200000000001</v>
      </c>
      <c r="I40" s="284"/>
      <c r="J40" s="284">
        <v>0.78745949999999998</v>
      </c>
      <c r="K40" s="284"/>
      <c r="L40" s="284">
        <v>0.78745869999999996</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6.7710000000000001E-3</v>
      </c>
      <c r="E42" s="290"/>
      <c r="F42" s="289">
        <v>9.8150000000000008E-3</v>
      </c>
      <c r="G42" s="290"/>
      <c r="H42" s="289">
        <v>4.6800000000000001E-3</v>
      </c>
      <c r="I42" s="290"/>
      <c r="J42" s="289">
        <v>1.7571E-2</v>
      </c>
      <c r="K42" s="290"/>
      <c r="L42" s="289">
        <v>1.5480000000000001E-2</v>
      </c>
      <c r="M42" s="290"/>
      <c r="N42" s="289"/>
      <c r="O42" s="263"/>
      <c r="P42" s="290"/>
      <c r="Q42" s="264"/>
      <c r="R42" s="5"/>
    </row>
    <row r="43" spans="1:19" ht="15.6" x14ac:dyDescent="0.3">
      <c r="A43" s="260"/>
      <c r="B43" s="261" t="s">
        <v>14</v>
      </c>
      <c r="C43" s="261"/>
      <c r="D43" s="289">
        <v>6.5209999999999999E-3</v>
      </c>
      <c r="E43" s="290"/>
      <c r="F43" s="289">
        <v>9.7525000000000008E-3</v>
      </c>
      <c r="G43" s="290"/>
      <c r="H43" s="289">
        <v>4.9800000000000001E-3</v>
      </c>
      <c r="I43" s="290"/>
      <c r="J43" s="289">
        <v>1.7321E-2</v>
      </c>
      <c r="K43" s="290"/>
      <c r="L43" s="289">
        <v>1.5779999999999999E-2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1.1705E-2</v>
      </c>
      <c r="E45" s="290"/>
      <c r="F45" s="289">
        <f>+F42</f>
        <v>9.8150000000000008E-3</v>
      </c>
      <c r="G45" s="290"/>
      <c r="H45" s="289">
        <v>1.1464999999999999E-2</v>
      </c>
      <c r="I45" s="290"/>
      <c r="J45" s="289">
        <v>2.3965E-2</v>
      </c>
      <c r="K45" s="290"/>
      <c r="L45" s="289">
        <v>2.3965E-2</v>
      </c>
      <c r="M45" s="290"/>
      <c r="N45" s="289"/>
      <c r="O45" s="263"/>
      <c r="P45" s="290">
        <f>SUMPRODUCT(D45:L45,D37:L37)/P37</f>
        <v>1.3671830162394176E-2</v>
      </c>
      <c r="Q45" s="264"/>
      <c r="R45" s="5"/>
    </row>
    <row r="46" spans="1:19" ht="15.6" x14ac:dyDescent="0.3">
      <c r="A46" s="260"/>
      <c r="B46" s="261" t="s">
        <v>283</v>
      </c>
      <c r="C46" s="261"/>
      <c r="D46" s="289">
        <v>1.16425E-2</v>
      </c>
      <c r="E46" s="290"/>
      <c r="F46" s="289">
        <f>+F43</f>
        <v>9.7525000000000008E-3</v>
      </c>
      <c r="G46" s="290"/>
      <c r="H46" s="289">
        <v>1.1402499999999999E-2</v>
      </c>
      <c r="I46" s="290"/>
      <c r="J46" s="289">
        <v>2.39025E-2</v>
      </c>
      <c r="K46" s="290"/>
      <c r="L46" s="289">
        <v>2.39025E-2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0.2506236738564584</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42139</v>
      </c>
      <c r="Q57" s="264"/>
      <c r="R57" s="5"/>
    </row>
    <row r="58" spans="1:18" ht="15.6" x14ac:dyDescent="0.3">
      <c r="A58" s="260"/>
      <c r="B58" s="261" t="s">
        <v>142</v>
      </c>
      <c r="C58" s="261"/>
      <c r="D58" s="261"/>
      <c r="E58" s="261"/>
      <c r="F58" s="297"/>
      <c r="G58" s="297"/>
      <c r="H58" s="297"/>
      <c r="I58" s="297"/>
      <c r="J58" s="297"/>
      <c r="K58" s="297"/>
      <c r="L58" s="261">
        <f>+P58-N58+1</f>
        <v>92</v>
      </c>
      <c r="M58" s="297"/>
      <c r="N58" s="298">
        <v>41960</v>
      </c>
      <c r="O58" s="299"/>
      <c r="P58" s="298">
        <v>42051</v>
      </c>
      <c r="Q58" s="264"/>
      <c r="R58" s="5"/>
    </row>
    <row r="59" spans="1:18" ht="15.6" x14ac:dyDescent="0.3">
      <c r="A59" s="260"/>
      <c r="B59" s="261" t="s">
        <v>143</v>
      </c>
      <c r="C59" s="261"/>
      <c r="D59" s="261"/>
      <c r="E59" s="261"/>
      <c r="F59" s="261"/>
      <c r="G59" s="261"/>
      <c r="H59" s="261"/>
      <c r="I59" s="261"/>
      <c r="J59" s="261"/>
      <c r="K59" s="261"/>
      <c r="L59" s="261">
        <f>+P59-N59+1</f>
        <v>87</v>
      </c>
      <c r="M59" s="261"/>
      <c r="N59" s="298">
        <v>42052</v>
      </c>
      <c r="O59" s="299"/>
      <c r="P59" s="298">
        <v>42138</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42125</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320</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354630</v>
      </c>
      <c r="I69" s="330"/>
      <c r="J69" s="330">
        <f>4290+10</f>
        <v>4300</v>
      </c>
      <c r="K69" s="330"/>
      <c r="L69" s="330">
        <v>10</v>
      </c>
      <c r="M69" s="330"/>
      <c r="N69" s="330">
        <v>0</v>
      </c>
      <c r="O69" s="330"/>
      <c r="P69" s="331">
        <f>+H69-J69+L69-N69</f>
        <v>350340</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354630</v>
      </c>
      <c r="I72" s="330"/>
      <c r="J72" s="330">
        <f>SUM(J69:J71)</f>
        <v>4300</v>
      </c>
      <c r="K72" s="330"/>
      <c r="L72" s="330">
        <f>SUM(L69:L71)</f>
        <v>10</v>
      </c>
      <c r="M72" s="330"/>
      <c r="N72" s="330">
        <f>SUM(N69:N71)</f>
        <v>0</v>
      </c>
      <c r="O72" s="330"/>
      <c r="P72" s="330">
        <f>SUM(P69:P71)</f>
        <v>350340</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354630</v>
      </c>
      <c r="I86" s="330"/>
      <c r="J86" s="330">
        <f>SUM(J72:J85)</f>
        <v>4300</v>
      </c>
      <c r="K86" s="330"/>
      <c r="L86" s="330">
        <f>SUM(L72:L85)</f>
        <v>10</v>
      </c>
      <c r="M86" s="330"/>
      <c r="N86" s="330"/>
      <c r="O86" s="330"/>
      <c r="P86" s="330">
        <f>SUM(P72:P85)</f>
        <v>350340</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42124</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4300-265</f>
        <v>4035</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2441+122-516-39</f>
        <v>2008</v>
      </c>
      <c r="Q92" s="264"/>
      <c r="R92" s="5"/>
    </row>
    <row r="93" spans="1:18" ht="15.6" x14ac:dyDescent="0.3">
      <c r="A93" s="260"/>
      <c r="B93" s="261" t="s">
        <v>249</v>
      </c>
      <c r="C93" s="261"/>
      <c r="D93" s="261"/>
      <c r="E93" s="261"/>
      <c r="F93" s="292"/>
      <c r="G93" s="332"/>
      <c r="H93" s="333"/>
      <c r="I93" s="261"/>
      <c r="J93" s="261"/>
      <c r="K93" s="261"/>
      <c r="L93" s="261"/>
      <c r="M93" s="261"/>
      <c r="N93" s="330"/>
      <c r="O93" s="261"/>
      <c r="P93" s="331">
        <f>266+1</f>
        <v>267</v>
      </c>
      <c r="Q93" s="264"/>
      <c r="R93" s="5"/>
    </row>
    <row r="94" spans="1:18" ht="15.6" x14ac:dyDescent="0.3">
      <c r="A94" s="260"/>
      <c r="B94" s="261" t="s">
        <v>250</v>
      </c>
      <c r="C94" s="261"/>
      <c r="D94" s="261"/>
      <c r="E94" s="261"/>
      <c r="F94" s="292"/>
      <c r="G94" s="332"/>
      <c r="H94" s="333"/>
      <c r="I94" s="261"/>
      <c r="J94" s="261"/>
      <c r="K94" s="261"/>
      <c r="L94" s="261"/>
      <c r="M94" s="261"/>
      <c r="N94" s="330"/>
      <c r="O94" s="261"/>
      <c r="P94" s="331">
        <v>26</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157</v>
      </c>
      <c r="Q97" s="264"/>
      <c r="R97" s="5"/>
    </row>
    <row r="98" spans="1:19" ht="15.6" x14ac:dyDescent="0.3">
      <c r="A98" s="260"/>
      <c r="B98" s="261" t="s">
        <v>35</v>
      </c>
      <c r="C98" s="261"/>
      <c r="D98" s="261"/>
      <c r="E98" s="261"/>
      <c r="F98" s="261"/>
      <c r="G98" s="261"/>
      <c r="H98" s="261"/>
      <c r="I98" s="261"/>
      <c r="J98" s="261"/>
      <c r="K98" s="261"/>
      <c r="L98" s="261"/>
      <c r="M98" s="261"/>
      <c r="N98" s="330">
        <f>SUM(N90:N97)</f>
        <v>4035</v>
      </c>
      <c r="O98" s="261"/>
      <c r="P98" s="330">
        <f>SUM(P92:P97)</f>
        <v>2458</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318</v>
      </c>
      <c r="Q101" s="264"/>
      <c r="R101" s="5"/>
    </row>
    <row r="102" spans="1:19" ht="15.6" x14ac:dyDescent="0.3">
      <c r="A102" s="260"/>
      <c r="B102" s="261" t="s">
        <v>37</v>
      </c>
      <c r="C102" s="261"/>
      <c r="D102" s="261"/>
      <c r="E102" s="261"/>
      <c r="F102" s="261"/>
      <c r="G102" s="261"/>
      <c r="H102" s="261"/>
      <c r="I102" s="261"/>
      <c r="J102" s="261"/>
      <c r="K102" s="261"/>
      <c r="L102" s="261"/>
      <c r="M102" s="261"/>
      <c r="N102" s="330">
        <f>N98+N100+N99</f>
        <v>4035</v>
      </c>
      <c r="O102" s="261"/>
      <c r="P102" s="330">
        <f>P98+P100+P99+P101</f>
        <v>2776</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-87-68-5</f>
        <v>-160</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-247</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-180</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-323</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-209</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-197</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265</v>
      </c>
      <c r="O115" s="261"/>
      <c r="P115" s="331">
        <v>-265</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-177</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-1008</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-10</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-1071</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-931</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-1428</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-442</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-418</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-4300</v>
      </c>
      <c r="O129" s="330"/>
      <c r="P129" s="330">
        <f>SUM(P103:P128)</f>
        <v>-2776</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APRIL 2015</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265</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265</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-265</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350340</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350339.56105009408</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+'Jan 15'!M173</f>
        <v>88833</v>
      </c>
      <c r="N171" s="331">
        <f>+'Jan 15'!N173</f>
        <v>10230</v>
      </c>
      <c r="O171" s="261"/>
      <c r="P171" s="331">
        <f>M171+N171</f>
        <v>99063</v>
      </c>
      <c r="Q171" s="264"/>
      <c r="R171" s="5"/>
    </row>
    <row r="172" spans="1:19" ht="15.6" x14ac:dyDescent="0.3">
      <c r="A172" s="260"/>
      <c r="B172" s="261" t="s">
        <v>69</v>
      </c>
      <c r="C172" s="261"/>
      <c r="D172" s="261"/>
      <c r="E172" s="261"/>
      <c r="F172" s="261"/>
      <c r="G172" s="261"/>
      <c r="H172" s="261"/>
      <c r="I172" s="261"/>
      <c r="J172" s="261"/>
      <c r="K172" s="261"/>
      <c r="L172" s="261"/>
      <c r="M172" s="330">
        <v>10</v>
      </c>
      <c r="N172" s="330">
        <f>-N99-N122</f>
        <v>0</v>
      </c>
      <c r="O172" s="261"/>
      <c r="P172" s="331">
        <f>M172+N172</f>
        <v>10</v>
      </c>
      <c r="Q172" s="264"/>
      <c r="R172" s="5"/>
    </row>
    <row r="173" spans="1:19" ht="15.6" x14ac:dyDescent="0.3">
      <c r="A173" s="260"/>
      <c r="B173" s="261" t="s">
        <v>70</v>
      </c>
      <c r="C173" s="261"/>
      <c r="D173" s="261"/>
      <c r="E173" s="261"/>
      <c r="F173" s="261"/>
      <c r="G173" s="261"/>
      <c r="H173" s="261"/>
      <c r="I173" s="261"/>
      <c r="J173" s="261"/>
      <c r="K173" s="261"/>
      <c r="L173" s="261"/>
      <c r="M173" s="331">
        <f>M171+M172</f>
        <v>88843</v>
      </c>
      <c r="N173" s="331">
        <f>N172+N171</f>
        <v>10230</v>
      </c>
      <c r="O173" s="261"/>
      <c r="P173" s="331">
        <f>M173+N173</f>
        <v>99073</v>
      </c>
      <c r="Q173" s="264"/>
      <c r="R173" s="5"/>
    </row>
    <row r="174" spans="1:19" ht="15.6" x14ac:dyDescent="0.3">
      <c r="A174" s="260"/>
      <c r="B174" s="261" t="s">
        <v>71</v>
      </c>
      <c r="C174" s="261"/>
      <c r="D174" s="261"/>
      <c r="E174" s="261"/>
      <c r="F174" s="261"/>
      <c r="G174" s="261"/>
      <c r="H174" s="261"/>
      <c r="I174" s="261"/>
      <c r="J174" s="261"/>
      <c r="K174" s="261"/>
      <c r="L174" s="261"/>
      <c r="M174" s="331">
        <f>M170-M173-N173</f>
        <v>44927</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3.4853333333333332</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1.56</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4.5911330049261085</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2.57</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APRIL 2015</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42124</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2.351E-2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1.3671830162394176E-2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9.838169837605824E-3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7.8278769421650726E-3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11.65</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1.212531370724417E-2</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9.64E-2</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1</v>
      </c>
      <c r="N206" s="305">
        <v>47</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35</v>
      </c>
      <c r="N207" s="353">
        <f>+N255</f>
        <v>5481</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265</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'Jan 15'!N213+'April 15'!N212</f>
        <v>6162</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1</v>
      </c>
      <c r="N215" s="353">
        <v>11</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19.54</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4.93</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5</v>
      </c>
      <c r="N219" s="353">
        <v>1099</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3014</v>
      </c>
      <c r="M225" s="382">
        <f t="shared" ref="M225:M232" si="2">L225/$L$233</f>
        <v>0.99439129000329929</v>
      </c>
      <c r="N225" s="331">
        <f t="shared" ref="N225:N232" si="3">+N236+N247+N258</f>
        <v>349090</v>
      </c>
      <c r="O225" s="382">
        <f t="shared" ref="O225:O232" si="4">N225/$N$233</f>
        <v>0.99643203744933495</v>
      </c>
      <c r="P225" s="306"/>
      <c r="Q225" s="417"/>
      <c r="R225" s="5"/>
    </row>
    <row r="226" spans="1:18" ht="15.6" x14ac:dyDescent="0.3">
      <c r="A226" s="260"/>
      <c r="B226" s="330" t="s">
        <v>99</v>
      </c>
      <c r="C226" s="381"/>
      <c r="D226" s="261"/>
      <c r="E226" s="382"/>
      <c r="F226" s="381"/>
      <c r="G226" s="381"/>
      <c r="H226" s="381"/>
      <c r="I226" s="381"/>
      <c r="J226" s="381"/>
      <c r="K226" s="381"/>
      <c r="L226" s="330">
        <f t="shared" si="1"/>
        <v>6</v>
      </c>
      <c r="M226" s="382">
        <f t="shared" si="2"/>
        <v>1.9795447047179148E-3</v>
      </c>
      <c r="N226" s="331">
        <f t="shared" si="3"/>
        <v>298</v>
      </c>
      <c r="O226" s="382">
        <f t="shared" si="4"/>
        <v>8.5060227207855229E-4</v>
      </c>
      <c r="P226" s="354"/>
      <c r="Q226" s="373"/>
      <c r="R226" s="5"/>
    </row>
    <row r="227" spans="1:18" ht="15.6" x14ac:dyDescent="0.3">
      <c r="A227" s="260"/>
      <c r="B227" s="330" t="s">
        <v>100</v>
      </c>
      <c r="C227" s="381"/>
      <c r="D227" s="261"/>
      <c r="E227" s="382"/>
      <c r="F227" s="381"/>
      <c r="G227" s="381"/>
      <c r="H227" s="381"/>
      <c r="I227" s="381"/>
      <c r="J227" s="381"/>
      <c r="K227" s="381"/>
      <c r="L227" s="330">
        <f t="shared" si="1"/>
        <v>1</v>
      </c>
      <c r="M227" s="382">
        <f t="shared" si="2"/>
        <v>3.2992411745298581E-4</v>
      </c>
      <c r="N227" s="331">
        <f t="shared" si="3"/>
        <v>26</v>
      </c>
      <c r="O227" s="382">
        <f t="shared" si="4"/>
        <v>7.4213621053833417E-5</v>
      </c>
      <c r="P227" s="354"/>
      <c r="Q227" s="373"/>
      <c r="R227" s="5"/>
    </row>
    <row r="228" spans="1:18" ht="15.6" x14ac:dyDescent="0.3">
      <c r="A228" s="260"/>
      <c r="B228" s="330" t="s">
        <v>227</v>
      </c>
      <c r="C228" s="381"/>
      <c r="D228" s="261"/>
      <c r="E228" s="382"/>
      <c r="F228" s="381"/>
      <c r="G228" s="381"/>
      <c r="H228" s="381"/>
      <c r="I228" s="381"/>
      <c r="J228" s="381"/>
      <c r="K228" s="381"/>
      <c r="L228" s="330">
        <f t="shared" si="1"/>
        <v>2</v>
      </c>
      <c r="M228" s="382">
        <f t="shared" si="2"/>
        <v>6.5984823490597162E-4</v>
      </c>
      <c r="N228" s="331">
        <f t="shared" si="3"/>
        <v>29</v>
      </c>
      <c r="O228" s="382">
        <f t="shared" si="4"/>
        <v>8.2776731175429578E-5</v>
      </c>
      <c r="P228" s="354"/>
      <c r="Q228" s="373"/>
      <c r="R228" s="5"/>
    </row>
    <row r="229" spans="1:18" ht="15.6" x14ac:dyDescent="0.3">
      <c r="A229" s="260"/>
      <c r="B229" s="330" t="s">
        <v>228</v>
      </c>
      <c r="C229" s="381"/>
      <c r="D229" s="261"/>
      <c r="E229" s="382"/>
      <c r="F229" s="381"/>
      <c r="G229" s="381"/>
      <c r="H229" s="381"/>
      <c r="I229" s="381"/>
      <c r="J229" s="381"/>
      <c r="K229" s="381"/>
      <c r="L229" s="330">
        <f t="shared" si="1"/>
        <v>1</v>
      </c>
      <c r="M229" s="382">
        <f t="shared" si="2"/>
        <v>3.2992411745298581E-4</v>
      </c>
      <c r="N229" s="331">
        <f t="shared" si="3"/>
        <v>132</v>
      </c>
      <c r="O229" s="382">
        <f t="shared" si="4"/>
        <v>3.7677684535023122E-4</v>
      </c>
      <c r="P229" s="354"/>
      <c r="Q229" s="373"/>
      <c r="R229" s="5"/>
    </row>
    <row r="230" spans="1:18" ht="15.6" x14ac:dyDescent="0.3">
      <c r="A230" s="260"/>
      <c r="B230" s="330" t="s">
        <v>229</v>
      </c>
      <c r="C230" s="381"/>
      <c r="D230" s="261"/>
      <c r="E230" s="382"/>
      <c r="F230" s="381"/>
      <c r="G230" s="381"/>
      <c r="H230" s="381"/>
      <c r="I230" s="381"/>
      <c r="J230" s="381"/>
      <c r="K230" s="381"/>
      <c r="L230" s="330">
        <f t="shared" si="1"/>
        <v>1</v>
      </c>
      <c r="M230" s="382">
        <f t="shared" si="2"/>
        <v>3.2992411745298581E-4</v>
      </c>
      <c r="N230" s="331">
        <f t="shared" si="3"/>
        <v>41</v>
      </c>
      <c r="O230" s="382">
        <f t="shared" si="4"/>
        <v>1.1702917166181423E-4</v>
      </c>
      <c r="P230" s="354"/>
      <c r="Q230" s="373"/>
      <c r="R230" s="5"/>
    </row>
    <row r="231" spans="1:18" ht="15.6" x14ac:dyDescent="0.3">
      <c r="A231" s="260"/>
      <c r="B231" s="330" t="s">
        <v>230</v>
      </c>
      <c r="C231" s="381"/>
      <c r="D231" s="261"/>
      <c r="E231" s="382"/>
      <c r="F231" s="381"/>
      <c r="G231" s="381"/>
      <c r="H231" s="381"/>
      <c r="I231" s="381"/>
      <c r="J231" s="381"/>
      <c r="K231" s="381"/>
      <c r="L231" s="330">
        <f t="shared" si="1"/>
        <v>3</v>
      </c>
      <c r="M231" s="382">
        <f t="shared" si="2"/>
        <v>9.8977235235895742E-4</v>
      </c>
      <c r="N231" s="331">
        <f t="shared" si="3"/>
        <v>103</v>
      </c>
      <c r="O231" s="382">
        <f t="shared" si="4"/>
        <v>2.940001141748016E-4</v>
      </c>
      <c r="P231" s="354"/>
      <c r="Q231" s="373"/>
      <c r="R231" s="5"/>
    </row>
    <row r="232" spans="1:18" ht="15.6" x14ac:dyDescent="0.3">
      <c r="A232" s="260"/>
      <c r="B232" s="330" t="s">
        <v>231</v>
      </c>
      <c r="C232" s="381"/>
      <c r="D232" s="261"/>
      <c r="E232" s="382"/>
      <c r="F232" s="381"/>
      <c r="G232" s="381"/>
      <c r="H232" s="381"/>
      <c r="I232" s="381"/>
      <c r="J232" s="381"/>
      <c r="K232" s="381"/>
      <c r="L232" s="330">
        <f t="shared" si="1"/>
        <v>3</v>
      </c>
      <c r="M232" s="382">
        <f t="shared" si="2"/>
        <v>9.8977235235895742E-4</v>
      </c>
      <c r="N232" s="331">
        <f t="shared" si="3"/>
        <v>621</v>
      </c>
      <c r="O232" s="382">
        <f t="shared" si="4"/>
        <v>1.7725637951704059E-3</v>
      </c>
      <c r="P232" s="354"/>
      <c r="Q232" s="373"/>
      <c r="R232" s="5"/>
    </row>
    <row r="233" spans="1:18" ht="15.6" x14ac:dyDescent="0.3">
      <c r="A233" s="260"/>
      <c r="B233" s="261" t="s">
        <v>129</v>
      </c>
      <c r="C233" s="261"/>
      <c r="D233" s="261"/>
      <c r="E233" s="261"/>
      <c r="F233" s="383"/>
      <c r="G233" s="383"/>
      <c r="H233" s="383"/>
      <c r="I233" s="383"/>
      <c r="J233" s="383"/>
      <c r="K233" s="383"/>
      <c r="L233" s="330">
        <f>SUM(L225:L232)</f>
        <v>3031</v>
      </c>
      <c r="M233" s="382">
        <f>SUM(M225:M232)</f>
        <v>1.0000000000000002</v>
      </c>
      <c r="N233" s="330">
        <f>SUM(N225:N232)</f>
        <v>350340</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2983</v>
      </c>
      <c r="M236" s="310">
        <f t="shared" ref="M236:M243" si="5">L236/$L$244</f>
        <v>0.99566088117489981</v>
      </c>
      <c r="N236" s="300">
        <v>344362</v>
      </c>
      <c r="O236" s="310">
        <f t="shared" ref="O236:O243" si="6">N236/$N$244</f>
        <v>0.99855883129046941</v>
      </c>
      <c r="P236" s="306"/>
      <c r="Q236" s="417"/>
      <c r="R236" s="5"/>
    </row>
    <row r="237" spans="1:18" ht="15.6" x14ac:dyDescent="0.3">
      <c r="A237" s="260"/>
      <c r="B237" s="330" t="s">
        <v>99</v>
      </c>
      <c r="C237" s="381"/>
      <c r="D237" s="261"/>
      <c r="E237" s="382"/>
      <c r="F237" s="381"/>
      <c r="G237" s="381"/>
      <c r="H237" s="381"/>
      <c r="I237" s="381"/>
      <c r="J237" s="381"/>
      <c r="K237" s="381"/>
      <c r="L237" s="330">
        <v>6</v>
      </c>
      <c r="M237" s="382">
        <f t="shared" si="5"/>
        <v>2.0026702269692926E-3</v>
      </c>
      <c r="N237" s="331">
        <v>298</v>
      </c>
      <c r="O237" s="382">
        <f t="shared" si="6"/>
        <v>8.64121278551524E-4</v>
      </c>
      <c r="P237" s="354"/>
      <c r="Q237" s="373"/>
      <c r="R237" s="5"/>
    </row>
    <row r="238" spans="1:18" ht="15.6" x14ac:dyDescent="0.3">
      <c r="A238" s="260"/>
      <c r="B238" s="330" t="s">
        <v>100</v>
      </c>
      <c r="C238" s="381"/>
      <c r="D238" s="261"/>
      <c r="E238" s="382"/>
      <c r="F238" s="381"/>
      <c r="G238" s="381"/>
      <c r="H238" s="381"/>
      <c r="I238" s="381"/>
      <c r="J238" s="381"/>
      <c r="K238" s="381"/>
      <c r="L238" s="330">
        <v>1</v>
      </c>
      <c r="M238" s="382">
        <f t="shared" si="5"/>
        <v>3.3377837116154872E-4</v>
      </c>
      <c r="N238" s="331">
        <v>26</v>
      </c>
      <c r="O238" s="382">
        <f t="shared" si="6"/>
        <v>7.5393131685703426E-5</v>
      </c>
      <c r="P238" s="354"/>
      <c r="Q238" s="373"/>
      <c r="R238" s="5"/>
    </row>
    <row r="239" spans="1:18" ht="15.6" x14ac:dyDescent="0.3">
      <c r="A239" s="260"/>
      <c r="B239" s="330" t="s">
        <v>227</v>
      </c>
      <c r="C239" s="381"/>
      <c r="D239" s="261"/>
      <c r="E239" s="382"/>
      <c r="F239" s="381"/>
      <c r="G239" s="381"/>
      <c r="H239" s="381"/>
      <c r="I239" s="381"/>
      <c r="J239" s="381"/>
      <c r="K239" s="381"/>
      <c r="L239" s="330">
        <v>2</v>
      </c>
      <c r="M239" s="382">
        <f t="shared" si="5"/>
        <v>6.6755674232309744E-4</v>
      </c>
      <c r="N239" s="331">
        <v>29</v>
      </c>
      <c r="O239" s="382">
        <f t="shared" si="6"/>
        <v>8.4092339187899983E-5</v>
      </c>
      <c r="P239" s="354"/>
      <c r="Q239" s="373"/>
      <c r="R239" s="5"/>
    </row>
    <row r="240" spans="1:18" ht="15.6" x14ac:dyDescent="0.3">
      <c r="A240" s="260"/>
      <c r="B240" s="330" t="s">
        <v>228</v>
      </c>
      <c r="C240" s="381"/>
      <c r="D240" s="261"/>
      <c r="E240" s="382"/>
      <c r="F240" s="381"/>
      <c r="G240" s="381"/>
      <c r="H240" s="381"/>
      <c r="I240" s="381"/>
      <c r="J240" s="381"/>
      <c r="K240" s="381"/>
      <c r="L240" s="330">
        <v>0</v>
      </c>
      <c r="M240" s="382">
        <f t="shared" si="5"/>
        <v>0</v>
      </c>
      <c r="N240" s="331">
        <v>0</v>
      </c>
      <c r="O240" s="382">
        <f t="shared" si="6"/>
        <v>0</v>
      </c>
      <c r="P240" s="354"/>
      <c r="Q240" s="373"/>
      <c r="R240" s="5"/>
    </row>
    <row r="241" spans="1:18" ht="15.6" x14ac:dyDescent="0.3">
      <c r="A241" s="260"/>
      <c r="B241" s="330" t="s">
        <v>229</v>
      </c>
      <c r="C241" s="381"/>
      <c r="D241" s="261"/>
      <c r="E241" s="382"/>
      <c r="F241" s="381"/>
      <c r="G241" s="381"/>
      <c r="H241" s="381"/>
      <c r="I241" s="381"/>
      <c r="J241" s="381"/>
      <c r="K241" s="381"/>
      <c r="L241" s="330">
        <v>1</v>
      </c>
      <c r="M241" s="382">
        <f t="shared" si="5"/>
        <v>3.3377837116154872E-4</v>
      </c>
      <c r="N241" s="331">
        <v>41</v>
      </c>
      <c r="O241" s="382">
        <f t="shared" si="6"/>
        <v>1.1888916919668618E-4</v>
      </c>
      <c r="P241" s="354"/>
      <c r="Q241" s="373"/>
      <c r="R241" s="5"/>
    </row>
    <row r="242" spans="1:18" ht="15.6" x14ac:dyDescent="0.3">
      <c r="A242" s="260"/>
      <c r="B242" s="330" t="s">
        <v>230</v>
      </c>
      <c r="C242" s="381"/>
      <c r="D242" s="261"/>
      <c r="E242" s="382"/>
      <c r="F242" s="381"/>
      <c r="G242" s="381"/>
      <c r="H242" s="381"/>
      <c r="I242" s="381"/>
      <c r="J242" s="381"/>
      <c r="K242" s="381"/>
      <c r="L242" s="330">
        <v>3</v>
      </c>
      <c r="M242" s="382">
        <f t="shared" si="5"/>
        <v>1.0013351134846463E-3</v>
      </c>
      <c r="N242" s="331">
        <v>103</v>
      </c>
      <c r="O242" s="382">
        <f t="shared" si="6"/>
        <v>2.9867279090874821E-4</v>
      </c>
      <c r="P242" s="354"/>
      <c r="Q242" s="373"/>
      <c r="R242" s="5"/>
    </row>
    <row r="243" spans="1:18" ht="15.6" x14ac:dyDescent="0.3">
      <c r="A243" s="260"/>
      <c r="B243" s="330" t="s">
        <v>231</v>
      </c>
      <c r="C243" s="381"/>
      <c r="D243" s="261"/>
      <c r="E243" s="382"/>
      <c r="F243" s="381"/>
      <c r="G243" s="381"/>
      <c r="H243" s="381"/>
      <c r="I243" s="381"/>
      <c r="J243" s="381"/>
      <c r="K243" s="381"/>
      <c r="L243" s="330">
        <v>0</v>
      </c>
      <c r="M243" s="382">
        <f t="shared" si="5"/>
        <v>0</v>
      </c>
      <c r="N243" s="331">
        <v>0</v>
      </c>
      <c r="O243" s="382">
        <f t="shared" si="6"/>
        <v>0</v>
      </c>
      <c r="P243" s="354"/>
      <c r="Q243" s="373"/>
      <c r="R243" s="5"/>
    </row>
    <row r="244" spans="1:18" ht="15.6" x14ac:dyDescent="0.3">
      <c r="A244" s="260"/>
      <c r="B244" s="261" t="s">
        <v>129</v>
      </c>
      <c r="C244" s="261"/>
      <c r="D244" s="261"/>
      <c r="E244" s="261"/>
      <c r="F244" s="383"/>
      <c r="G244" s="383"/>
      <c r="H244" s="383"/>
      <c r="I244" s="383"/>
      <c r="J244" s="383"/>
      <c r="K244" s="383"/>
      <c r="L244" s="330">
        <f>SUM(L236:L243)</f>
        <v>2996</v>
      </c>
      <c r="M244" s="382">
        <f>SUM(M236:M243)</f>
        <v>1</v>
      </c>
      <c r="N244" s="331">
        <f>SUM(N236:N243)</f>
        <v>344859</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31</v>
      </c>
      <c r="M247" s="310">
        <f t="shared" ref="M247:M254" si="7">L247/$L$255</f>
        <v>0.88571428571428568</v>
      </c>
      <c r="N247" s="300">
        <v>4728</v>
      </c>
      <c r="O247" s="310">
        <f t="shared" ref="O247:O254" si="8">N247/$N$255</f>
        <v>0.86261631089217294</v>
      </c>
      <c r="P247" s="306"/>
      <c r="Q247" s="408"/>
      <c r="R247" s="5"/>
    </row>
    <row r="248" spans="1:18" ht="15.6" x14ac:dyDescent="0.3">
      <c r="A248" s="260"/>
      <c r="B248" s="330" t="s">
        <v>99</v>
      </c>
      <c r="C248" s="381"/>
      <c r="D248" s="261"/>
      <c r="E248" s="382"/>
      <c r="F248" s="381"/>
      <c r="G248" s="381"/>
      <c r="H248" s="381"/>
      <c r="I248" s="381"/>
      <c r="J248" s="381"/>
      <c r="K248" s="381"/>
      <c r="L248" s="330">
        <v>0</v>
      </c>
      <c r="M248" s="382">
        <f t="shared" si="7"/>
        <v>0</v>
      </c>
      <c r="N248" s="331">
        <v>0</v>
      </c>
      <c r="O248" s="382">
        <f t="shared" si="8"/>
        <v>0</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228</v>
      </c>
      <c r="C251" s="381"/>
      <c r="D251" s="261"/>
      <c r="E251" s="382"/>
      <c r="F251" s="381"/>
      <c r="G251" s="381"/>
      <c r="H251" s="381"/>
      <c r="I251" s="381"/>
      <c r="J251" s="381"/>
      <c r="K251" s="381"/>
      <c r="L251" s="330">
        <v>1</v>
      </c>
      <c r="M251" s="382">
        <f t="shared" si="7"/>
        <v>2.8571428571428571E-2</v>
      </c>
      <c r="N251" s="331">
        <v>132</v>
      </c>
      <c r="O251" s="382">
        <f t="shared" si="8"/>
        <v>2.40831964969896E-2</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0</v>
      </c>
      <c r="M253" s="382">
        <f t="shared" si="7"/>
        <v>0</v>
      </c>
      <c r="N253" s="331">
        <v>0</v>
      </c>
      <c r="O253" s="382">
        <f t="shared" si="8"/>
        <v>0</v>
      </c>
      <c r="P253" s="354"/>
      <c r="Q253" s="264"/>
      <c r="R253" s="5"/>
    </row>
    <row r="254" spans="1:18" ht="15.6" x14ac:dyDescent="0.3">
      <c r="A254" s="260"/>
      <c r="B254" s="330" t="s">
        <v>231</v>
      </c>
      <c r="C254" s="381"/>
      <c r="D254" s="261"/>
      <c r="E254" s="382"/>
      <c r="F254" s="381"/>
      <c r="G254" s="381"/>
      <c r="H254" s="381"/>
      <c r="I254" s="381"/>
      <c r="J254" s="381"/>
      <c r="K254" s="381"/>
      <c r="L254" s="330">
        <v>3</v>
      </c>
      <c r="M254" s="382">
        <f t="shared" si="7"/>
        <v>8.5714285714285715E-2</v>
      </c>
      <c r="N254" s="331">
        <v>621</v>
      </c>
      <c r="O254" s="382">
        <f t="shared" si="8"/>
        <v>0.11330049261083744</v>
      </c>
      <c r="P254" s="354"/>
      <c r="Q254" s="264"/>
      <c r="R254" s="5"/>
    </row>
    <row r="255" spans="1:18" ht="15.6" x14ac:dyDescent="0.3">
      <c r="A255" s="260"/>
      <c r="B255" s="261" t="s">
        <v>129</v>
      </c>
      <c r="C255" s="261"/>
      <c r="D255" s="261"/>
      <c r="E255" s="261"/>
      <c r="F255" s="383"/>
      <c r="G255" s="383"/>
      <c r="H255" s="383"/>
      <c r="I255" s="383"/>
      <c r="J255" s="383"/>
      <c r="K255" s="383"/>
      <c r="L255" s="330">
        <f>SUM(L247:L254)</f>
        <v>35</v>
      </c>
      <c r="M255" s="382">
        <f>SUM(M247:M254)</f>
        <v>1</v>
      </c>
      <c r="N255" s="331">
        <f>SUM(N247:N254)</f>
        <v>5481</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f>SUM(M258:M265)</f>
        <v>0</v>
      </c>
      <c r="N266" s="331">
        <f>SUM(N258:N265)</f>
        <v>0</v>
      </c>
      <c r="O266" s="382">
        <f>SUM(O258:O265)</f>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3031</v>
      </c>
      <c r="M268" s="382"/>
      <c r="N268" s="386">
        <f>+N266+N255+N244</f>
        <v>350340</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418"/>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418"/>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5.6" x14ac:dyDescent="0.3">
      <c r="A277" s="225"/>
      <c r="B277" s="228"/>
      <c r="C277" s="228"/>
      <c r="D277" s="228"/>
      <c r="E277" s="314"/>
      <c r="F277" s="249"/>
      <c r="G277" s="249"/>
      <c r="H277" s="249"/>
      <c r="I277" s="249"/>
      <c r="J277" s="249"/>
      <c r="K277" s="249"/>
      <c r="L277" s="249"/>
      <c r="M277" s="249"/>
      <c r="N277" s="249"/>
      <c r="O277" s="249"/>
      <c r="P277" s="249"/>
      <c r="Q277" s="418"/>
      <c r="R277" s="5"/>
    </row>
    <row r="278" spans="1:18" ht="18" thickBot="1" x14ac:dyDescent="0.35">
      <c r="A278" s="225"/>
      <c r="B278" s="315" t="str">
        <f>B185</f>
        <v>PM7 INVESTOR REPORT QUARTER ENDING APRIL 2015</v>
      </c>
      <c r="C278" s="228"/>
      <c r="D278" s="228"/>
      <c r="E278" s="314"/>
      <c r="F278" s="249"/>
      <c r="G278" s="249"/>
      <c r="H278" s="249"/>
      <c r="I278" s="249"/>
      <c r="J278" s="249"/>
      <c r="K278" s="249"/>
      <c r="L278" s="249"/>
      <c r="M278" s="249"/>
      <c r="N278" s="249"/>
      <c r="O278" s="249"/>
      <c r="P278" s="249"/>
      <c r="Q278" s="41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6" man="1"/>
    <brk id="133" max="16" man="1"/>
    <brk id="185" max="16" man="1"/>
    <brk id="278" max="16" man="1"/>
  </row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0.96040000000000003</v>
      </c>
      <c r="N17" s="246" t="s">
        <v>173</v>
      </c>
      <c r="O17" s="245">
        <v>3.9600000000000003E-2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42236</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323</v>
      </c>
      <c r="K27" s="392"/>
      <c r="L27" s="392" t="s">
        <v>323</v>
      </c>
      <c r="M27" s="392"/>
      <c r="N27" s="262"/>
      <c r="O27" s="263"/>
      <c r="P27" s="263"/>
      <c r="Q27" s="264"/>
      <c r="R27" s="5"/>
    </row>
    <row r="28" spans="1:19" ht="15.6" x14ac:dyDescent="0.3">
      <c r="A28" s="265"/>
      <c r="B28" s="266" t="s">
        <v>10</v>
      </c>
      <c r="C28" s="392"/>
      <c r="D28" s="392" t="s">
        <v>322</v>
      </c>
      <c r="E28" s="392"/>
      <c r="F28" s="392" t="s">
        <v>322</v>
      </c>
      <c r="G28" s="392"/>
      <c r="H28" s="392" t="s">
        <v>322</v>
      </c>
      <c r="I28" s="392"/>
      <c r="J28" s="392" t="s">
        <v>322</v>
      </c>
      <c r="K28" s="392"/>
      <c r="L28" s="392" t="s">
        <v>322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155550.285</v>
      </c>
      <c r="E34" s="271"/>
      <c r="F34" s="272">
        <f>+F33*F40</f>
        <v>76024.915999999997</v>
      </c>
      <c r="G34" s="271"/>
      <c r="H34" s="273">
        <f>+H33*H40</f>
        <v>172844.45</v>
      </c>
      <c r="I34" s="271"/>
      <c r="J34" s="270">
        <f>J33*J40</f>
        <v>64179.513750000006</v>
      </c>
      <c r="K34" s="271"/>
      <c r="L34" s="273">
        <f>L33*L40</f>
        <v>50565.618999999999</v>
      </c>
      <c r="M34" s="271"/>
      <c r="N34" s="271"/>
      <c r="O34" s="274"/>
      <c r="P34" s="271"/>
      <c r="Q34" s="275"/>
      <c r="R34" s="5"/>
    </row>
    <row r="35" spans="1:19" ht="15.6" x14ac:dyDescent="0.3">
      <c r="A35" s="265"/>
      <c r="B35" s="266" t="s">
        <v>158</v>
      </c>
      <c r="C35" s="276"/>
      <c r="D35" s="277">
        <f>+D33*D39</f>
        <v>153826.11000000002</v>
      </c>
      <c r="E35" s="278"/>
      <c r="F35" s="279">
        <f>+F33*F39</f>
        <v>75182.228000000003</v>
      </c>
      <c r="G35" s="278"/>
      <c r="H35" s="280">
        <f>+H33*H39</f>
        <v>170928.55000000002</v>
      </c>
      <c r="I35" s="278"/>
      <c r="J35" s="277">
        <f>J33*J39</f>
        <v>63468.116249999999</v>
      </c>
      <c r="K35" s="278"/>
      <c r="L35" s="280">
        <f>L33*L39</f>
        <v>50005.1175</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87436.922428330523</v>
      </c>
      <c r="E37" s="271"/>
      <c r="F37" s="271">
        <f>+F34</f>
        <v>76024.915999999997</v>
      </c>
      <c r="G37" s="271"/>
      <c r="H37" s="271">
        <f>+H34/1.481481</f>
        <v>116670.04166776355</v>
      </c>
      <c r="I37" s="271"/>
      <c r="J37" s="271">
        <f>J36*J40</f>
        <v>36075.888128999999</v>
      </c>
      <c r="K37" s="271"/>
      <c r="L37" s="271">
        <f>L36*L40</f>
        <v>34131.792824999997</v>
      </c>
      <c r="M37" s="271"/>
      <c r="N37" s="271"/>
      <c r="O37" s="274"/>
      <c r="P37" s="271">
        <f>SUM(C37:L37)</f>
        <v>350339.56105009408</v>
      </c>
      <c r="Q37" s="275"/>
      <c r="R37" s="5"/>
      <c r="S37" s="154"/>
    </row>
    <row r="38" spans="1:19" ht="15.6" x14ac:dyDescent="0.3">
      <c r="A38" s="265"/>
      <c r="B38" s="266" t="s">
        <v>281</v>
      </c>
      <c r="C38" s="276"/>
      <c r="D38" s="278">
        <f>D35/1.779</f>
        <v>86467.74030354133</v>
      </c>
      <c r="E38" s="278"/>
      <c r="F38" s="278">
        <f>+F35</f>
        <v>75182.228000000003</v>
      </c>
      <c r="G38" s="278"/>
      <c r="H38" s="278">
        <f>H35/1.481481</f>
        <v>115376.80874746286</v>
      </c>
      <c r="I38" s="278"/>
      <c r="J38" s="278">
        <f>J36*J39</f>
        <v>35676.005127000004</v>
      </c>
      <c r="K38" s="278"/>
      <c r="L38" s="278">
        <f>L36*L39</f>
        <v>33753.454312499998</v>
      </c>
      <c r="M38" s="278"/>
      <c r="N38" s="278"/>
      <c r="O38" s="281"/>
      <c r="P38" s="278">
        <f>SUM(D38:L38)</f>
        <v>346456.23649050418</v>
      </c>
      <c r="Q38" s="275"/>
      <c r="R38" s="5"/>
      <c r="S38" s="176"/>
    </row>
    <row r="39" spans="1:19" ht="15.6" x14ac:dyDescent="0.3">
      <c r="A39" s="265"/>
      <c r="B39" s="282" t="s">
        <v>154</v>
      </c>
      <c r="C39" s="283"/>
      <c r="D39" s="284">
        <v>0.34183580000000002</v>
      </c>
      <c r="E39" s="284"/>
      <c r="F39" s="284">
        <v>0.34173740000000002</v>
      </c>
      <c r="G39" s="284"/>
      <c r="H39" s="284">
        <v>0.34185710000000002</v>
      </c>
      <c r="I39" s="284"/>
      <c r="J39" s="284">
        <v>0.76931050000000001</v>
      </c>
      <c r="K39" s="284"/>
      <c r="L39" s="284">
        <v>0.76930949999999998</v>
      </c>
      <c r="M39" s="285"/>
      <c r="N39" s="285"/>
      <c r="O39" s="286"/>
      <c r="P39" s="285"/>
      <c r="Q39" s="287"/>
      <c r="R39" s="5"/>
    </row>
    <row r="40" spans="1:19" ht="15.6" x14ac:dyDescent="0.3">
      <c r="A40" s="265"/>
      <c r="B40" s="282" t="s">
        <v>155</v>
      </c>
      <c r="C40" s="283"/>
      <c r="D40" s="284">
        <v>0.34566730000000001</v>
      </c>
      <c r="E40" s="284"/>
      <c r="F40" s="284">
        <v>0.34556779999999998</v>
      </c>
      <c r="G40" s="284"/>
      <c r="H40" s="284">
        <v>0.34568890000000002</v>
      </c>
      <c r="I40" s="284"/>
      <c r="J40" s="284">
        <v>0.77793350000000006</v>
      </c>
      <c r="K40" s="284"/>
      <c r="L40" s="284">
        <v>0.77793259999999997</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6.9389999999999999E-3</v>
      </c>
      <c r="E42" s="290"/>
      <c r="F42" s="289">
        <v>9.8688000000000005E-3</v>
      </c>
      <c r="G42" s="290"/>
      <c r="H42" s="289">
        <v>4.1099999999999999E-3</v>
      </c>
      <c r="I42" s="290"/>
      <c r="J42" s="289">
        <v>1.7739000000000001E-2</v>
      </c>
      <c r="K42" s="290"/>
      <c r="L42" s="289">
        <v>1.491E-2</v>
      </c>
      <c r="M42" s="290"/>
      <c r="N42" s="289"/>
      <c r="O42" s="263"/>
      <c r="P42" s="290"/>
      <c r="Q42" s="264"/>
      <c r="R42" s="5"/>
    </row>
    <row r="43" spans="1:19" ht="15.6" x14ac:dyDescent="0.3">
      <c r="A43" s="260"/>
      <c r="B43" s="261" t="s">
        <v>14</v>
      </c>
      <c r="C43" s="261"/>
      <c r="D43" s="289">
        <v>6.7710000000000001E-3</v>
      </c>
      <c r="E43" s="290"/>
      <c r="F43" s="289">
        <v>9.8150000000000008E-3</v>
      </c>
      <c r="G43" s="290"/>
      <c r="H43" s="289">
        <v>4.6800000000000001E-3</v>
      </c>
      <c r="I43" s="290"/>
      <c r="J43" s="289">
        <v>1.7571E-2</v>
      </c>
      <c r="K43" s="290"/>
      <c r="L43" s="289">
        <v>1.5480000000000001E-2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1.17588E-2</v>
      </c>
      <c r="E45" s="290"/>
      <c r="F45" s="289">
        <f>+F42</f>
        <v>9.8688000000000005E-3</v>
      </c>
      <c r="G45" s="290"/>
      <c r="H45" s="289">
        <v>1.1518799999999999E-2</v>
      </c>
      <c r="I45" s="290"/>
      <c r="J45" s="289">
        <v>2.40188E-2</v>
      </c>
      <c r="K45" s="290"/>
      <c r="L45" s="289">
        <v>2.40188E-2</v>
      </c>
      <c r="M45" s="290"/>
      <c r="N45" s="289"/>
      <c r="O45" s="263"/>
      <c r="P45" s="290">
        <f>SUMPRODUCT(D45:L45,D37:L37)/P37</f>
        <v>1.3725629738526873E-2</v>
      </c>
      <c r="Q45" s="264"/>
      <c r="R45" s="5"/>
    </row>
    <row r="46" spans="1:19" ht="15.6" x14ac:dyDescent="0.3">
      <c r="A46" s="260"/>
      <c r="B46" s="261" t="s">
        <v>283</v>
      </c>
      <c r="C46" s="261"/>
      <c r="D46" s="289">
        <v>1.1705E-2</v>
      </c>
      <c r="E46" s="290"/>
      <c r="F46" s="289">
        <f>+F43</f>
        <v>9.8150000000000008E-3</v>
      </c>
      <c r="G46" s="290"/>
      <c r="H46" s="289">
        <v>1.1464999999999999E-2</v>
      </c>
      <c r="I46" s="290"/>
      <c r="J46" s="289">
        <v>2.3965E-2</v>
      </c>
      <c r="K46" s="290"/>
      <c r="L46" s="289">
        <v>2.3965E-2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0.25062364071295951</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42233</v>
      </c>
      <c r="Q57" s="264"/>
      <c r="R57" s="5"/>
    </row>
    <row r="58" spans="1:18" ht="15.6" x14ac:dyDescent="0.3">
      <c r="A58" s="260"/>
      <c r="B58" s="261" t="s">
        <v>142</v>
      </c>
      <c r="C58" s="261"/>
      <c r="D58" s="261"/>
      <c r="E58" s="261"/>
      <c r="F58" s="297"/>
      <c r="G58" s="297"/>
      <c r="H58" s="297"/>
      <c r="I58" s="297"/>
      <c r="J58" s="297"/>
      <c r="K58" s="297"/>
      <c r="L58" s="261">
        <f>+P58-N58+1</f>
        <v>87</v>
      </c>
      <c r="M58" s="297"/>
      <c r="N58" s="298">
        <v>42052</v>
      </c>
      <c r="O58" s="299"/>
      <c r="P58" s="298">
        <v>42138</v>
      </c>
      <c r="Q58" s="264"/>
      <c r="R58" s="5"/>
    </row>
    <row r="59" spans="1:18" ht="15.6" x14ac:dyDescent="0.3">
      <c r="A59" s="260"/>
      <c r="B59" s="261" t="s">
        <v>143</v>
      </c>
      <c r="C59" s="261"/>
      <c r="D59" s="261"/>
      <c r="E59" s="261"/>
      <c r="F59" s="261"/>
      <c r="G59" s="261"/>
      <c r="H59" s="261"/>
      <c r="I59" s="261"/>
      <c r="J59" s="261"/>
      <c r="K59" s="261"/>
      <c r="L59" s="261">
        <f>+P59-N59+1</f>
        <v>94</v>
      </c>
      <c r="M59" s="261"/>
      <c r="N59" s="298">
        <v>42139</v>
      </c>
      <c r="O59" s="299"/>
      <c r="P59" s="298">
        <v>42232</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42219</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321</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350340</v>
      </c>
      <c r="I69" s="330"/>
      <c r="J69" s="330">
        <f>3884+293</f>
        <v>4177</v>
      </c>
      <c r="K69" s="330"/>
      <c r="L69" s="330">
        <v>293</v>
      </c>
      <c r="M69" s="330"/>
      <c r="N69" s="330">
        <v>0</v>
      </c>
      <c r="O69" s="330"/>
      <c r="P69" s="331">
        <f>+H69-J69+L69-N69</f>
        <v>346456</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350340</v>
      </c>
      <c r="I72" s="330"/>
      <c r="J72" s="330">
        <f>SUM(J69:J71)</f>
        <v>4177</v>
      </c>
      <c r="K72" s="330"/>
      <c r="L72" s="330">
        <f>SUM(L69:L71)</f>
        <v>293</v>
      </c>
      <c r="M72" s="330"/>
      <c r="N72" s="330">
        <f>SUM(N69:N71)</f>
        <v>0</v>
      </c>
      <c r="O72" s="330"/>
      <c r="P72" s="330">
        <f>SUM(P69:P71)</f>
        <v>346456</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350340</v>
      </c>
      <c r="I86" s="330"/>
      <c r="J86" s="330">
        <f>SUM(J72:J85)</f>
        <v>4177</v>
      </c>
      <c r="K86" s="330"/>
      <c r="L86" s="330">
        <f>SUM(L72:L85)</f>
        <v>293</v>
      </c>
      <c r="M86" s="330"/>
      <c r="N86" s="330"/>
      <c r="O86" s="330"/>
      <c r="P86" s="330">
        <f>SUM(P72:P85)</f>
        <v>346456</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42216</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4177-56</f>
        <v>4121</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2667+121-695-40</f>
        <v>2053</v>
      </c>
      <c r="Q92" s="264"/>
      <c r="R92" s="5"/>
    </row>
    <row r="93" spans="1:18" ht="15.6" x14ac:dyDescent="0.3">
      <c r="A93" s="260"/>
      <c r="B93" s="261" t="s">
        <v>249</v>
      </c>
      <c r="C93" s="261"/>
      <c r="D93" s="261"/>
      <c r="E93" s="261"/>
      <c r="F93" s="292"/>
      <c r="G93" s="332"/>
      <c r="H93" s="333"/>
      <c r="I93" s="261"/>
      <c r="J93" s="261"/>
      <c r="K93" s="261"/>
      <c r="L93" s="261"/>
      <c r="M93" s="261"/>
      <c r="N93" s="330"/>
      <c r="O93" s="261"/>
      <c r="P93" s="331">
        <f>64+1</f>
        <v>65</v>
      </c>
      <c r="Q93" s="264"/>
      <c r="R93" s="5"/>
    </row>
    <row r="94" spans="1:18" ht="15.6" x14ac:dyDescent="0.3">
      <c r="A94" s="260"/>
      <c r="B94" s="261" t="s">
        <v>250</v>
      </c>
      <c r="C94" s="261"/>
      <c r="D94" s="261"/>
      <c r="E94" s="261"/>
      <c r="F94" s="292"/>
      <c r="G94" s="332"/>
      <c r="H94" s="333"/>
      <c r="I94" s="261"/>
      <c r="J94" s="261"/>
      <c r="K94" s="261"/>
      <c r="L94" s="261"/>
      <c r="M94" s="261"/>
      <c r="N94" s="330"/>
      <c r="O94" s="261"/>
      <c r="P94" s="331">
        <v>24</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166</v>
      </c>
      <c r="Q97" s="264"/>
      <c r="R97" s="5"/>
    </row>
    <row r="98" spans="1:19" ht="15.6" x14ac:dyDescent="0.3">
      <c r="A98" s="260"/>
      <c r="B98" s="261" t="s">
        <v>35</v>
      </c>
      <c r="C98" s="261"/>
      <c r="D98" s="261"/>
      <c r="E98" s="261"/>
      <c r="F98" s="261"/>
      <c r="G98" s="261"/>
      <c r="H98" s="261"/>
      <c r="I98" s="261"/>
      <c r="J98" s="261"/>
      <c r="K98" s="261"/>
      <c r="L98" s="261"/>
      <c r="M98" s="261"/>
      <c r="N98" s="330">
        <f>SUM(N90:N97)</f>
        <v>4121</v>
      </c>
      <c r="O98" s="261"/>
      <c r="P98" s="330">
        <f>SUM(P92:P97)</f>
        <v>2308</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32</v>
      </c>
      <c r="Q101" s="264"/>
      <c r="R101" s="5"/>
    </row>
    <row r="102" spans="1:19" ht="15.6" x14ac:dyDescent="0.3">
      <c r="A102" s="260"/>
      <c r="B102" s="261" t="s">
        <v>37</v>
      </c>
      <c r="C102" s="261"/>
      <c r="D102" s="261"/>
      <c r="E102" s="261"/>
      <c r="F102" s="261"/>
      <c r="G102" s="261"/>
      <c r="H102" s="261"/>
      <c r="I102" s="261"/>
      <c r="J102" s="261"/>
      <c r="K102" s="261"/>
      <c r="L102" s="261"/>
      <c r="M102" s="261"/>
      <c r="N102" s="330">
        <f>N98+N100+N99</f>
        <v>4121</v>
      </c>
      <c r="O102" s="261"/>
      <c r="P102" s="330">
        <f>P98+P100+P99+P101</f>
        <v>2340</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-89-48-5</f>
        <v>-142</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-265</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-193</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-346</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-223</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-211</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56</v>
      </c>
      <c r="O115" s="261"/>
      <c r="P115" s="331">
        <v>-56</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-181</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-713</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-293</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-969</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-843</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-1293</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-400</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-379</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-4177</v>
      </c>
      <c r="O129" s="330"/>
      <c r="P129" s="330">
        <f>SUM(P103:P128)</f>
        <v>-2340</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JULY 2015</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56</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56</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-56</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346456</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346456.23649050418</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+'April 15'!M173</f>
        <v>88843</v>
      </c>
      <c r="N171" s="331">
        <f>+'April 15'!N173</f>
        <v>10230</v>
      </c>
      <c r="O171" s="261"/>
      <c r="P171" s="331">
        <f>M171+N171</f>
        <v>99073</v>
      </c>
      <c r="Q171" s="264"/>
      <c r="R171" s="5"/>
    </row>
    <row r="172" spans="1:19" ht="15.6" x14ac:dyDescent="0.3">
      <c r="A172" s="260"/>
      <c r="B172" s="261" t="s">
        <v>69</v>
      </c>
      <c r="C172" s="261"/>
      <c r="D172" s="261"/>
      <c r="E172" s="261"/>
      <c r="F172" s="261"/>
      <c r="G172" s="261"/>
      <c r="H172" s="261"/>
      <c r="I172" s="261"/>
      <c r="J172" s="261"/>
      <c r="K172" s="261"/>
      <c r="L172" s="261"/>
      <c r="M172" s="330">
        <v>293</v>
      </c>
      <c r="N172" s="330">
        <f>-N99-N122</f>
        <v>0</v>
      </c>
      <c r="O172" s="261"/>
      <c r="P172" s="331">
        <f>M172+N172</f>
        <v>293</v>
      </c>
      <c r="Q172" s="264"/>
      <c r="R172" s="5"/>
    </row>
    <row r="173" spans="1:19" ht="15.6" x14ac:dyDescent="0.3">
      <c r="A173" s="260"/>
      <c r="B173" s="261" t="s">
        <v>70</v>
      </c>
      <c r="C173" s="261"/>
      <c r="D173" s="261"/>
      <c r="E173" s="261"/>
      <c r="F173" s="261"/>
      <c r="G173" s="261"/>
      <c r="H173" s="261"/>
      <c r="I173" s="261"/>
      <c r="J173" s="261"/>
      <c r="K173" s="261"/>
      <c r="L173" s="261"/>
      <c r="M173" s="331">
        <f>M171+M172</f>
        <v>89136</v>
      </c>
      <c r="N173" s="331">
        <f>N172+N171</f>
        <v>10230</v>
      </c>
      <c r="O173" s="261"/>
      <c r="P173" s="331">
        <f>M173+N173</f>
        <v>99366</v>
      </c>
      <c r="Q173" s="264"/>
      <c r="R173" s="5"/>
    </row>
    <row r="174" spans="1:19" ht="15.6" x14ac:dyDescent="0.3">
      <c r="A174" s="260"/>
      <c r="B174" s="261" t="s">
        <v>71</v>
      </c>
      <c r="C174" s="261"/>
      <c r="D174" s="261"/>
      <c r="E174" s="261"/>
      <c r="F174" s="261"/>
      <c r="G174" s="261"/>
      <c r="H174" s="261"/>
      <c r="I174" s="261"/>
      <c r="J174" s="261"/>
      <c r="K174" s="261"/>
      <c r="L174" s="261"/>
      <c r="M174" s="331">
        <f>M170-M173-N173</f>
        <v>44634</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2.7313432835820897</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1.57</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3.2073732718894008</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2.58</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JULY 2015</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42216</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2.35E-2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1.3725629738526873E-2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9.7743702614731271E-3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6.6792258948450076E-3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11.46</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1.1922703659302392E-2</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9.5299999999999996E-2</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2</v>
      </c>
      <c r="N206" s="305">
        <v>145</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31</v>
      </c>
      <c r="N207" s="353">
        <f>+N255</f>
        <v>5024</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56</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'April 15'!N213+'July 15'!N212</f>
        <v>6218</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3</v>
      </c>
      <c r="N219" s="353">
        <v>220</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2973</v>
      </c>
      <c r="M225" s="382">
        <f t="shared" ref="M225:M232" si="2">L225/$L$233</f>
        <v>0.99398194583751254</v>
      </c>
      <c r="N225" s="331">
        <f t="shared" ref="N225:N232" si="3">+N236+N247+N258</f>
        <v>344904</v>
      </c>
      <c r="O225" s="382">
        <f t="shared" ref="O225:O232" si="4">N225/$N$233</f>
        <v>0.995520354677073</v>
      </c>
      <c r="P225" s="306"/>
      <c r="Q225" s="417"/>
      <c r="R225" s="5"/>
    </row>
    <row r="226" spans="1:18" ht="15.6" x14ac:dyDescent="0.3">
      <c r="A226" s="260"/>
      <c r="B226" s="330" t="s">
        <v>99</v>
      </c>
      <c r="C226" s="381"/>
      <c r="D226" s="261"/>
      <c r="E226" s="382"/>
      <c r="F226" s="381"/>
      <c r="G226" s="381"/>
      <c r="H226" s="381"/>
      <c r="I226" s="381"/>
      <c r="J226" s="381"/>
      <c r="K226" s="381"/>
      <c r="L226" s="330">
        <f t="shared" si="1"/>
        <v>5</v>
      </c>
      <c r="M226" s="382">
        <f t="shared" si="2"/>
        <v>1.671681711802073E-3</v>
      </c>
      <c r="N226" s="331">
        <f t="shared" si="3"/>
        <v>284</v>
      </c>
      <c r="O226" s="382">
        <f t="shared" si="4"/>
        <v>8.1972891218509713E-4</v>
      </c>
      <c r="P226" s="354"/>
      <c r="Q226" s="373"/>
      <c r="R226" s="5"/>
    </row>
    <row r="227" spans="1:18" ht="15.6" x14ac:dyDescent="0.3">
      <c r="A227" s="260"/>
      <c r="B227" s="330" t="s">
        <v>100</v>
      </c>
      <c r="C227" s="381"/>
      <c r="D227" s="261"/>
      <c r="E227" s="382"/>
      <c r="F227" s="381"/>
      <c r="G227" s="381"/>
      <c r="H227" s="381"/>
      <c r="I227" s="381"/>
      <c r="J227" s="381"/>
      <c r="K227" s="381"/>
      <c r="L227" s="330">
        <f t="shared" si="1"/>
        <v>2</v>
      </c>
      <c r="M227" s="382">
        <f t="shared" si="2"/>
        <v>6.6867268472082912E-4</v>
      </c>
      <c r="N227" s="331">
        <f t="shared" si="3"/>
        <v>245</v>
      </c>
      <c r="O227" s="382">
        <f t="shared" si="4"/>
        <v>7.0716050523010133E-4</v>
      </c>
      <c r="P227" s="354"/>
      <c r="Q227" s="373"/>
      <c r="R227" s="5"/>
    </row>
    <row r="228" spans="1:18" ht="15.6" x14ac:dyDescent="0.3">
      <c r="A228" s="260"/>
      <c r="B228" s="330" t="s">
        <v>227</v>
      </c>
      <c r="C228" s="381"/>
      <c r="D228" s="261"/>
      <c r="E228" s="382"/>
      <c r="F228" s="381"/>
      <c r="G228" s="381"/>
      <c r="H228" s="381"/>
      <c r="I228" s="381"/>
      <c r="J228" s="381"/>
      <c r="K228" s="381"/>
      <c r="L228" s="330">
        <f t="shared" si="1"/>
        <v>1</v>
      </c>
      <c r="M228" s="382">
        <f t="shared" si="2"/>
        <v>3.3433634236041456E-4</v>
      </c>
      <c r="N228" s="331">
        <f t="shared" si="3"/>
        <v>17</v>
      </c>
      <c r="O228" s="382">
        <f t="shared" si="4"/>
        <v>4.9068279954741726E-5</v>
      </c>
      <c r="P228" s="354"/>
      <c r="Q228" s="373"/>
      <c r="R228" s="5"/>
    </row>
    <row r="229" spans="1:18" ht="15.6" x14ac:dyDescent="0.3">
      <c r="A229" s="260"/>
      <c r="B229" s="330" t="s">
        <v>228</v>
      </c>
      <c r="C229" s="381"/>
      <c r="D229" s="261"/>
      <c r="E229" s="382"/>
      <c r="F229" s="381"/>
      <c r="G229" s="381"/>
      <c r="H229" s="381"/>
      <c r="I229" s="381"/>
      <c r="J229" s="381"/>
      <c r="K229" s="381"/>
      <c r="L229" s="330">
        <f t="shared" si="1"/>
        <v>2</v>
      </c>
      <c r="M229" s="382">
        <f t="shared" si="2"/>
        <v>6.6867268472082912E-4</v>
      </c>
      <c r="N229" s="331">
        <f t="shared" si="3"/>
        <v>110</v>
      </c>
      <c r="O229" s="382">
        <f t="shared" si="4"/>
        <v>3.1750063500127001E-4</v>
      </c>
      <c r="P229" s="354"/>
      <c r="Q229" s="373"/>
      <c r="R229" s="5"/>
    </row>
    <row r="230" spans="1:18" ht="15.6" x14ac:dyDescent="0.3">
      <c r="A230" s="260"/>
      <c r="B230" s="330" t="s">
        <v>229</v>
      </c>
      <c r="C230" s="381"/>
      <c r="D230" s="261"/>
      <c r="E230" s="382"/>
      <c r="F230" s="381"/>
      <c r="G230" s="381"/>
      <c r="H230" s="381"/>
      <c r="I230" s="381"/>
      <c r="J230" s="381"/>
      <c r="K230" s="381"/>
      <c r="L230" s="330">
        <f t="shared" si="1"/>
        <v>2</v>
      </c>
      <c r="M230" s="382">
        <f t="shared" si="2"/>
        <v>6.6867268472082912E-4</v>
      </c>
      <c r="N230" s="331">
        <f t="shared" si="3"/>
        <v>85</v>
      </c>
      <c r="O230" s="382">
        <f t="shared" si="4"/>
        <v>2.4534139977370865E-4</v>
      </c>
      <c r="P230" s="354"/>
      <c r="Q230" s="373"/>
      <c r="R230" s="5"/>
    </row>
    <row r="231" spans="1:18" ht="15.6" x14ac:dyDescent="0.3">
      <c r="A231" s="260"/>
      <c r="B231" s="330" t="s">
        <v>230</v>
      </c>
      <c r="C231" s="381"/>
      <c r="D231" s="261"/>
      <c r="E231" s="382"/>
      <c r="F231" s="381"/>
      <c r="G231" s="381"/>
      <c r="H231" s="381"/>
      <c r="I231" s="381"/>
      <c r="J231" s="381"/>
      <c r="K231" s="381"/>
      <c r="L231" s="330">
        <f t="shared" si="1"/>
        <v>4</v>
      </c>
      <c r="M231" s="382">
        <f t="shared" si="2"/>
        <v>1.3373453694416582E-3</v>
      </c>
      <c r="N231" s="331">
        <f t="shared" si="3"/>
        <v>425</v>
      </c>
      <c r="O231" s="382">
        <f t="shared" si="4"/>
        <v>1.2267069988685432E-3</v>
      </c>
      <c r="P231" s="354"/>
      <c r="Q231" s="373"/>
      <c r="R231" s="5"/>
    </row>
    <row r="232" spans="1:18" ht="15.6" x14ac:dyDescent="0.3">
      <c r="A232" s="260"/>
      <c r="B232" s="330" t="s">
        <v>231</v>
      </c>
      <c r="C232" s="381"/>
      <c r="D232" s="261"/>
      <c r="E232" s="382"/>
      <c r="F232" s="381"/>
      <c r="G232" s="381"/>
      <c r="H232" s="381"/>
      <c r="I232" s="381"/>
      <c r="J232" s="381"/>
      <c r="K232" s="381"/>
      <c r="L232" s="330">
        <f t="shared" si="1"/>
        <v>2</v>
      </c>
      <c r="M232" s="382">
        <f t="shared" si="2"/>
        <v>6.6867268472082912E-4</v>
      </c>
      <c r="N232" s="331">
        <f t="shared" si="3"/>
        <v>386</v>
      </c>
      <c r="O232" s="382">
        <f t="shared" si="4"/>
        <v>1.1141385919135475E-3</v>
      </c>
      <c r="P232" s="354"/>
      <c r="Q232" s="373"/>
      <c r="R232" s="5"/>
    </row>
    <row r="233" spans="1:18" ht="15.6" x14ac:dyDescent="0.3">
      <c r="A233" s="260"/>
      <c r="B233" s="261" t="s">
        <v>129</v>
      </c>
      <c r="C233" s="261"/>
      <c r="D233" s="261"/>
      <c r="E233" s="261"/>
      <c r="F233" s="383"/>
      <c r="G233" s="383"/>
      <c r="H233" s="383"/>
      <c r="I233" s="383"/>
      <c r="J233" s="383"/>
      <c r="K233" s="383"/>
      <c r="L233" s="330">
        <f>SUM(L225:L232)</f>
        <v>2991</v>
      </c>
      <c r="M233" s="382">
        <f>SUM(M225:M232)</f>
        <v>1</v>
      </c>
      <c r="N233" s="330">
        <f>SUM(N225:N232)</f>
        <v>346456</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2948</v>
      </c>
      <c r="M236" s="310">
        <f t="shared" ref="M236:M243" si="5">L236/$L$244</f>
        <v>0.99594594594594599</v>
      </c>
      <c r="N236" s="300">
        <v>340826</v>
      </c>
      <c r="O236" s="310">
        <f t="shared" ref="O236:O243" si="6">N236/$N$244</f>
        <v>0.99822512242554884</v>
      </c>
      <c r="P236" s="306"/>
      <c r="Q236" s="417"/>
      <c r="R236" s="5"/>
    </row>
    <row r="237" spans="1:18" ht="15.6" x14ac:dyDescent="0.3">
      <c r="A237" s="260"/>
      <c r="B237" s="330" t="s">
        <v>99</v>
      </c>
      <c r="C237" s="381"/>
      <c r="D237" s="261"/>
      <c r="E237" s="382"/>
      <c r="F237" s="381"/>
      <c r="G237" s="381"/>
      <c r="H237" s="381"/>
      <c r="I237" s="381"/>
      <c r="J237" s="381"/>
      <c r="K237" s="381"/>
      <c r="L237" s="330">
        <v>4</v>
      </c>
      <c r="M237" s="382">
        <f t="shared" si="5"/>
        <v>1.3513513513513514E-3</v>
      </c>
      <c r="N237" s="331">
        <v>220</v>
      </c>
      <c r="O237" s="382">
        <f t="shared" si="6"/>
        <v>6.4434499402516463E-4</v>
      </c>
      <c r="P237" s="354"/>
      <c r="Q237" s="373"/>
      <c r="R237" s="5"/>
    </row>
    <row r="238" spans="1:18" ht="15.6" x14ac:dyDescent="0.3">
      <c r="A238" s="260"/>
      <c r="B238" s="330" t="s">
        <v>100</v>
      </c>
      <c r="C238" s="381"/>
      <c r="D238" s="261"/>
      <c r="E238" s="382"/>
      <c r="F238" s="381"/>
      <c r="G238" s="381"/>
      <c r="H238" s="381"/>
      <c r="I238" s="381"/>
      <c r="J238" s="381"/>
      <c r="K238" s="381"/>
      <c r="L238" s="330">
        <v>1</v>
      </c>
      <c r="M238" s="382">
        <f t="shared" si="5"/>
        <v>3.3783783783783786E-4</v>
      </c>
      <c r="N238" s="331">
        <v>115</v>
      </c>
      <c r="O238" s="382">
        <f t="shared" si="6"/>
        <v>3.3681670142224514E-4</v>
      </c>
      <c r="P238" s="354"/>
      <c r="Q238" s="373"/>
      <c r="R238" s="5"/>
    </row>
    <row r="239" spans="1:18" ht="15.6" x14ac:dyDescent="0.3">
      <c r="A239" s="260"/>
      <c r="B239" s="330" t="s">
        <v>227</v>
      </c>
      <c r="C239" s="381"/>
      <c r="D239" s="261"/>
      <c r="E239" s="382"/>
      <c r="F239" s="381"/>
      <c r="G239" s="381"/>
      <c r="H239" s="381"/>
      <c r="I239" s="381"/>
      <c r="J239" s="381"/>
      <c r="K239" s="381"/>
      <c r="L239" s="330">
        <v>1</v>
      </c>
      <c r="M239" s="382">
        <f t="shared" si="5"/>
        <v>3.3783783783783786E-4</v>
      </c>
      <c r="N239" s="331">
        <v>17</v>
      </c>
      <c r="O239" s="382">
        <f t="shared" si="6"/>
        <v>4.9790294992853627E-5</v>
      </c>
      <c r="P239" s="354"/>
      <c r="Q239" s="373"/>
      <c r="R239" s="5"/>
    </row>
    <row r="240" spans="1:18" ht="15.6" x14ac:dyDescent="0.3">
      <c r="A240" s="260"/>
      <c r="B240" s="330" t="s">
        <v>228</v>
      </c>
      <c r="C240" s="381"/>
      <c r="D240" s="261"/>
      <c r="E240" s="382"/>
      <c r="F240" s="381"/>
      <c r="G240" s="381"/>
      <c r="H240" s="381"/>
      <c r="I240" s="381"/>
      <c r="J240" s="381"/>
      <c r="K240" s="381"/>
      <c r="L240" s="330">
        <v>2</v>
      </c>
      <c r="M240" s="382">
        <f t="shared" si="5"/>
        <v>6.7567567567567571E-4</v>
      </c>
      <c r="N240" s="331">
        <v>110</v>
      </c>
      <c r="O240" s="382">
        <f t="shared" si="6"/>
        <v>3.2217249701258231E-4</v>
      </c>
      <c r="P240" s="354"/>
      <c r="Q240" s="373"/>
      <c r="R240" s="5"/>
    </row>
    <row r="241" spans="1:18" ht="15.6" x14ac:dyDescent="0.3">
      <c r="A241" s="260"/>
      <c r="B241" s="330" t="s">
        <v>229</v>
      </c>
      <c r="C241" s="381"/>
      <c r="D241" s="261"/>
      <c r="E241" s="382"/>
      <c r="F241" s="381"/>
      <c r="G241" s="381"/>
      <c r="H241" s="381"/>
      <c r="I241" s="381"/>
      <c r="J241" s="381"/>
      <c r="K241" s="381"/>
      <c r="L241" s="330">
        <v>2</v>
      </c>
      <c r="M241" s="382">
        <f t="shared" si="5"/>
        <v>6.7567567567567571E-4</v>
      </c>
      <c r="N241" s="331">
        <v>85</v>
      </c>
      <c r="O241" s="382">
        <f t="shared" si="6"/>
        <v>2.4895147496426813E-4</v>
      </c>
      <c r="P241" s="354"/>
      <c r="Q241" s="373"/>
      <c r="R241" s="5"/>
    </row>
    <row r="242" spans="1:18" ht="15.6" x14ac:dyDescent="0.3">
      <c r="A242" s="260"/>
      <c r="B242" s="330" t="s">
        <v>230</v>
      </c>
      <c r="C242" s="381"/>
      <c r="D242" s="261"/>
      <c r="E242" s="382"/>
      <c r="F242" s="381"/>
      <c r="G242" s="381"/>
      <c r="H242" s="381"/>
      <c r="I242" s="381"/>
      <c r="J242" s="381"/>
      <c r="K242" s="381"/>
      <c r="L242" s="330">
        <v>2</v>
      </c>
      <c r="M242" s="382">
        <f t="shared" si="5"/>
        <v>6.7567567567567571E-4</v>
      </c>
      <c r="N242" s="331">
        <v>59</v>
      </c>
      <c r="O242" s="382">
        <f t="shared" si="6"/>
        <v>1.7280161203402141E-4</v>
      </c>
      <c r="P242" s="354"/>
      <c r="Q242" s="373"/>
      <c r="R242" s="5"/>
    </row>
    <row r="243" spans="1:18" ht="15.6" x14ac:dyDescent="0.3">
      <c r="A243" s="260"/>
      <c r="B243" s="330" t="s">
        <v>231</v>
      </c>
      <c r="C243" s="381"/>
      <c r="D243" s="261"/>
      <c r="E243" s="382"/>
      <c r="F243" s="381"/>
      <c r="G243" s="381"/>
      <c r="H243" s="381"/>
      <c r="I243" s="381"/>
      <c r="J243" s="381"/>
      <c r="K243" s="381"/>
      <c r="L243" s="330">
        <v>0</v>
      </c>
      <c r="M243" s="382">
        <f t="shared" si="5"/>
        <v>0</v>
      </c>
      <c r="N243" s="331">
        <v>0</v>
      </c>
      <c r="O243" s="382">
        <f t="shared" si="6"/>
        <v>0</v>
      </c>
      <c r="P243" s="354"/>
      <c r="Q243" s="373"/>
      <c r="R243" s="5"/>
    </row>
    <row r="244" spans="1:18" ht="15.6" x14ac:dyDescent="0.3">
      <c r="A244" s="260"/>
      <c r="B244" s="261" t="s">
        <v>129</v>
      </c>
      <c r="C244" s="261"/>
      <c r="D244" s="261"/>
      <c r="E244" s="261"/>
      <c r="F244" s="383"/>
      <c r="G244" s="383"/>
      <c r="H244" s="383"/>
      <c r="I244" s="383"/>
      <c r="J244" s="383"/>
      <c r="K244" s="383"/>
      <c r="L244" s="330">
        <f>SUM(L236:L243)</f>
        <v>2960</v>
      </c>
      <c r="M244" s="382">
        <f>SUM(M236:M243)</f>
        <v>1</v>
      </c>
      <c r="N244" s="331">
        <f>SUM(N236:N243)</f>
        <v>341432</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25</v>
      </c>
      <c r="M247" s="310">
        <f t="shared" ref="M247:M254" si="7">L247/$L$255</f>
        <v>0.80645161290322576</v>
      </c>
      <c r="N247" s="300">
        <v>4078</v>
      </c>
      <c r="O247" s="310">
        <f t="shared" ref="O247:O254" si="8">N247/$N$255</f>
        <v>0.81170382165605093</v>
      </c>
      <c r="P247" s="306"/>
      <c r="Q247" s="408"/>
      <c r="R247" s="5"/>
    </row>
    <row r="248" spans="1:18" ht="15.6" x14ac:dyDescent="0.3">
      <c r="A248" s="260"/>
      <c r="B248" s="330" t="s">
        <v>99</v>
      </c>
      <c r="C248" s="381"/>
      <c r="D248" s="261"/>
      <c r="E248" s="382"/>
      <c r="F248" s="381"/>
      <c r="G248" s="381"/>
      <c r="H248" s="381"/>
      <c r="I248" s="381"/>
      <c r="J248" s="381"/>
      <c r="K248" s="381"/>
      <c r="L248" s="330">
        <v>1</v>
      </c>
      <c r="M248" s="382">
        <f t="shared" si="7"/>
        <v>3.2258064516129031E-2</v>
      </c>
      <c r="N248" s="331">
        <v>64</v>
      </c>
      <c r="O248" s="382">
        <f t="shared" si="8"/>
        <v>1.2738853503184714E-2</v>
      </c>
      <c r="P248" s="354"/>
      <c r="Q248" s="264"/>
      <c r="R248" s="5"/>
    </row>
    <row r="249" spans="1:18" ht="15.6" x14ac:dyDescent="0.3">
      <c r="A249" s="260"/>
      <c r="B249" s="330" t="s">
        <v>100</v>
      </c>
      <c r="C249" s="381"/>
      <c r="D249" s="261"/>
      <c r="E249" s="382"/>
      <c r="F249" s="381"/>
      <c r="G249" s="381"/>
      <c r="H249" s="381"/>
      <c r="I249" s="381"/>
      <c r="J249" s="381"/>
      <c r="K249" s="381"/>
      <c r="L249" s="330">
        <v>1</v>
      </c>
      <c r="M249" s="382">
        <f t="shared" si="7"/>
        <v>3.2258064516129031E-2</v>
      </c>
      <c r="N249" s="331">
        <v>130</v>
      </c>
      <c r="O249" s="382">
        <f t="shared" si="8"/>
        <v>2.587579617834395E-2</v>
      </c>
      <c r="P249" s="354"/>
      <c r="Q249" s="264"/>
      <c r="R249" s="5"/>
    </row>
    <row r="250" spans="1:18" ht="15.6" x14ac:dyDescent="0.3">
      <c r="A250" s="260"/>
      <c r="B250" s="330" t="s">
        <v>227</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2</v>
      </c>
      <c r="M253" s="382">
        <f t="shared" si="7"/>
        <v>6.4516129032258063E-2</v>
      </c>
      <c r="N253" s="331">
        <v>366</v>
      </c>
      <c r="O253" s="382">
        <f t="shared" si="8"/>
        <v>7.2850318471337577E-2</v>
      </c>
      <c r="P253" s="354"/>
      <c r="Q253" s="264"/>
      <c r="R253" s="5"/>
    </row>
    <row r="254" spans="1:18" ht="15.6" x14ac:dyDescent="0.3">
      <c r="A254" s="260"/>
      <c r="B254" s="330" t="s">
        <v>231</v>
      </c>
      <c r="C254" s="381"/>
      <c r="D254" s="261"/>
      <c r="E254" s="382"/>
      <c r="F254" s="381"/>
      <c r="G254" s="381"/>
      <c r="H254" s="381"/>
      <c r="I254" s="381"/>
      <c r="J254" s="381"/>
      <c r="K254" s="381"/>
      <c r="L254" s="330">
        <v>2</v>
      </c>
      <c r="M254" s="382">
        <f t="shared" si="7"/>
        <v>6.4516129032258063E-2</v>
      </c>
      <c r="N254" s="331">
        <v>386</v>
      </c>
      <c r="O254" s="382">
        <f t="shared" si="8"/>
        <v>7.6831210191082799E-2</v>
      </c>
      <c r="P254" s="354"/>
      <c r="Q254" s="264"/>
      <c r="R254" s="5"/>
    </row>
    <row r="255" spans="1:18" ht="15.6" x14ac:dyDescent="0.3">
      <c r="A255" s="260"/>
      <c r="B255" s="261" t="s">
        <v>129</v>
      </c>
      <c r="C255" s="261"/>
      <c r="D255" s="261"/>
      <c r="E255" s="261"/>
      <c r="F255" s="383"/>
      <c r="G255" s="383"/>
      <c r="H255" s="383"/>
      <c r="I255" s="383"/>
      <c r="J255" s="383"/>
      <c r="K255" s="383"/>
      <c r="L255" s="330">
        <f>SUM(L247:L254)</f>
        <v>31</v>
      </c>
      <c r="M255" s="382">
        <f>SUM(M247:M254)</f>
        <v>0.99999999999999978</v>
      </c>
      <c r="N255" s="331">
        <f>SUM(N247:N254)</f>
        <v>5024</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f>SUM(M258:M265)</f>
        <v>0</v>
      </c>
      <c r="N266" s="331">
        <f>SUM(N258:N265)</f>
        <v>0</v>
      </c>
      <c r="O266" s="382">
        <f>SUM(O258:O265)</f>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2991</v>
      </c>
      <c r="M268" s="382"/>
      <c r="N268" s="386">
        <f>+N266+N255+N244</f>
        <v>346456</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418"/>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418"/>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5.6" x14ac:dyDescent="0.3">
      <c r="A277" s="225"/>
      <c r="B277" s="228"/>
      <c r="C277" s="228"/>
      <c r="D277" s="228"/>
      <c r="E277" s="314"/>
      <c r="F277" s="249"/>
      <c r="G277" s="249"/>
      <c r="H277" s="249"/>
      <c r="I277" s="249"/>
      <c r="J277" s="249"/>
      <c r="K277" s="249"/>
      <c r="L277" s="249"/>
      <c r="M277" s="249"/>
      <c r="N277" s="249"/>
      <c r="O277" s="249"/>
      <c r="P277" s="249"/>
      <c r="Q277" s="418"/>
      <c r="R277" s="5"/>
    </row>
    <row r="278" spans="1:18" ht="18" thickBot="1" x14ac:dyDescent="0.35">
      <c r="A278" s="225"/>
      <c r="B278" s="315" t="str">
        <f>B185</f>
        <v>PM7 INVESTOR REPORT QUARTER ENDING JULY 2015</v>
      </c>
      <c r="C278" s="228"/>
      <c r="D278" s="228"/>
      <c r="E278" s="314"/>
      <c r="F278" s="249"/>
      <c r="G278" s="249"/>
      <c r="H278" s="249"/>
      <c r="I278" s="249"/>
      <c r="J278" s="249"/>
      <c r="K278" s="249"/>
      <c r="L278" s="249"/>
      <c r="M278" s="249"/>
      <c r="N278" s="249"/>
      <c r="O278" s="249"/>
      <c r="P278" s="249"/>
      <c r="Q278" s="41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6" man="1"/>
    <brk id="133" max="16" man="1"/>
    <brk id="185" max="16" man="1"/>
    <brk id="278" max="16" man="1"/>
  </row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0.96079999999999999</v>
      </c>
      <c r="N17" s="246" t="s">
        <v>173</v>
      </c>
      <c r="O17" s="245">
        <v>3.9199999999999999E-2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42331</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323</v>
      </c>
      <c r="K27" s="392"/>
      <c r="L27" s="392" t="s">
        <v>323</v>
      </c>
      <c r="M27" s="392"/>
      <c r="N27" s="262"/>
      <c r="O27" s="263"/>
      <c r="P27" s="263"/>
      <c r="Q27" s="264"/>
      <c r="R27" s="5"/>
    </row>
    <row r="28" spans="1:19" ht="15.6" x14ac:dyDescent="0.3">
      <c r="A28" s="265"/>
      <c r="B28" s="266" t="s">
        <v>10</v>
      </c>
      <c r="C28" s="392"/>
      <c r="D28" s="392" t="s">
        <v>322</v>
      </c>
      <c r="E28" s="392"/>
      <c r="F28" s="392" t="s">
        <v>322</v>
      </c>
      <c r="G28" s="392"/>
      <c r="H28" s="392" t="s">
        <v>322</v>
      </c>
      <c r="I28" s="392"/>
      <c r="J28" s="392" t="s">
        <v>322</v>
      </c>
      <c r="K28" s="392"/>
      <c r="L28" s="392" t="s">
        <v>322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153826.11000000002</v>
      </c>
      <c r="E34" s="271"/>
      <c r="F34" s="272">
        <f>+F33*F40</f>
        <v>75182.228000000003</v>
      </c>
      <c r="G34" s="271"/>
      <c r="H34" s="273">
        <f>+H33*H40</f>
        <v>170928.55000000002</v>
      </c>
      <c r="I34" s="271"/>
      <c r="J34" s="270">
        <f>J33*J40</f>
        <v>63468.116249999999</v>
      </c>
      <c r="K34" s="271"/>
      <c r="L34" s="273">
        <f>L33*L40</f>
        <v>50005.1175</v>
      </c>
      <c r="M34" s="271"/>
      <c r="N34" s="271"/>
      <c r="O34" s="274"/>
      <c r="P34" s="271"/>
      <c r="Q34" s="275"/>
      <c r="R34" s="5"/>
    </row>
    <row r="35" spans="1:19" ht="15.6" x14ac:dyDescent="0.3">
      <c r="A35" s="265"/>
      <c r="B35" s="266" t="s">
        <v>158</v>
      </c>
      <c r="C35" s="276"/>
      <c r="D35" s="277">
        <f>+D33*D39</f>
        <v>152416.215</v>
      </c>
      <c r="E35" s="278"/>
      <c r="F35" s="279">
        <f>+F33*F39</f>
        <v>74493.144</v>
      </c>
      <c r="G35" s="278"/>
      <c r="H35" s="280">
        <f>+H33*H39</f>
        <v>169361.85</v>
      </c>
      <c r="I35" s="278"/>
      <c r="J35" s="277">
        <f>J33*J39</f>
        <v>62886.392249999997</v>
      </c>
      <c r="K35" s="278"/>
      <c r="L35" s="280">
        <f>L33*L39</f>
        <v>49546.789500000006</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86467.74030354133</v>
      </c>
      <c r="E37" s="271"/>
      <c r="F37" s="271">
        <f>+F34</f>
        <v>75182.228000000003</v>
      </c>
      <c r="G37" s="271"/>
      <c r="H37" s="271">
        <f>+H34/1.481481</f>
        <v>115376.80874746286</v>
      </c>
      <c r="I37" s="271"/>
      <c r="J37" s="271">
        <f>J36*J40</f>
        <v>35676.005127000004</v>
      </c>
      <c r="K37" s="271"/>
      <c r="L37" s="271">
        <f>L36*L40</f>
        <v>33753.454312499998</v>
      </c>
      <c r="M37" s="271"/>
      <c r="N37" s="271"/>
      <c r="O37" s="274"/>
      <c r="P37" s="271">
        <f>SUM(C37:L37)</f>
        <v>346456.23649050418</v>
      </c>
      <c r="Q37" s="275"/>
      <c r="R37" s="5"/>
      <c r="S37" s="154"/>
    </row>
    <row r="38" spans="1:19" ht="15.6" x14ac:dyDescent="0.3">
      <c r="A38" s="265"/>
      <c r="B38" s="266" t="s">
        <v>281</v>
      </c>
      <c r="C38" s="276"/>
      <c r="D38" s="278">
        <f>D35/1.779</f>
        <v>85675.219224283312</v>
      </c>
      <c r="E38" s="278"/>
      <c r="F38" s="278">
        <f>+F35</f>
        <v>74493.144</v>
      </c>
      <c r="G38" s="278"/>
      <c r="H38" s="278">
        <f>H35/1.481481</f>
        <v>114319.28590376792</v>
      </c>
      <c r="I38" s="278"/>
      <c r="J38" s="278">
        <f>J36*J39</f>
        <v>35349.012778199998</v>
      </c>
      <c r="K38" s="278"/>
      <c r="L38" s="278">
        <f>L36*L39</f>
        <v>33444.082912500002</v>
      </c>
      <c r="M38" s="278"/>
      <c r="N38" s="278"/>
      <c r="O38" s="281"/>
      <c r="P38" s="278">
        <f>SUM(D38:L38)</f>
        <v>343280.74481875123</v>
      </c>
      <c r="Q38" s="275"/>
      <c r="R38" s="5"/>
      <c r="S38" s="176"/>
    </row>
    <row r="39" spans="1:19" ht="15.6" x14ac:dyDescent="0.3">
      <c r="A39" s="265"/>
      <c r="B39" s="282" t="s">
        <v>154</v>
      </c>
      <c r="C39" s="283"/>
      <c r="D39" s="284">
        <v>0.33870270000000002</v>
      </c>
      <c r="E39" s="284"/>
      <c r="F39" s="284">
        <v>0.3386052</v>
      </c>
      <c r="G39" s="284"/>
      <c r="H39" s="284">
        <v>0.33872370000000002</v>
      </c>
      <c r="I39" s="284"/>
      <c r="J39" s="284">
        <v>0.76225929999999997</v>
      </c>
      <c r="K39" s="284"/>
      <c r="L39" s="284">
        <v>0.76225830000000006</v>
      </c>
      <c r="M39" s="285"/>
      <c r="N39" s="285"/>
      <c r="O39" s="286"/>
      <c r="P39" s="285"/>
      <c r="Q39" s="287"/>
      <c r="R39" s="5"/>
    </row>
    <row r="40" spans="1:19" ht="15.6" x14ac:dyDescent="0.3">
      <c r="A40" s="265"/>
      <c r="B40" s="282" t="s">
        <v>155</v>
      </c>
      <c r="C40" s="283"/>
      <c r="D40" s="284">
        <v>0.34183580000000002</v>
      </c>
      <c r="E40" s="284"/>
      <c r="F40" s="284">
        <v>0.34173740000000002</v>
      </c>
      <c r="G40" s="284"/>
      <c r="H40" s="284">
        <v>0.34185710000000002</v>
      </c>
      <c r="I40" s="284"/>
      <c r="J40" s="284">
        <v>0.76931050000000001</v>
      </c>
      <c r="K40" s="284"/>
      <c r="L40" s="284">
        <v>0.76930949999999998</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7.4050000000000001E-3</v>
      </c>
      <c r="E42" s="290"/>
      <c r="F42" s="289">
        <v>1.0056300000000001E-2</v>
      </c>
      <c r="G42" s="290"/>
      <c r="H42" s="289">
        <v>3.96E-3</v>
      </c>
      <c r="I42" s="290"/>
      <c r="J42" s="289">
        <v>1.8204999999999999E-2</v>
      </c>
      <c r="K42" s="290"/>
      <c r="L42" s="289">
        <v>1.4760000000000001E-2</v>
      </c>
      <c r="M42" s="290"/>
      <c r="N42" s="289"/>
      <c r="O42" s="263"/>
      <c r="P42" s="290"/>
      <c r="Q42" s="264"/>
      <c r="R42" s="5"/>
    </row>
    <row r="43" spans="1:19" ht="15.6" x14ac:dyDescent="0.3">
      <c r="A43" s="260"/>
      <c r="B43" s="261" t="s">
        <v>14</v>
      </c>
      <c r="C43" s="261"/>
      <c r="D43" s="289">
        <v>6.9389999999999999E-3</v>
      </c>
      <c r="E43" s="290"/>
      <c r="F43" s="289">
        <v>9.8688000000000005E-3</v>
      </c>
      <c r="G43" s="290"/>
      <c r="H43" s="289">
        <v>4.1099999999999999E-3</v>
      </c>
      <c r="I43" s="290"/>
      <c r="J43" s="289">
        <v>1.7739000000000001E-2</v>
      </c>
      <c r="K43" s="290"/>
      <c r="L43" s="289">
        <v>1.491E-2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1.19463E-2</v>
      </c>
      <c r="E45" s="290"/>
      <c r="F45" s="289">
        <f>+F42</f>
        <v>1.0056300000000001E-2</v>
      </c>
      <c r="G45" s="290"/>
      <c r="H45" s="289">
        <v>1.1706299999999999E-2</v>
      </c>
      <c r="I45" s="290"/>
      <c r="J45" s="289">
        <v>2.42063E-2</v>
      </c>
      <c r="K45" s="290"/>
      <c r="L45" s="289">
        <v>2.42063E-2</v>
      </c>
      <c r="M45" s="290"/>
      <c r="N45" s="289"/>
      <c r="O45" s="263"/>
      <c r="P45" s="290">
        <f>SUMPRODUCT(D45:L45,D37:L37)/P37</f>
        <v>1.391312944608375E-2</v>
      </c>
      <c r="Q45" s="264"/>
      <c r="R45" s="5"/>
    </row>
    <row r="46" spans="1:19" ht="15.6" x14ac:dyDescent="0.3">
      <c r="A46" s="260"/>
      <c r="B46" s="261" t="s">
        <v>283</v>
      </c>
      <c r="C46" s="261"/>
      <c r="D46" s="289">
        <v>1.17588E-2</v>
      </c>
      <c r="E46" s="290"/>
      <c r="F46" s="289">
        <f>+F43</f>
        <v>9.8688000000000005E-3</v>
      </c>
      <c r="G46" s="290"/>
      <c r="H46" s="289">
        <v>1.1518799999999999E-2</v>
      </c>
      <c r="I46" s="290"/>
      <c r="J46" s="289">
        <v>2.40188E-2</v>
      </c>
      <c r="K46" s="290"/>
      <c r="L46" s="289">
        <v>2.40188E-2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0.25062364703559875</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42324</v>
      </c>
      <c r="Q57" s="264"/>
      <c r="R57" s="5"/>
    </row>
    <row r="58" spans="1:18" ht="15.6" x14ac:dyDescent="0.3">
      <c r="A58" s="260"/>
      <c r="B58" s="261" t="s">
        <v>142</v>
      </c>
      <c r="C58" s="261"/>
      <c r="D58" s="261"/>
      <c r="E58" s="261"/>
      <c r="F58" s="297"/>
      <c r="G58" s="297"/>
      <c r="H58" s="297"/>
      <c r="I58" s="297"/>
      <c r="J58" s="297"/>
      <c r="K58" s="297"/>
      <c r="L58" s="261">
        <f>+P58-N58+1</f>
        <v>94</v>
      </c>
      <c r="M58" s="297"/>
      <c r="N58" s="298">
        <v>42139</v>
      </c>
      <c r="O58" s="299"/>
      <c r="P58" s="298">
        <v>42232</v>
      </c>
      <c r="Q58" s="264"/>
      <c r="R58" s="5"/>
    </row>
    <row r="59" spans="1:18" ht="15.6" x14ac:dyDescent="0.3">
      <c r="A59" s="260"/>
      <c r="B59" s="261" t="s">
        <v>143</v>
      </c>
      <c r="C59" s="261"/>
      <c r="D59" s="261"/>
      <c r="E59" s="261"/>
      <c r="F59" s="261"/>
      <c r="G59" s="261"/>
      <c r="H59" s="261"/>
      <c r="I59" s="261"/>
      <c r="J59" s="261"/>
      <c r="K59" s="261"/>
      <c r="L59" s="261">
        <f>+P59-N59+1</f>
        <v>91</v>
      </c>
      <c r="M59" s="261"/>
      <c r="N59" s="298">
        <v>42233</v>
      </c>
      <c r="O59" s="299"/>
      <c r="P59" s="298">
        <v>42323</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42310</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324</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346456</v>
      </c>
      <c r="I69" s="330"/>
      <c r="J69" s="330">
        <f>3175+584</f>
        <v>3759</v>
      </c>
      <c r="K69" s="330"/>
      <c r="L69" s="330">
        <v>584</v>
      </c>
      <c r="M69" s="330"/>
      <c r="N69" s="330">
        <v>0</v>
      </c>
      <c r="O69" s="330"/>
      <c r="P69" s="331">
        <f>+H69-J69+L69-N69</f>
        <v>343281</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346456</v>
      </c>
      <c r="I72" s="330"/>
      <c r="J72" s="330">
        <f>SUM(J69:J71)</f>
        <v>3759</v>
      </c>
      <c r="K72" s="330"/>
      <c r="L72" s="330">
        <f>SUM(L69:L71)</f>
        <v>584</v>
      </c>
      <c r="M72" s="330"/>
      <c r="N72" s="330">
        <f>SUM(N69:N71)</f>
        <v>0</v>
      </c>
      <c r="O72" s="330"/>
      <c r="P72" s="330">
        <f>SUM(P69:P71)</f>
        <v>343281</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346456</v>
      </c>
      <c r="I86" s="330"/>
      <c r="J86" s="330">
        <f>SUM(J72:J85)</f>
        <v>3759</v>
      </c>
      <c r="K86" s="330"/>
      <c r="L86" s="330">
        <f>SUM(L72:L85)</f>
        <v>584</v>
      </c>
      <c r="M86" s="330"/>
      <c r="N86" s="330"/>
      <c r="O86" s="330"/>
      <c r="P86" s="330">
        <f>SUM(P72:P85)</f>
        <v>343281</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42307</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3759-61</f>
        <v>3698</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2825+112-917-34</f>
        <v>1986</v>
      </c>
      <c r="Q92" s="264"/>
      <c r="R92" s="5"/>
    </row>
    <row r="93" spans="1:18" ht="15.6" x14ac:dyDescent="0.3">
      <c r="A93" s="260"/>
      <c r="B93" s="261" t="s">
        <v>249</v>
      </c>
      <c r="C93" s="261"/>
      <c r="D93" s="261"/>
      <c r="E93" s="261"/>
      <c r="F93" s="292"/>
      <c r="G93" s="332"/>
      <c r="H93" s="333"/>
      <c r="I93" s="261"/>
      <c r="J93" s="261"/>
      <c r="K93" s="261"/>
      <c r="L93" s="261"/>
      <c r="M93" s="261"/>
      <c r="N93" s="330"/>
      <c r="O93" s="261"/>
      <c r="P93" s="331">
        <f>205+25</f>
        <v>230</v>
      </c>
      <c r="Q93" s="264"/>
      <c r="R93" s="5"/>
    </row>
    <row r="94" spans="1:18" ht="15.6" x14ac:dyDescent="0.3">
      <c r="A94" s="260"/>
      <c r="B94" s="261" t="s">
        <v>250</v>
      </c>
      <c r="C94" s="261"/>
      <c r="D94" s="261"/>
      <c r="E94" s="261"/>
      <c r="F94" s="292"/>
      <c r="G94" s="332"/>
      <c r="H94" s="333"/>
      <c r="I94" s="261"/>
      <c r="J94" s="261"/>
      <c r="K94" s="261"/>
      <c r="L94" s="261"/>
      <c r="M94" s="261"/>
      <c r="N94" s="330"/>
      <c r="O94" s="261"/>
      <c r="P94" s="331">
        <v>28</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175</v>
      </c>
      <c r="Q97" s="264"/>
      <c r="R97" s="5"/>
    </row>
    <row r="98" spans="1:19" ht="15.6" x14ac:dyDescent="0.3">
      <c r="A98" s="260"/>
      <c r="B98" s="261" t="s">
        <v>35</v>
      </c>
      <c r="C98" s="261"/>
      <c r="D98" s="261"/>
      <c r="E98" s="261"/>
      <c r="F98" s="261"/>
      <c r="G98" s="261"/>
      <c r="H98" s="261"/>
      <c r="I98" s="261"/>
      <c r="J98" s="261"/>
      <c r="K98" s="261"/>
      <c r="L98" s="261"/>
      <c r="M98" s="261"/>
      <c r="N98" s="330">
        <f>SUM(N90:N97)</f>
        <v>3698</v>
      </c>
      <c r="O98" s="261"/>
      <c r="P98" s="330">
        <f>SUM(P92:P97)</f>
        <v>2419</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11</v>
      </c>
      <c r="Q101" s="264"/>
      <c r="R101" s="5"/>
    </row>
    <row r="102" spans="1:19" ht="15.6" x14ac:dyDescent="0.3">
      <c r="A102" s="260"/>
      <c r="B102" s="261" t="s">
        <v>37</v>
      </c>
      <c r="C102" s="261"/>
      <c r="D102" s="261"/>
      <c r="E102" s="261"/>
      <c r="F102" s="261"/>
      <c r="G102" s="261"/>
      <c r="H102" s="261"/>
      <c r="I102" s="261"/>
      <c r="J102" s="261"/>
      <c r="K102" s="261"/>
      <c r="L102" s="261"/>
      <c r="M102" s="261"/>
      <c r="N102" s="330">
        <f>N98+N100+N99</f>
        <v>3698</v>
      </c>
      <c r="O102" s="261"/>
      <c r="P102" s="330">
        <f>P98+P100+P99+P101</f>
        <v>2430</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-88-44-5</f>
        <v>-137</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-258</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-188</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-337</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-215</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-204</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61</v>
      </c>
      <c r="O115" s="261"/>
      <c r="P115" s="331">
        <v>-61</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-179</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-841</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-584</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-792</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-689</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-1058</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-327</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-309</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-3759</v>
      </c>
      <c r="O129" s="330"/>
      <c r="P129" s="330">
        <f>SUM(P103:P128)</f>
        <v>-2430</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OCTOBER 2015</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61</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61</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-61</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343281</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343280.74481875123</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+'July 15'!M173</f>
        <v>89136</v>
      </c>
      <c r="N171" s="331">
        <f>+'July 15'!N173</f>
        <v>10230</v>
      </c>
      <c r="O171" s="261"/>
      <c r="P171" s="331">
        <f>M171+N171</f>
        <v>99366</v>
      </c>
      <c r="Q171" s="264"/>
      <c r="R171" s="5"/>
    </row>
    <row r="172" spans="1:19" ht="15.6" x14ac:dyDescent="0.3">
      <c r="A172" s="260"/>
      <c r="B172" s="261" t="s">
        <v>69</v>
      </c>
      <c r="C172" s="261"/>
      <c r="D172" s="261"/>
      <c r="E172" s="261"/>
      <c r="F172" s="261"/>
      <c r="G172" s="261"/>
      <c r="H172" s="261"/>
      <c r="I172" s="261"/>
      <c r="J172" s="261"/>
      <c r="K172" s="261"/>
      <c r="L172" s="261"/>
      <c r="M172" s="330">
        <v>584</v>
      </c>
      <c r="N172" s="330">
        <f>-N99-N122</f>
        <v>0</v>
      </c>
      <c r="O172" s="261"/>
      <c r="P172" s="331">
        <f>M172+N172</f>
        <v>584</v>
      </c>
      <c r="Q172" s="264"/>
      <c r="R172" s="5"/>
    </row>
    <row r="173" spans="1:19" ht="15.6" x14ac:dyDescent="0.3">
      <c r="A173" s="260"/>
      <c r="B173" s="261" t="s">
        <v>70</v>
      </c>
      <c r="C173" s="261"/>
      <c r="D173" s="261"/>
      <c r="E173" s="261"/>
      <c r="F173" s="261"/>
      <c r="G173" s="261"/>
      <c r="H173" s="261"/>
      <c r="I173" s="261"/>
      <c r="J173" s="261"/>
      <c r="K173" s="261"/>
      <c r="L173" s="261"/>
      <c r="M173" s="331">
        <f>M171+M172</f>
        <v>89720</v>
      </c>
      <c r="N173" s="331">
        <f>N172+N171</f>
        <v>10230</v>
      </c>
      <c r="O173" s="261"/>
      <c r="P173" s="331">
        <f>M173+N173</f>
        <v>99950</v>
      </c>
      <c r="Q173" s="264"/>
      <c r="R173" s="5"/>
    </row>
    <row r="174" spans="1:19" ht="15.6" x14ac:dyDescent="0.3">
      <c r="A174" s="260"/>
      <c r="B174" s="261" t="s">
        <v>71</v>
      </c>
      <c r="C174" s="261"/>
      <c r="D174" s="261"/>
      <c r="E174" s="261"/>
      <c r="F174" s="261"/>
      <c r="G174" s="261"/>
      <c r="H174" s="261"/>
      <c r="I174" s="261"/>
      <c r="J174" s="261"/>
      <c r="K174" s="261"/>
      <c r="L174" s="261"/>
      <c r="M174" s="331">
        <f>M170-M173-N173</f>
        <v>44050</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2.925925925925926</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1.58</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3.5990453460620526</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2.59</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OCTOBER 2015</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42307</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2.351E-2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1.391312944608375E-2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9.5968705539162501E-3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7.0138776641189646E-3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11.24</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1.0849862608816126E-2</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9.4200000000000006E-2</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1</v>
      </c>
      <c r="N206" s="305">
        <v>98</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26</v>
      </c>
      <c r="N207" s="353">
        <f>+N255</f>
        <v>4489</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61</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'July 15'!N213+'Oct 15'!N212</f>
        <v>6279</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5</v>
      </c>
      <c r="N219" s="353">
        <v>535</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2.6</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2944</v>
      </c>
      <c r="M225" s="382">
        <f t="shared" ref="M225:M232" si="2">L225/$L$233</f>
        <v>0.99526707234617984</v>
      </c>
      <c r="N225" s="331">
        <f t="shared" ref="N225:N232" si="3">+N236+N247+N258</f>
        <v>342073</v>
      </c>
      <c r="O225" s="382">
        <f t="shared" ref="O225:O232" si="4">N225/$N$233</f>
        <v>0.99648101700938885</v>
      </c>
      <c r="P225" s="306"/>
      <c r="Q225" s="417"/>
      <c r="R225" s="5"/>
    </row>
    <row r="226" spans="1:18" ht="15.6" x14ac:dyDescent="0.3">
      <c r="A226" s="260"/>
      <c r="B226" s="330" t="s">
        <v>99</v>
      </c>
      <c r="C226" s="381"/>
      <c r="D226" s="261"/>
      <c r="E226" s="382"/>
      <c r="F226" s="381"/>
      <c r="G226" s="381"/>
      <c r="H226" s="381"/>
      <c r="I226" s="381"/>
      <c r="J226" s="381"/>
      <c r="K226" s="381"/>
      <c r="L226" s="330">
        <f t="shared" si="1"/>
        <v>2</v>
      </c>
      <c r="M226" s="382">
        <f t="shared" si="2"/>
        <v>6.7613252197430695E-4</v>
      </c>
      <c r="N226" s="331">
        <f t="shared" si="3"/>
        <v>20</v>
      </c>
      <c r="O226" s="382">
        <f t="shared" si="4"/>
        <v>5.8261307791575996E-5</v>
      </c>
      <c r="P226" s="354"/>
      <c r="Q226" s="373"/>
      <c r="R226" s="5"/>
    </row>
    <row r="227" spans="1:18" ht="15.6" x14ac:dyDescent="0.3">
      <c r="A227" s="260"/>
      <c r="B227" s="330" t="s">
        <v>100</v>
      </c>
      <c r="C227" s="381"/>
      <c r="D227" s="261"/>
      <c r="E227" s="382"/>
      <c r="F227" s="381"/>
      <c r="G227" s="381"/>
      <c r="H227" s="381"/>
      <c r="I227" s="381"/>
      <c r="J227" s="381"/>
      <c r="K227" s="381"/>
      <c r="L227" s="330">
        <f t="shared" si="1"/>
        <v>0</v>
      </c>
      <c r="M227" s="382">
        <f t="shared" si="2"/>
        <v>0</v>
      </c>
      <c r="N227" s="331">
        <f t="shared" si="3"/>
        <v>0</v>
      </c>
      <c r="O227" s="382">
        <f t="shared" si="4"/>
        <v>0</v>
      </c>
      <c r="P227" s="354"/>
      <c r="Q227" s="373"/>
      <c r="R227" s="5"/>
    </row>
    <row r="228" spans="1:18" ht="15.6" x14ac:dyDescent="0.3">
      <c r="A228" s="260"/>
      <c r="B228" s="330" t="s">
        <v>227</v>
      </c>
      <c r="C228" s="381"/>
      <c r="D228" s="261"/>
      <c r="E228" s="382"/>
      <c r="F228" s="381"/>
      <c r="G228" s="381"/>
      <c r="H228" s="381"/>
      <c r="I228" s="381"/>
      <c r="J228" s="381"/>
      <c r="K228" s="381"/>
      <c r="L228" s="330">
        <f t="shared" si="1"/>
        <v>2</v>
      </c>
      <c r="M228" s="382">
        <f t="shared" si="2"/>
        <v>6.7613252197430695E-4</v>
      </c>
      <c r="N228" s="331">
        <f t="shared" si="3"/>
        <v>90</v>
      </c>
      <c r="O228" s="382">
        <f t="shared" si="4"/>
        <v>2.6217588506209199E-4</v>
      </c>
      <c r="P228" s="354"/>
      <c r="Q228" s="373"/>
      <c r="R228" s="5"/>
    </row>
    <row r="229" spans="1:18" ht="15.6" x14ac:dyDescent="0.3">
      <c r="A229" s="260"/>
      <c r="B229" s="330" t="s">
        <v>228</v>
      </c>
      <c r="C229" s="381"/>
      <c r="D229" s="261"/>
      <c r="E229" s="382"/>
      <c r="F229" s="381"/>
      <c r="G229" s="381"/>
      <c r="H229" s="381"/>
      <c r="I229" s="381"/>
      <c r="J229" s="381"/>
      <c r="K229" s="381"/>
      <c r="L229" s="330">
        <f t="shared" si="1"/>
        <v>2</v>
      </c>
      <c r="M229" s="382">
        <f t="shared" si="2"/>
        <v>6.7613252197430695E-4</v>
      </c>
      <c r="N229" s="331">
        <f t="shared" si="3"/>
        <v>264</v>
      </c>
      <c r="O229" s="382">
        <f t="shared" si="4"/>
        <v>7.6904926284880322E-4</v>
      </c>
      <c r="P229" s="354"/>
      <c r="Q229" s="373"/>
      <c r="R229" s="5"/>
    </row>
    <row r="230" spans="1:18" ht="15.6" x14ac:dyDescent="0.3">
      <c r="A230" s="260"/>
      <c r="B230" s="330" t="s">
        <v>229</v>
      </c>
      <c r="C230" s="381"/>
      <c r="D230" s="261"/>
      <c r="E230" s="382"/>
      <c r="F230" s="381"/>
      <c r="G230" s="381"/>
      <c r="H230" s="381"/>
      <c r="I230" s="381"/>
      <c r="J230" s="381"/>
      <c r="K230" s="381"/>
      <c r="L230" s="330">
        <f t="shared" si="1"/>
        <v>2</v>
      </c>
      <c r="M230" s="382">
        <f t="shared" si="2"/>
        <v>6.7613252197430695E-4</v>
      </c>
      <c r="N230" s="331">
        <f t="shared" si="3"/>
        <v>56</v>
      </c>
      <c r="O230" s="382">
        <f t="shared" si="4"/>
        <v>1.631316618164128E-4</v>
      </c>
      <c r="P230" s="354"/>
      <c r="Q230" s="373"/>
      <c r="R230" s="5"/>
    </row>
    <row r="231" spans="1:18" ht="15.6" x14ac:dyDescent="0.3">
      <c r="A231" s="260"/>
      <c r="B231" s="330" t="s">
        <v>230</v>
      </c>
      <c r="C231" s="381"/>
      <c r="D231" s="261"/>
      <c r="E231" s="382"/>
      <c r="F231" s="381"/>
      <c r="G231" s="381"/>
      <c r="H231" s="381"/>
      <c r="I231" s="381"/>
      <c r="J231" s="381"/>
      <c r="K231" s="381"/>
      <c r="L231" s="330">
        <f t="shared" si="1"/>
        <v>4</v>
      </c>
      <c r="M231" s="382">
        <f t="shared" si="2"/>
        <v>1.3522650439486139E-3</v>
      </c>
      <c r="N231" s="331">
        <f t="shared" si="3"/>
        <v>392</v>
      </c>
      <c r="O231" s="382">
        <f t="shared" si="4"/>
        <v>1.1419216327148895E-3</v>
      </c>
      <c r="P231" s="354"/>
      <c r="Q231" s="373"/>
      <c r="R231" s="5"/>
    </row>
    <row r="232" spans="1:18" ht="15.6" x14ac:dyDescent="0.3">
      <c r="A232" s="260"/>
      <c r="B232" s="330" t="s">
        <v>231</v>
      </c>
      <c r="C232" s="381"/>
      <c r="D232" s="261"/>
      <c r="E232" s="382"/>
      <c r="F232" s="381"/>
      <c r="G232" s="381"/>
      <c r="H232" s="381"/>
      <c r="I232" s="381"/>
      <c r="J232" s="381"/>
      <c r="K232" s="381"/>
      <c r="L232" s="330">
        <f t="shared" si="1"/>
        <v>2</v>
      </c>
      <c r="M232" s="382">
        <f t="shared" si="2"/>
        <v>6.7613252197430695E-4</v>
      </c>
      <c r="N232" s="331">
        <f t="shared" si="3"/>
        <v>386</v>
      </c>
      <c r="O232" s="382">
        <f t="shared" si="4"/>
        <v>1.1244432403774167E-3</v>
      </c>
      <c r="P232" s="354"/>
      <c r="Q232" s="373"/>
      <c r="R232" s="5"/>
    </row>
    <row r="233" spans="1:18" ht="15.6" x14ac:dyDescent="0.3">
      <c r="A233" s="260"/>
      <c r="B233" s="261" t="s">
        <v>129</v>
      </c>
      <c r="C233" s="261"/>
      <c r="D233" s="261"/>
      <c r="E233" s="261"/>
      <c r="F233" s="383"/>
      <c r="G233" s="383"/>
      <c r="H233" s="383"/>
      <c r="I233" s="383"/>
      <c r="J233" s="383"/>
      <c r="K233" s="383"/>
      <c r="L233" s="330">
        <f>SUM(L225:L232)</f>
        <v>2958</v>
      </c>
      <c r="M233" s="382">
        <f>SUM(M225:M232)</f>
        <v>0.99999999999999989</v>
      </c>
      <c r="N233" s="330">
        <f>SUM(N225:N232)</f>
        <v>343281</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2922</v>
      </c>
      <c r="M236" s="310">
        <f t="shared" ref="M236:M243" si="5">L236/$L$244</f>
        <v>0.99658935879945432</v>
      </c>
      <c r="N236" s="300">
        <v>338279</v>
      </c>
      <c r="O236" s="310">
        <f t="shared" ref="O236:O243" si="6">N236/$N$244</f>
        <v>0.99848579659496095</v>
      </c>
      <c r="P236" s="306"/>
      <c r="Q236" s="417"/>
      <c r="R236" s="5"/>
    </row>
    <row r="237" spans="1:18" ht="15.6" x14ac:dyDescent="0.3">
      <c r="A237" s="260"/>
      <c r="B237" s="330" t="s">
        <v>99</v>
      </c>
      <c r="C237" s="381"/>
      <c r="D237" s="261"/>
      <c r="E237" s="382"/>
      <c r="F237" s="381"/>
      <c r="G237" s="381"/>
      <c r="H237" s="381"/>
      <c r="I237" s="381"/>
      <c r="J237" s="381"/>
      <c r="K237" s="381"/>
      <c r="L237" s="330">
        <v>2</v>
      </c>
      <c r="M237" s="382">
        <f t="shared" si="5"/>
        <v>6.8212824010914052E-4</v>
      </c>
      <c r="N237" s="331">
        <v>20</v>
      </c>
      <c r="O237" s="382">
        <f t="shared" si="6"/>
        <v>5.9033271151621056E-5</v>
      </c>
      <c r="P237" s="354"/>
      <c r="Q237" s="373"/>
      <c r="R237" s="5"/>
    </row>
    <row r="238" spans="1:18" ht="15.6" x14ac:dyDescent="0.3">
      <c r="A238" s="260"/>
      <c r="B238" s="330" t="s">
        <v>100</v>
      </c>
      <c r="C238" s="381"/>
      <c r="D238" s="261"/>
      <c r="E238" s="382"/>
      <c r="F238" s="381"/>
      <c r="G238" s="381"/>
      <c r="H238" s="381"/>
      <c r="I238" s="381"/>
      <c r="J238" s="381"/>
      <c r="K238" s="381"/>
      <c r="L238" s="330">
        <v>0</v>
      </c>
      <c r="M238" s="382">
        <f t="shared" si="5"/>
        <v>0</v>
      </c>
      <c r="N238" s="331">
        <v>0</v>
      </c>
      <c r="O238" s="382">
        <f t="shared" si="6"/>
        <v>0</v>
      </c>
      <c r="P238" s="354"/>
      <c r="Q238" s="373"/>
      <c r="R238" s="5"/>
    </row>
    <row r="239" spans="1:18" ht="15.6" x14ac:dyDescent="0.3">
      <c r="A239" s="260"/>
      <c r="B239" s="330" t="s">
        <v>227</v>
      </c>
      <c r="C239" s="381"/>
      <c r="D239" s="261"/>
      <c r="E239" s="382"/>
      <c r="F239" s="381"/>
      <c r="G239" s="381"/>
      <c r="H239" s="381"/>
      <c r="I239" s="381"/>
      <c r="J239" s="381"/>
      <c r="K239" s="381"/>
      <c r="L239" s="330">
        <v>1</v>
      </c>
      <c r="M239" s="382">
        <f t="shared" si="5"/>
        <v>3.4106412005457026E-4</v>
      </c>
      <c r="N239" s="331">
        <v>16</v>
      </c>
      <c r="O239" s="382">
        <f t="shared" si="6"/>
        <v>4.7226616921296842E-5</v>
      </c>
      <c r="P239" s="354"/>
      <c r="Q239" s="373"/>
      <c r="R239" s="5"/>
    </row>
    <row r="240" spans="1:18" ht="15.6" x14ac:dyDescent="0.3">
      <c r="A240" s="260"/>
      <c r="B240" s="330" t="s">
        <v>228</v>
      </c>
      <c r="C240" s="381"/>
      <c r="D240" s="261"/>
      <c r="E240" s="382"/>
      <c r="F240" s="381"/>
      <c r="G240" s="381"/>
      <c r="H240" s="381"/>
      <c r="I240" s="381"/>
      <c r="J240" s="381"/>
      <c r="K240" s="381"/>
      <c r="L240" s="330">
        <v>2</v>
      </c>
      <c r="M240" s="382">
        <f t="shared" si="5"/>
        <v>6.8212824010914052E-4</v>
      </c>
      <c r="N240" s="331">
        <v>264</v>
      </c>
      <c r="O240" s="382">
        <f t="shared" si="6"/>
        <v>7.792391792013979E-4</v>
      </c>
      <c r="P240" s="354"/>
      <c r="Q240" s="373"/>
      <c r="R240" s="5"/>
    </row>
    <row r="241" spans="1:18" ht="15.6" x14ac:dyDescent="0.3">
      <c r="A241" s="260"/>
      <c r="B241" s="330" t="s">
        <v>229</v>
      </c>
      <c r="C241" s="381"/>
      <c r="D241" s="261"/>
      <c r="E241" s="382"/>
      <c r="F241" s="381"/>
      <c r="G241" s="381"/>
      <c r="H241" s="381"/>
      <c r="I241" s="381"/>
      <c r="J241" s="381"/>
      <c r="K241" s="381"/>
      <c r="L241" s="330">
        <v>2</v>
      </c>
      <c r="M241" s="382">
        <f t="shared" si="5"/>
        <v>6.8212824010914052E-4</v>
      </c>
      <c r="N241" s="331">
        <v>56</v>
      </c>
      <c r="O241" s="382">
        <f t="shared" si="6"/>
        <v>1.6529315922453894E-4</v>
      </c>
      <c r="P241" s="354"/>
      <c r="Q241" s="373"/>
      <c r="R241" s="5"/>
    </row>
    <row r="242" spans="1:18" ht="15.6" x14ac:dyDescent="0.3">
      <c r="A242" s="260"/>
      <c r="B242" s="330" t="s">
        <v>230</v>
      </c>
      <c r="C242" s="381"/>
      <c r="D242" s="261"/>
      <c r="E242" s="382"/>
      <c r="F242" s="381"/>
      <c r="G242" s="381"/>
      <c r="H242" s="381"/>
      <c r="I242" s="381"/>
      <c r="J242" s="381"/>
      <c r="K242" s="381"/>
      <c r="L242" s="330">
        <v>3</v>
      </c>
      <c r="M242" s="382">
        <f t="shared" si="5"/>
        <v>1.0231923601637107E-3</v>
      </c>
      <c r="N242" s="331">
        <v>157</v>
      </c>
      <c r="O242" s="382">
        <f t="shared" si="6"/>
        <v>4.6341117854022525E-4</v>
      </c>
      <c r="P242" s="354"/>
      <c r="Q242" s="373"/>
      <c r="R242" s="5"/>
    </row>
    <row r="243" spans="1:18" ht="15.6" x14ac:dyDescent="0.3">
      <c r="A243" s="260"/>
      <c r="B243" s="330" t="s">
        <v>231</v>
      </c>
      <c r="C243" s="381"/>
      <c r="D243" s="261"/>
      <c r="E243" s="382"/>
      <c r="F243" s="381"/>
      <c r="G243" s="381"/>
      <c r="H243" s="381"/>
      <c r="I243" s="381"/>
      <c r="J243" s="381"/>
      <c r="K243" s="381"/>
      <c r="L243" s="330">
        <v>0</v>
      </c>
      <c r="M243" s="382">
        <f t="shared" si="5"/>
        <v>0</v>
      </c>
      <c r="N243" s="331">
        <v>0</v>
      </c>
      <c r="O243" s="382">
        <f t="shared" si="6"/>
        <v>0</v>
      </c>
      <c r="P243" s="354"/>
      <c r="Q243" s="373"/>
      <c r="R243" s="5"/>
    </row>
    <row r="244" spans="1:18" ht="15.6" x14ac:dyDescent="0.3">
      <c r="A244" s="260"/>
      <c r="B244" s="261" t="s">
        <v>129</v>
      </c>
      <c r="C244" s="261"/>
      <c r="D244" s="261"/>
      <c r="E244" s="261"/>
      <c r="F244" s="383"/>
      <c r="G244" s="383"/>
      <c r="H244" s="383"/>
      <c r="I244" s="383"/>
      <c r="J244" s="383"/>
      <c r="K244" s="383"/>
      <c r="L244" s="330">
        <f>SUM(L236:L243)</f>
        <v>2932</v>
      </c>
      <c r="M244" s="382">
        <f>SUM(M236:M243)</f>
        <v>1</v>
      </c>
      <c r="N244" s="331">
        <f>SUM(N236:N243)</f>
        <v>338792</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22</v>
      </c>
      <c r="M247" s="310">
        <f t="shared" ref="M247:M254" si="7">L247/$L$255</f>
        <v>0.84615384615384615</v>
      </c>
      <c r="N247" s="300">
        <v>3794</v>
      </c>
      <c r="O247" s="310">
        <f t="shared" ref="O247:O254" si="8">N247/$N$255</f>
        <v>0.84517709957674314</v>
      </c>
      <c r="P247" s="306"/>
      <c r="Q247" s="408"/>
      <c r="R247" s="5"/>
    </row>
    <row r="248" spans="1:18" ht="15.6" x14ac:dyDescent="0.3">
      <c r="A248" s="260"/>
      <c r="B248" s="330" t="s">
        <v>99</v>
      </c>
      <c r="C248" s="381"/>
      <c r="D248" s="261"/>
      <c r="E248" s="382"/>
      <c r="F248" s="381"/>
      <c r="G248" s="381"/>
      <c r="H248" s="381"/>
      <c r="I248" s="381"/>
      <c r="J248" s="381"/>
      <c r="K248" s="381"/>
      <c r="L248" s="330">
        <v>0</v>
      </c>
      <c r="M248" s="382">
        <f t="shared" si="7"/>
        <v>0</v>
      </c>
      <c r="N248" s="331">
        <v>0</v>
      </c>
      <c r="O248" s="382">
        <f t="shared" si="8"/>
        <v>0</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1</v>
      </c>
      <c r="M250" s="382">
        <f t="shared" si="7"/>
        <v>3.8461538461538464E-2</v>
      </c>
      <c r="N250" s="331">
        <v>74</v>
      </c>
      <c r="O250" s="382">
        <f t="shared" si="8"/>
        <v>1.6484740476720872E-2</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1</v>
      </c>
      <c r="M253" s="382">
        <f t="shared" si="7"/>
        <v>3.8461538461538464E-2</v>
      </c>
      <c r="N253" s="331">
        <v>235</v>
      </c>
      <c r="O253" s="382">
        <f t="shared" si="8"/>
        <v>5.2350189351748719E-2</v>
      </c>
      <c r="P253" s="354"/>
      <c r="Q253" s="264"/>
      <c r="R253" s="5"/>
    </row>
    <row r="254" spans="1:18" ht="15.6" x14ac:dyDescent="0.3">
      <c r="A254" s="260"/>
      <c r="B254" s="330" t="s">
        <v>231</v>
      </c>
      <c r="C254" s="381"/>
      <c r="D254" s="261"/>
      <c r="E254" s="382"/>
      <c r="F254" s="381"/>
      <c r="G254" s="381"/>
      <c r="H254" s="381"/>
      <c r="I254" s="381"/>
      <c r="J254" s="381"/>
      <c r="K254" s="381"/>
      <c r="L254" s="330">
        <v>2</v>
      </c>
      <c r="M254" s="382">
        <f t="shared" si="7"/>
        <v>7.6923076923076927E-2</v>
      </c>
      <c r="N254" s="331">
        <v>386</v>
      </c>
      <c r="O254" s="382">
        <f t="shared" si="8"/>
        <v>8.5987970594787258E-2</v>
      </c>
      <c r="P254" s="354"/>
      <c r="Q254" s="264"/>
      <c r="R254" s="5"/>
    </row>
    <row r="255" spans="1:18" ht="15.6" x14ac:dyDescent="0.3">
      <c r="A255" s="260"/>
      <c r="B255" s="261" t="s">
        <v>129</v>
      </c>
      <c r="C255" s="261"/>
      <c r="D255" s="261"/>
      <c r="E255" s="261"/>
      <c r="F255" s="383"/>
      <c r="G255" s="383"/>
      <c r="H255" s="383"/>
      <c r="I255" s="383"/>
      <c r="J255" s="383"/>
      <c r="K255" s="383"/>
      <c r="L255" s="330">
        <f>SUM(L247:L254)</f>
        <v>26</v>
      </c>
      <c r="M255" s="382">
        <f>SUM(M247:M254)</f>
        <v>1</v>
      </c>
      <c r="N255" s="331">
        <f>SUM(N247:N254)</f>
        <v>4489</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f>SUM(M258:M265)</f>
        <v>0</v>
      </c>
      <c r="N266" s="331">
        <f>SUM(N258:N265)</f>
        <v>0</v>
      </c>
      <c r="O266" s="382">
        <f>SUM(O258:O265)</f>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2958</v>
      </c>
      <c r="M268" s="382"/>
      <c r="N268" s="386">
        <f>+N266+N255+N244</f>
        <v>343281</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418"/>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418"/>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5.6" x14ac:dyDescent="0.3">
      <c r="A277" s="225"/>
      <c r="B277" s="228"/>
      <c r="C277" s="228"/>
      <c r="D277" s="228"/>
      <c r="E277" s="314"/>
      <c r="F277" s="249"/>
      <c r="G277" s="249"/>
      <c r="H277" s="249"/>
      <c r="I277" s="249"/>
      <c r="J277" s="249"/>
      <c r="K277" s="249"/>
      <c r="L277" s="249"/>
      <c r="M277" s="249"/>
      <c r="N277" s="249"/>
      <c r="O277" s="249"/>
      <c r="P277" s="249"/>
      <c r="Q277" s="418"/>
      <c r="R277" s="5"/>
    </row>
    <row r="278" spans="1:18" ht="18" thickBot="1" x14ac:dyDescent="0.35">
      <c r="A278" s="225"/>
      <c r="B278" s="315" t="str">
        <f>B185</f>
        <v>PM7 INVESTOR REPORT QUARTER ENDING OCTOBER 2015</v>
      </c>
      <c r="C278" s="228"/>
      <c r="D278" s="228"/>
      <c r="E278" s="314"/>
      <c r="F278" s="249"/>
      <c r="G278" s="249"/>
      <c r="H278" s="249"/>
      <c r="I278" s="249"/>
      <c r="J278" s="249"/>
      <c r="K278" s="249"/>
      <c r="L278" s="249"/>
      <c r="M278" s="249"/>
      <c r="N278" s="249"/>
      <c r="O278" s="249"/>
      <c r="P278" s="249"/>
      <c r="Q278" s="41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6" man="1"/>
    <brk id="133" max="16" man="1"/>
    <brk id="185" max="16" man="1"/>
    <brk id="278" max="16" man="1"/>
  </rowBreaks>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0.96089999999999998</v>
      </c>
      <c r="N17" s="246" t="s">
        <v>173</v>
      </c>
      <c r="O17" s="245">
        <v>3.9100000000000003E-2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42419</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323</v>
      </c>
      <c r="K27" s="392"/>
      <c r="L27" s="392" t="s">
        <v>323</v>
      </c>
      <c r="M27" s="392"/>
      <c r="N27" s="262"/>
      <c r="O27" s="263"/>
      <c r="P27" s="263"/>
      <c r="Q27" s="264"/>
      <c r="R27" s="5"/>
    </row>
    <row r="28" spans="1:19" ht="15.6" x14ac:dyDescent="0.3">
      <c r="A28" s="265"/>
      <c r="B28" s="266" t="s">
        <v>10</v>
      </c>
      <c r="C28" s="392"/>
      <c r="D28" s="392" t="s">
        <v>322</v>
      </c>
      <c r="E28" s="392"/>
      <c r="F28" s="392" t="s">
        <v>322</v>
      </c>
      <c r="G28" s="392"/>
      <c r="H28" s="392" t="s">
        <v>322</v>
      </c>
      <c r="I28" s="392"/>
      <c r="J28" s="392" t="s">
        <v>322</v>
      </c>
      <c r="K28" s="392"/>
      <c r="L28" s="392" t="s">
        <v>322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292</v>
      </c>
      <c r="K29" s="392"/>
      <c r="L29" s="392" t="s">
        <v>292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152416.215</v>
      </c>
      <c r="E34" s="271"/>
      <c r="F34" s="272">
        <f>+F33*F40</f>
        <v>74493.144</v>
      </c>
      <c r="G34" s="271"/>
      <c r="H34" s="273">
        <f>+H33*H40</f>
        <v>169361.85</v>
      </c>
      <c r="I34" s="271"/>
      <c r="J34" s="270">
        <f>J33*J40</f>
        <v>62886.392249999997</v>
      </c>
      <c r="K34" s="271"/>
      <c r="L34" s="273">
        <f>L33*L40</f>
        <v>49546.789500000006</v>
      </c>
      <c r="M34" s="271"/>
      <c r="N34" s="271"/>
      <c r="O34" s="274"/>
      <c r="P34" s="271"/>
      <c r="Q34" s="275"/>
      <c r="R34" s="5"/>
    </row>
    <row r="35" spans="1:19" ht="15.6" x14ac:dyDescent="0.3">
      <c r="A35" s="265"/>
      <c r="B35" s="266" t="s">
        <v>158</v>
      </c>
      <c r="C35" s="276"/>
      <c r="D35" s="277">
        <f>+D33*D39</f>
        <v>150900.21000000002</v>
      </c>
      <c r="E35" s="278"/>
      <c r="F35" s="279">
        <f>+F33*F39</f>
        <v>73752.228000000003</v>
      </c>
      <c r="G35" s="278"/>
      <c r="H35" s="280">
        <f>+H33*H39</f>
        <v>167677.29999999999</v>
      </c>
      <c r="I35" s="278"/>
      <c r="J35" s="277">
        <f>J33*J39</f>
        <v>62260.893750000003</v>
      </c>
      <c r="K35" s="278"/>
      <c r="L35" s="280">
        <f>L33*L39</f>
        <v>49053.966</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85675.219224283312</v>
      </c>
      <c r="E37" s="271"/>
      <c r="F37" s="271">
        <f>+F34</f>
        <v>74493.144</v>
      </c>
      <c r="G37" s="271"/>
      <c r="H37" s="271">
        <f>+H34/1.481481</f>
        <v>114319.28590376792</v>
      </c>
      <c r="I37" s="271"/>
      <c r="J37" s="271">
        <f>J36*J40</f>
        <v>35349.012778199998</v>
      </c>
      <c r="K37" s="271"/>
      <c r="L37" s="271">
        <f>L36*L40</f>
        <v>33444.082912500002</v>
      </c>
      <c r="M37" s="271"/>
      <c r="N37" s="271"/>
      <c r="O37" s="274"/>
      <c r="P37" s="271">
        <f>SUM(C37:L37)</f>
        <v>343280.74481875123</v>
      </c>
      <c r="Q37" s="275"/>
      <c r="R37" s="5"/>
      <c r="S37" s="154"/>
    </row>
    <row r="38" spans="1:19" ht="15.6" x14ac:dyDescent="0.3">
      <c r="A38" s="265"/>
      <c r="B38" s="266" t="s">
        <v>281</v>
      </c>
      <c r="C38" s="276"/>
      <c r="D38" s="278">
        <f>D35/1.779</f>
        <v>84823.052276559887</v>
      </c>
      <c r="E38" s="278"/>
      <c r="F38" s="278">
        <f>+F35</f>
        <v>73752.228000000003</v>
      </c>
      <c r="G38" s="278"/>
      <c r="H38" s="278">
        <f>H35/1.481481</f>
        <v>113182.21428421963</v>
      </c>
      <c r="I38" s="278"/>
      <c r="J38" s="278">
        <f>J36*J39</f>
        <v>34997.414385000004</v>
      </c>
      <c r="K38" s="278"/>
      <c r="L38" s="278">
        <f>L36*L39</f>
        <v>33111.427049999998</v>
      </c>
      <c r="M38" s="278"/>
      <c r="N38" s="278"/>
      <c r="O38" s="281"/>
      <c r="P38" s="278">
        <f>SUM(D38:L38)+1</f>
        <v>339867.33599577955</v>
      </c>
      <c r="Q38" s="275"/>
      <c r="R38" s="5"/>
      <c r="S38" s="176"/>
    </row>
    <row r="39" spans="1:19" ht="15.6" x14ac:dyDescent="0.3">
      <c r="A39" s="265"/>
      <c r="B39" s="282" t="s">
        <v>154</v>
      </c>
      <c r="C39" s="283"/>
      <c r="D39" s="284">
        <v>0.33533380000000002</v>
      </c>
      <c r="E39" s="284"/>
      <c r="F39" s="284">
        <v>0.33523740000000002</v>
      </c>
      <c r="G39" s="284"/>
      <c r="H39" s="284">
        <v>0.3353546</v>
      </c>
      <c r="I39" s="284"/>
      <c r="J39" s="284">
        <v>0.7546775</v>
      </c>
      <c r="K39" s="284"/>
      <c r="L39" s="284">
        <v>0.75467640000000002</v>
      </c>
      <c r="M39" s="285"/>
      <c r="N39" s="285"/>
      <c r="O39" s="286"/>
      <c r="P39" s="285"/>
      <c r="Q39" s="287"/>
      <c r="R39" s="5"/>
    </row>
    <row r="40" spans="1:19" ht="15.6" x14ac:dyDescent="0.3">
      <c r="A40" s="265"/>
      <c r="B40" s="282" t="s">
        <v>155</v>
      </c>
      <c r="C40" s="283"/>
      <c r="D40" s="284">
        <v>0.33870270000000002</v>
      </c>
      <c r="E40" s="284"/>
      <c r="F40" s="284">
        <v>0.3386052</v>
      </c>
      <c r="G40" s="284"/>
      <c r="H40" s="284">
        <v>0.33872370000000002</v>
      </c>
      <c r="I40" s="284"/>
      <c r="J40" s="284">
        <v>0.76225929999999997</v>
      </c>
      <c r="K40" s="284"/>
      <c r="L40" s="284">
        <v>0.76225830000000006</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7.816E-3</v>
      </c>
      <c r="E42" s="290"/>
      <c r="F42" s="289">
        <v>9.9313000000000005E-3</v>
      </c>
      <c r="G42" s="290"/>
      <c r="H42" s="289">
        <v>3.3899999999999998E-3</v>
      </c>
      <c r="I42" s="290"/>
      <c r="J42" s="289">
        <v>1.8616000000000001E-2</v>
      </c>
      <c r="K42" s="290"/>
      <c r="L42" s="289">
        <v>1.4189999999999999E-2</v>
      </c>
      <c r="M42" s="290"/>
      <c r="N42" s="289"/>
      <c r="O42" s="263"/>
      <c r="P42" s="290"/>
      <c r="Q42" s="264"/>
      <c r="R42" s="5"/>
    </row>
    <row r="43" spans="1:19" ht="15.6" x14ac:dyDescent="0.3">
      <c r="A43" s="260"/>
      <c r="B43" s="261" t="s">
        <v>14</v>
      </c>
      <c r="C43" s="261"/>
      <c r="D43" s="289">
        <v>7.4050000000000001E-3</v>
      </c>
      <c r="E43" s="290"/>
      <c r="F43" s="289">
        <v>1.0056300000000001E-2</v>
      </c>
      <c r="G43" s="290"/>
      <c r="H43" s="289">
        <v>3.96E-3</v>
      </c>
      <c r="I43" s="290"/>
      <c r="J43" s="289">
        <v>1.8204999999999999E-2</v>
      </c>
      <c r="K43" s="290"/>
      <c r="L43" s="289">
        <v>1.4760000000000001E-2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1.18213E-2</v>
      </c>
      <c r="E45" s="290"/>
      <c r="F45" s="289">
        <f>+F42</f>
        <v>9.9313000000000005E-3</v>
      </c>
      <c r="G45" s="290"/>
      <c r="H45" s="289">
        <v>1.1581299999999999E-2</v>
      </c>
      <c r="I45" s="290"/>
      <c r="J45" s="289">
        <v>2.40813E-2</v>
      </c>
      <c r="K45" s="290"/>
      <c r="L45" s="289">
        <v>2.40813E-2</v>
      </c>
      <c r="M45" s="290"/>
      <c r="N45" s="289"/>
      <c r="O45" s="263"/>
      <c r="P45" s="290">
        <f>SUMPRODUCT(D45:L45,D37:L37)/P37</f>
        <v>1.3788129461254996E-2</v>
      </c>
      <c r="Q45" s="264"/>
      <c r="R45" s="5"/>
    </row>
    <row r="46" spans="1:19" ht="15.6" x14ac:dyDescent="0.3">
      <c r="A46" s="260"/>
      <c r="B46" s="261" t="s">
        <v>283</v>
      </c>
      <c r="C46" s="261"/>
      <c r="D46" s="289">
        <v>1.19463E-2</v>
      </c>
      <c r="E46" s="290"/>
      <c r="F46" s="289">
        <f>+F43</f>
        <v>1.0056300000000001E-2</v>
      </c>
      <c r="G46" s="290"/>
      <c r="H46" s="289">
        <v>1.1706299999999999E-2</v>
      </c>
      <c r="I46" s="290"/>
      <c r="J46" s="289">
        <v>2.42063E-2</v>
      </c>
      <c r="K46" s="290"/>
      <c r="L46" s="289">
        <v>2.42063E-2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0.25062359934204953</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42416</v>
      </c>
      <c r="Q57" s="264"/>
      <c r="R57" s="5"/>
    </row>
    <row r="58" spans="1:18" ht="15.6" x14ac:dyDescent="0.3">
      <c r="A58" s="260"/>
      <c r="B58" s="261" t="s">
        <v>142</v>
      </c>
      <c r="C58" s="261"/>
      <c r="D58" s="261"/>
      <c r="E58" s="261"/>
      <c r="F58" s="297"/>
      <c r="G58" s="297"/>
      <c r="H58" s="297"/>
      <c r="I58" s="297"/>
      <c r="J58" s="297"/>
      <c r="K58" s="297"/>
      <c r="L58" s="261">
        <f>+P58-N58+1</f>
        <v>91</v>
      </c>
      <c r="M58" s="297"/>
      <c r="N58" s="298">
        <v>42233</v>
      </c>
      <c r="O58" s="299"/>
      <c r="P58" s="298">
        <v>42323</v>
      </c>
      <c r="Q58" s="264"/>
      <c r="R58" s="5"/>
    </row>
    <row r="59" spans="1:18" ht="15.6" x14ac:dyDescent="0.3">
      <c r="A59" s="260"/>
      <c r="B59" s="261" t="s">
        <v>143</v>
      </c>
      <c r="C59" s="261"/>
      <c r="D59" s="261"/>
      <c r="E59" s="261"/>
      <c r="F59" s="261"/>
      <c r="G59" s="261"/>
      <c r="H59" s="261"/>
      <c r="I59" s="261"/>
      <c r="J59" s="261"/>
      <c r="K59" s="261"/>
      <c r="L59" s="261">
        <f>+P59-N59+1</f>
        <v>92</v>
      </c>
      <c r="M59" s="261"/>
      <c r="N59" s="298">
        <v>42324</v>
      </c>
      <c r="O59" s="299"/>
      <c r="P59" s="298">
        <v>42415</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42401</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325</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343281</v>
      </c>
      <c r="I69" s="330"/>
      <c r="J69" s="330">
        <f>3414+83</f>
        <v>3497</v>
      </c>
      <c r="K69" s="330"/>
      <c r="L69" s="330">
        <v>83</v>
      </c>
      <c r="M69" s="330"/>
      <c r="N69" s="330">
        <v>0</v>
      </c>
      <c r="O69" s="330"/>
      <c r="P69" s="331">
        <f>+H69-J69+L69-N69</f>
        <v>339867</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343281</v>
      </c>
      <c r="I72" s="330"/>
      <c r="J72" s="330">
        <f>SUM(J69:J71)</f>
        <v>3497</v>
      </c>
      <c r="K72" s="330"/>
      <c r="L72" s="330">
        <f>SUM(L69:L71)</f>
        <v>83</v>
      </c>
      <c r="M72" s="330"/>
      <c r="N72" s="330">
        <f>SUM(N69:N71)</f>
        <v>0</v>
      </c>
      <c r="O72" s="330"/>
      <c r="P72" s="330">
        <f>SUM(P69:P71)</f>
        <v>339867</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343281</v>
      </c>
      <c r="I86" s="330"/>
      <c r="J86" s="330">
        <f>SUM(J72:J85)</f>
        <v>3497</v>
      </c>
      <c r="K86" s="330"/>
      <c r="L86" s="330">
        <f>SUM(L72:L85)</f>
        <v>83</v>
      </c>
      <c r="M86" s="330"/>
      <c r="N86" s="330"/>
      <c r="O86" s="330"/>
      <c r="P86" s="330">
        <f>SUM(P72:P85)</f>
        <v>339867</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42398</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3497+6</f>
        <v>3503</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2496+137-615-61</f>
        <v>1957</v>
      </c>
      <c r="Q92" s="264"/>
      <c r="R92" s="5"/>
    </row>
    <row r="93" spans="1:18" ht="15.6" x14ac:dyDescent="0.3">
      <c r="A93" s="260"/>
      <c r="B93" s="261" t="s">
        <v>249</v>
      </c>
      <c r="C93" s="261"/>
      <c r="D93" s="261"/>
      <c r="E93" s="261"/>
      <c r="F93" s="292"/>
      <c r="G93" s="332"/>
      <c r="H93" s="333"/>
      <c r="I93" s="261"/>
      <c r="J93" s="261"/>
      <c r="K93" s="261"/>
      <c r="L93" s="261"/>
      <c r="M93" s="261"/>
      <c r="N93" s="330"/>
      <c r="O93" s="261"/>
      <c r="P93" s="331">
        <f>16+2</f>
        <v>18</v>
      </c>
      <c r="Q93" s="264"/>
      <c r="R93" s="5"/>
    </row>
    <row r="94" spans="1:18" ht="15.6" x14ac:dyDescent="0.3">
      <c r="A94" s="260"/>
      <c r="B94" s="261" t="s">
        <v>250</v>
      </c>
      <c r="C94" s="261"/>
      <c r="D94" s="261"/>
      <c r="E94" s="261"/>
      <c r="F94" s="292"/>
      <c r="G94" s="332"/>
      <c r="H94" s="333"/>
      <c r="I94" s="261"/>
      <c r="J94" s="261"/>
      <c r="K94" s="261"/>
      <c r="L94" s="261"/>
      <c r="M94" s="261"/>
      <c r="N94" s="330"/>
      <c r="O94" s="261"/>
      <c r="P94" s="331">
        <v>31</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157</v>
      </c>
      <c r="Q97" s="264"/>
      <c r="R97" s="5"/>
    </row>
    <row r="98" spans="1:19" ht="15.6" x14ac:dyDescent="0.3">
      <c r="A98" s="260"/>
      <c r="B98" s="261" t="s">
        <v>35</v>
      </c>
      <c r="C98" s="261"/>
      <c r="D98" s="261"/>
      <c r="E98" s="261"/>
      <c r="F98" s="261"/>
      <c r="G98" s="261"/>
      <c r="H98" s="261"/>
      <c r="I98" s="261"/>
      <c r="J98" s="261"/>
      <c r="K98" s="261"/>
      <c r="L98" s="261"/>
      <c r="M98" s="261"/>
      <c r="N98" s="330">
        <f>SUM(N90:N97)</f>
        <v>3503</v>
      </c>
      <c r="O98" s="261"/>
      <c r="P98" s="330">
        <f>SUM(P92:P97)</f>
        <v>2163</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-86</v>
      </c>
      <c r="Q101" s="264"/>
      <c r="R101" s="5"/>
    </row>
    <row r="102" spans="1:19" ht="15.6" x14ac:dyDescent="0.3">
      <c r="A102" s="260"/>
      <c r="B102" s="261" t="s">
        <v>37</v>
      </c>
      <c r="C102" s="261"/>
      <c r="D102" s="261"/>
      <c r="E102" s="261"/>
      <c r="F102" s="261"/>
      <c r="G102" s="261"/>
      <c r="H102" s="261"/>
      <c r="I102" s="261"/>
      <c r="J102" s="261"/>
      <c r="K102" s="261"/>
      <c r="L102" s="261"/>
      <c r="M102" s="261"/>
      <c r="N102" s="330">
        <f>N98+N100+N99</f>
        <v>3503</v>
      </c>
      <c r="O102" s="261"/>
      <c r="P102" s="330">
        <f>P98+P100+P99+P101</f>
        <v>2077</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-87-50-5</f>
        <v>-142</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-255</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-186</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-333</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-214</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-202</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-6</v>
      </c>
      <c r="O115" s="261"/>
      <c r="P115" s="331">
        <v>6</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-177</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-564</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-83</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-852</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-741</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-1137</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-351</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-333</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-3497</v>
      </c>
      <c r="O129" s="330"/>
      <c r="P129" s="330">
        <f>SUM(P103:P128)</f>
        <v>-2077</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JANUARY 2016</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-6</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-6</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6</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f>-P101</f>
        <v>86</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339867</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339867.33599577955</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+'Oct 15'!M173</f>
        <v>89720</v>
      </c>
      <c r="N171" s="331">
        <f>+'Oct 15'!N173</f>
        <v>10230</v>
      </c>
      <c r="O171" s="261"/>
      <c r="P171" s="331">
        <f>M171+N171</f>
        <v>99950</v>
      </c>
      <c r="Q171" s="264"/>
      <c r="R171" s="5"/>
    </row>
    <row r="172" spans="1:19" ht="15.6" x14ac:dyDescent="0.3">
      <c r="A172" s="260"/>
      <c r="B172" s="261" t="s">
        <v>69</v>
      </c>
      <c r="C172" s="261"/>
      <c r="D172" s="261"/>
      <c r="E172" s="261"/>
      <c r="F172" s="261"/>
      <c r="G172" s="261"/>
      <c r="H172" s="261"/>
      <c r="I172" s="261"/>
      <c r="J172" s="261"/>
      <c r="K172" s="261"/>
      <c r="L172" s="261"/>
      <c r="M172" s="330">
        <v>83</v>
      </c>
      <c r="N172" s="330">
        <f>-N99-N122</f>
        <v>0</v>
      </c>
      <c r="O172" s="261"/>
      <c r="P172" s="331">
        <f>M172+N172</f>
        <v>83</v>
      </c>
      <c r="Q172" s="264"/>
      <c r="R172" s="5"/>
    </row>
    <row r="173" spans="1:19" ht="15.6" x14ac:dyDescent="0.3">
      <c r="A173" s="260"/>
      <c r="B173" s="261" t="s">
        <v>70</v>
      </c>
      <c r="C173" s="261"/>
      <c r="D173" s="261"/>
      <c r="E173" s="261"/>
      <c r="F173" s="261"/>
      <c r="G173" s="261"/>
      <c r="H173" s="261"/>
      <c r="I173" s="261"/>
      <c r="J173" s="261"/>
      <c r="K173" s="261"/>
      <c r="L173" s="261"/>
      <c r="M173" s="331">
        <f>M171+M172</f>
        <v>89803</v>
      </c>
      <c r="N173" s="331">
        <f>N172+N171</f>
        <v>10230</v>
      </c>
      <c r="O173" s="261"/>
      <c r="P173" s="331">
        <f>M173+N173</f>
        <v>100033</v>
      </c>
      <c r="Q173" s="264"/>
      <c r="R173" s="5"/>
    </row>
    <row r="174" spans="1:19" ht="15.6" x14ac:dyDescent="0.3">
      <c r="A174" s="260"/>
      <c r="B174" s="261" t="s">
        <v>71</v>
      </c>
      <c r="C174" s="261"/>
      <c r="D174" s="261"/>
      <c r="E174" s="261"/>
      <c r="F174" s="261"/>
      <c r="G174" s="261"/>
      <c r="H174" s="261"/>
      <c r="I174" s="261"/>
      <c r="J174" s="261"/>
      <c r="K174" s="261"/>
      <c r="L174" s="261"/>
      <c r="M174" s="331">
        <f>M170-M173-N173</f>
        <v>43967</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2.4974160206718348</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1.58</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2.7860576923076925</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2.59</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JANUARY 2016</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42398</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2.3539999999999998E-2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1.3788129461254996E-2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9.7518705387450028E-3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6.0504368141551671E-3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11.01</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1.0186989667357062E-2</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9.3100000000000002E-2</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1</v>
      </c>
      <c r="N206" s="305">
        <v>98</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26</v>
      </c>
      <c r="N207" s="353">
        <f>+N255</f>
        <v>4489</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-6</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'Oct 15'!N213+'Jan 16'!N212</f>
        <v>6273</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0</v>
      </c>
      <c r="N219" s="353">
        <v>0</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2912</v>
      </c>
      <c r="M225" s="382">
        <f t="shared" ref="M225:M232" si="2">L225/$L$233</f>
        <v>0.99419597132127002</v>
      </c>
      <c r="N225" s="331">
        <f t="shared" ref="N225:N232" si="3">+N236+N247+N258</f>
        <v>338628</v>
      </c>
      <c r="O225" s="382">
        <f t="shared" ref="O225:O232" si="4">N225/$N$233</f>
        <v>0.99635445630202402</v>
      </c>
      <c r="P225" s="306"/>
      <c r="Q225" s="417"/>
      <c r="R225" s="5"/>
    </row>
    <row r="226" spans="1:18" ht="15.6" x14ac:dyDescent="0.3">
      <c r="A226" s="260"/>
      <c r="B226" s="330" t="s">
        <v>99</v>
      </c>
      <c r="C226" s="381"/>
      <c r="D226" s="261"/>
      <c r="E226" s="382"/>
      <c r="F226" s="381"/>
      <c r="G226" s="381"/>
      <c r="H226" s="381"/>
      <c r="I226" s="381"/>
      <c r="J226" s="381"/>
      <c r="K226" s="381"/>
      <c r="L226" s="330">
        <f t="shared" si="1"/>
        <v>7</v>
      </c>
      <c r="M226" s="382">
        <f t="shared" si="2"/>
        <v>2.3898941618299761E-3</v>
      </c>
      <c r="N226" s="331">
        <f t="shared" si="3"/>
        <v>348</v>
      </c>
      <c r="O226" s="382">
        <f t="shared" si="4"/>
        <v>1.023929949068312E-3</v>
      </c>
      <c r="P226" s="354"/>
      <c r="Q226" s="373"/>
      <c r="R226" s="5"/>
    </row>
    <row r="227" spans="1:18" ht="15.6" x14ac:dyDescent="0.3">
      <c r="A227" s="260"/>
      <c r="B227" s="330" t="s">
        <v>100</v>
      </c>
      <c r="C227" s="381"/>
      <c r="D227" s="261"/>
      <c r="E227" s="382"/>
      <c r="F227" s="381"/>
      <c r="G227" s="381"/>
      <c r="H227" s="381"/>
      <c r="I227" s="381"/>
      <c r="J227" s="381"/>
      <c r="K227" s="381"/>
      <c r="L227" s="330">
        <f t="shared" si="1"/>
        <v>0</v>
      </c>
      <c r="M227" s="382">
        <f t="shared" si="2"/>
        <v>0</v>
      </c>
      <c r="N227" s="331">
        <f t="shared" si="3"/>
        <v>0</v>
      </c>
      <c r="O227" s="382">
        <f t="shared" si="4"/>
        <v>0</v>
      </c>
      <c r="P227" s="354"/>
      <c r="Q227" s="373"/>
      <c r="R227" s="5"/>
    </row>
    <row r="228" spans="1:18" ht="15.6" x14ac:dyDescent="0.3">
      <c r="A228" s="260"/>
      <c r="B228" s="330" t="s">
        <v>227</v>
      </c>
      <c r="C228" s="381"/>
      <c r="D228" s="261"/>
      <c r="E228" s="382"/>
      <c r="F228" s="381"/>
      <c r="G228" s="381"/>
      <c r="H228" s="381"/>
      <c r="I228" s="381"/>
      <c r="J228" s="381"/>
      <c r="K228" s="381"/>
      <c r="L228" s="330">
        <f t="shared" si="1"/>
        <v>1</v>
      </c>
      <c r="M228" s="382">
        <f t="shared" si="2"/>
        <v>3.414134516899966E-4</v>
      </c>
      <c r="N228" s="331">
        <f t="shared" si="3"/>
        <v>41</v>
      </c>
      <c r="O228" s="382">
        <f t="shared" si="4"/>
        <v>1.2063542503391033E-4</v>
      </c>
      <c r="P228" s="354"/>
      <c r="Q228" s="373"/>
      <c r="R228" s="5"/>
    </row>
    <row r="229" spans="1:18" ht="15.6" x14ac:dyDescent="0.3">
      <c r="A229" s="260"/>
      <c r="B229" s="330" t="s">
        <v>228</v>
      </c>
      <c r="C229" s="381"/>
      <c r="D229" s="261"/>
      <c r="E229" s="382"/>
      <c r="F229" s="381"/>
      <c r="G229" s="381"/>
      <c r="H229" s="381"/>
      <c r="I229" s="381"/>
      <c r="J229" s="381"/>
      <c r="K229" s="381"/>
      <c r="L229" s="330">
        <f t="shared" si="1"/>
        <v>0</v>
      </c>
      <c r="M229" s="382">
        <f t="shared" si="2"/>
        <v>0</v>
      </c>
      <c r="N229" s="331">
        <f t="shared" si="3"/>
        <v>0</v>
      </c>
      <c r="O229" s="382">
        <f t="shared" si="4"/>
        <v>0</v>
      </c>
      <c r="P229" s="354"/>
      <c r="Q229" s="373"/>
      <c r="R229" s="5"/>
    </row>
    <row r="230" spans="1:18" ht="15.6" x14ac:dyDescent="0.3">
      <c r="A230" s="260"/>
      <c r="B230" s="330" t="s">
        <v>229</v>
      </c>
      <c r="C230" s="381"/>
      <c r="D230" s="261"/>
      <c r="E230" s="382"/>
      <c r="F230" s="381"/>
      <c r="G230" s="381"/>
      <c r="H230" s="381"/>
      <c r="I230" s="381"/>
      <c r="J230" s="381"/>
      <c r="K230" s="381"/>
      <c r="L230" s="330">
        <f t="shared" si="1"/>
        <v>1</v>
      </c>
      <c r="M230" s="382">
        <f t="shared" si="2"/>
        <v>3.414134516899966E-4</v>
      </c>
      <c r="N230" s="331">
        <f t="shared" si="3"/>
        <v>235</v>
      </c>
      <c r="O230" s="382">
        <f t="shared" si="4"/>
        <v>6.9144694836509573E-4</v>
      </c>
      <c r="P230" s="354"/>
      <c r="Q230" s="373"/>
      <c r="R230" s="5"/>
    </row>
    <row r="231" spans="1:18" ht="15.6" x14ac:dyDescent="0.3">
      <c r="A231" s="260"/>
      <c r="B231" s="330" t="s">
        <v>230</v>
      </c>
      <c r="C231" s="381"/>
      <c r="D231" s="261"/>
      <c r="E231" s="382"/>
      <c r="F231" s="381"/>
      <c r="G231" s="381"/>
      <c r="H231" s="381"/>
      <c r="I231" s="381"/>
      <c r="J231" s="381"/>
      <c r="K231" s="381"/>
      <c r="L231" s="330">
        <f t="shared" si="1"/>
        <v>5</v>
      </c>
      <c r="M231" s="382">
        <f t="shared" si="2"/>
        <v>1.707067258449983E-3</v>
      </c>
      <c r="N231" s="331">
        <f t="shared" si="3"/>
        <v>196</v>
      </c>
      <c r="O231" s="382">
        <f t="shared" si="4"/>
        <v>5.7669617821088834E-4</v>
      </c>
      <c r="P231" s="354"/>
      <c r="Q231" s="373"/>
      <c r="R231" s="5"/>
    </row>
    <row r="232" spans="1:18" ht="15.6" x14ac:dyDescent="0.3">
      <c r="A232" s="260"/>
      <c r="B232" s="330" t="s">
        <v>231</v>
      </c>
      <c r="C232" s="381"/>
      <c r="D232" s="261"/>
      <c r="E232" s="382"/>
      <c r="F232" s="381"/>
      <c r="G232" s="381"/>
      <c r="H232" s="381"/>
      <c r="I232" s="381"/>
      <c r="J232" s="381"/>
      <c r="K232" s="381"/>
      <c r="L232" s="330">
        <f t="shared" si="1"/>
        <v>3</v>
      </c>
      <c r="M232" s="382">
        <f t="shared" si="2"/>
        <v>1.0242403550699897E-3</v>
      </c>
      <c r="N232" s="331">
        <f t="shared" si="3"/>
        <v>419</v>
      </c>
      <c r="O232" s="382">
        <f t="shared" si="4"/>
        <v>1.2328351972977665E-3</v>
      </c>
      <c r="P232" s="354"/>
      <c r="Q232" s="373"/>
      <c r="R232" s="5"/>
    </row>
    <row r="233" spans="1:18" ht="15.6" x14ac:dyDescent="0.3">
      <c r="A233" s="260"/>
      <c r="B233" s="261" t="s">
        <v>129</v>
      </c>
      <c r="C233" s="261"/>
      <c r="D233" s="261"/>
      <c r="E233" s="261"/>
      <c r="F233" s="383"/>
      <c r="G233" s="383"/>
      <c r="H233" s="383"/>
      <c r="I233" s="383"/>
      <c r="J233" s="383"/>
      <c r="K233" s="383"/>
      <c r="L233" s="330">
        <f>SUM(L225:L232)</f>
        <v>2929</v>
      </c>
      <c r="M233" s="382">
        <f>SUM(M225:M232)</f>
        <v>1</v>
      </c>
      <c r="N233" s="330">
        <f>SUM(N225:N232)</f>
        <v>339867</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2890</v>
      </c>
      <c r="M236" s="310">
        <f t="shared" ref="M236:M243" si="5">L236/$L$244</f>
        <v>0.99552187392352742</v>
      </c>
      <c r="N236" s="300">
        <v>334826</v>
      </c>
      <c r="O236" s="310">
        <f t="shared" ref="O236:O243" si="6">N236/$N$244</f>
        <v>0.99835409597528757</v>
      </c>
      <c r="P236" s="306"/>
      <c r="Q236" s="417"/>
      <c r="R236" s="5"/>
    </row>
    <row r="237" spans="1:18" ht="15.6" x14ac:dyDescent="0.3">
      <c r="A237" s="260"/>
      <c r="B237" s="330" t="s">
        <v>99</v>
      </c>
      <c r="C237" s="381"/>
      <c r="D237" s="261"/>
      <c r="E237" s="382"/>
      <c r="F237" s="381"/>
      <c r="G237" s="381"/>
      <c r="H237" s="381"/>
      <c r="I237" s="381"/>
      <c r="J237" s="381"/>
      <c r="K237" s="381"/>
      <c r="L237" s="330">
        <v>6</v>
      </c>
      <c r="M237" s="382">
        <f t="shared" si="5"/>
        <v>2.0668274199104374E-3</v>
      </c>
      <c r="N237" s="331">
        <v>282</v>
      </c>
      <c r="O237" s="382">
        <f t="shared" si="6"/>
        <v>8.4084227349438541E-4</v>
      </c>
      <c r="P237" s="354"/>
      <c r="Q237" s="373"/>
      <c r="R237" s="5"/>
    </row>
    <row r="238" spans="1:18" ht="15.6" x14ac:dyDescent="0.3">
      <c r="A238" s="260"/>
      <c r="B238" s="330" t="s">
        <v>100</v>
      </c>
      <c r="C238" s="381"/>
      <c r="D238" s="261"/>
      <c r="E238" s="382"/>
      <c r="F238" s="381"/>
      <c r="G238" s="381"/>
      <c r="H238" s="381"/>
      <c r="I238" s="381"/>
      <c r="J238" s="381"/>
      <c r="K238" s="381"/>
      <c r="L238" s="330">
        <v>0</v>
      </c>
      <c r="M238" s="382">
        <f t="shared" si="5"/>
        <v>0</v>
      </c>
      <c r="N238" s="331">
        <v>0</v>
      </c>
      <c r="O238" s="382">
        <f t="shared" si="6"/>
        <v>0</v>
      </c>
      <c r="P238" s="354"/>
      <c r="Q238" s="373"/>
      <c r="R238" s="5"/>
    </row>
    <row r="239" spans="1:18" ht="15.6" x14ac:dyDescent="0.3">
      <c r="A239" s="260"/>
      <c r="B239" s="330" t="s">
        <v>227</v>
      </c>
      <c r="C239" s="381"/>
      <c r="D239" s="261"/>
      <c r="E239" s="382"/>
      <c r="F239" s="381"/>
      <c r="G239" s="381"/>
      <c r="H239" s="381"/>
      <c r="I239" s="381"/>
      <c r="J239" s="381"/>
      <c r="K239" s="381"/>
      <c r="L239" s="330">
        <v>1</v>
      </c>
      <c r="M239" s="382">
        <f t="shared" si="5"/>
        <v>3.444712366517396E-4</v>
      </c>
      <c r="N239" s="331">
        <v>41</v>
      </c>
      <c r="O239" s="382">
        <f t="shared" si="6"/>
        <v>1.2225011777755248E-4</v>
      </c>
      <c r="P239" s="354"/>
      <c r="Q239" s="373"/>
      <c r="R239" s="5"/>
    </row>
    <row r="240" spans="1:18" ht="15.6" x14ac:dyDescent="0.3">
      <c r="A240" s="260"/>
      <c r="B240" s="330" t="s">
        <v>228</v>
      </c>
      <c r="C240" s="381"/>
      <c r="D240" s="261"/>
      <c r="E240" s="382"/>
      <c r="F240" s="381"/>
      <c r="G240" s="381"/>
      <c r="H240" s="381"/>
      <c r="I240" s="381"/>
      <c r="J240" s="381"/>
      <c r="K240" s="381"/>
      <c r="L240" s="330">
        <v>0</v>
      </c>
      <c r="M240" s="382">
        <f t="shared" si="5"/>
        <v>0</v>
      </c>
      <c r="N240" s="331">
        <v>0</v>
      </c>
      <c r="O240" s="382">
        <f t="shared" si="6"/>
        <v>0</v>
      </c>
      <c r="P240" s="354"/>
      <c r="Q240" s="373"/>
      <c r="R240" s="5"/>
    </row>
    <row r="241" spans="1:18" ht="15.6" x14ac:dyDescent="0.3">
      <c r="A241" s="260"/>
      <c r="B241" s="330" t="s">
        <v>229</v>
      </c>
      <c r="C241" s="381"/>
      <c r="D241" s="261"/>
      <c r="E241" s="382"/>
      <c r="F241" s="381"/>
      <c r="G241" s="381"/>
      <c r="H241" s="381"/>
      <c r="I241" s="381"/>
      <c r="J241" s="381"/>
      <c r="K241" s="381"/>
      <c r="L241" s="330">
        <v>0</v>
      </c>
      <c r="M241" s="382">
        <f t="shared" si="5"/>
        <v>0</v>
      </c>
      <c r="N241" s="331">
        <v>0</v>
      </c>
      <c r="O241" s="382">
        <f t="shared" si="6"/>
        <v>0</v>
      </c>
      <c r="P241" s="354"/>
      <c r="Q241" s="373"/>
      <c r="R241" s="5"/>
    </row>
    <row r="242" spans="1:18" ht="15.6" x14ac:dyDescent="0.3">
      <c r="A242" s="260"/>
      <c r="B242" s="330" t="s">
        <v>230</v>
      </c>
      <c r="C242" s="381"/>
      <c r="D242" s="261"/>
      <c r="E242" s="382"/>
      <c r="F242" s="381"/>
      <c r="G242" s="381"/>
      <c r="H242" s="381"/>
      <c r="I242" s="381"/>
      <c r="J242" s="381"/>
      <c r="K242" s="381"/>
      <c r="L242" s="330">
        <v>5</v>
      </c>
      <c r="M242" s="382">
        <f t="shared" si="5"/>
        <v>1.7223561832586979E-3</v>
      </c>
      <c r="N242" s="331">
        <v>196</v>
      </c>
      <c r="O242" s="382">
        <f t="shared" si="6"/>
        <v>5.8441519718049483E-4</v>
      </c>
      <c r="P242" s="354"/>
      <c r="Q242" s="373"/>
      <c r="R242" s="5"/>
    </row>
    <row r="243" spans="1:18" ht="15.6" x14ac:dyDescent="0.3">
      <c r="A243" s="260"/>
      <c r="B243" s="330" t="s">
        <v>231</v>
      </c>
      <c r="C243" s="381"/>
      <c r="D243" s="261"/>
      <c r="E243" s="382"/>
      <c r="F243" s="381"/>
      <c r="G243" s="381"/>
      <c r="H243" s="381"/>
      <c r="I243" s="381"/>
      <c r="J243" s="381"/>
      <c r="K243" s="381"/>
      <c r="L243" s="330">
        <v>1</v>
      </c>
      <c r="M243" s="382">
        <f t="shared" si="5"/>
        <v>3.444712366517396E-4</v>
      </c>
      <c r="N243" s="331">
        <v>33</v>
      </c>
      <c r="O243" s="382">
        <f t="shared" si="6"/>
        <v>9.8396436259981277E-5</v>
      </c>
      <c r="P243" s="354"/>
      <c r="Q243" s="373"/>
      <c r="R243" s="5"/>
    </row>
    <row r="244" spans="1:18" ht="15.6" x14ac:dyDescent="0.3">
      <c r="A244" s="260"/>
      <c r="B244" s="261" t="s">
        <v>129</v>
      </c>
      <c r="C244" s="261"/>
      <c r="D244" s="261"/>
      <c r="E244" s="261"/>
      <c r="F244" s="383"/>
      <c r="G244" s="383"/>
      <c r="H244" s="383"/>
      <c r="I244" s="383"/>
      <c r="J244" s="383"/>
      <c r="K244" s="383"/>
      <c r="L244" s="330">
        <f>SUM(L236:L243)</f>
        <v>2903</v>
      </c>
      <c r="M244" s="382">
        <f>SUM(M236:M243)</f>
        <v>1</v>
      </c>
      <c r="N244" s="331">
        <f>SUM(N236:N243)</f>
        <v>335378</v>
      </c>
      <c r="O244" s="382">
        <f>SUM(O236:O243)</f>
        <v>0.99999999999999989</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22</v>
      </c>
      <c r="M247" s="310">
        <f t="shared" ref="M247:M254" si="7">L247/$L$255</f>
        <v>0.84615384615384615</v>
      </c>
      <c r="N247" s="300">
        <v>3802</v>
      </c>
      <c r="O247" s="310">
        <f t="shared" ref="O247:O254" si="8">N247/$N$255</f>
        <v>0.84695923368233461</v>
      </c>
      <c r="P247" s="306"/>
      <c r="Q247" s="408"/>
      <c r="R247" s="5"/>
    </row>
    <row r="248" spans="1:18" ht="15.6" x14ac:dyDescent="0.3">
      <c r="A248" s="260"/>
      <c r="B248" s="330" t="s">
        <v>99</v>
      </c>
      <c r="C248" s="381"/>
      <c r="D248" s="261"/>
      <c r="E248" s="382"/>
      <c r="F248" s="381"/>
      <c r="G248" s="381"/>
      <c r="H248" s="381"/>
      <c r="I248" s="381"/>
      <c r="J248" s="381"/>
      <c r="K248" s="381"/>
      <c r="L248" s="330">
        <v>1</v>
      </c>
      <c r="M248" s="382">
        <f t="shared" si="7"/>
        <v>3.8461538461538464E-2</v>
      </c>
      <c r="N248" s="331">
        <v>66</v>
      </c>
      <c r="O248" s="382">
        <f t="shared" si="8"/>
        <v>1.4702606371129428E-2</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1</v>
      </c>
      <c r="M252" s="382">
        <f t="shared" si="7"/>
        <v>3.8461538461538464E-2</v>
      </c>
      <c r="N252" s="331">
        <v>235</v>
      </c>
      <c r="O252" s="382">
        <f t="shared" si="8"/>
        <v>5.2350189351748719E-2</v>
      </c>
      <c r="P252" s="354"/>
      <c r="Q252" s="264"/>
      <c r="R252" s="5"/>
    </row>
    <row r="253" spans="1:18" ht="15.6" x14ac:dyDescent="0.3">
      <c r="A253" s="260"/>
      <c r="B253" s="330" t="s">
        <v>230</v>
      </c>
      <c r="C253" s="381"/>
      <c r="D253" s="261"/>
      <c r="E253" s="382"/>
      <c r="F253" s="381"/>
      <c r="G253" s="381"/>
      <c r="H253" s="381"/>
      <c r="I253" s="381"/>
      <c r="J253" s="381"/>
      <c r="K253" s="381"/>
      <c r="L253" s="330">
        <v>0</v>
      </c>
      <c r="M253" s="382">
        <f t="shared" si="7"/>
        <v>0</v>
      </c>
      <c r="N253" s="331">
        <v>0</v>
      </c>
      <c r="O253" s="382">
        <f t="shared" si="8"/>
        <v>0</v>
      </c>
      <c r="P253" s="354"/>
      <c r="Q253" s="264"/>
      <c r="R253" s="5"/>
    </row>
    <row r="254" spans="1:18" ht="15.6" x14ac:dyDescent="0.3">
      <c r="A254" s="260"/>
      <c r="B254" s="330" t="s">
        <v>231</v>
      </c>
      <c r="C254" s="381"/>
      <c r="D254" s="261"/>
      <c r="E254" s="382"/>
      <c r="F254" s="381"/>
      <c r="G254" s="381"/>
      <c r="H254" s="381"/>
      <c r="I254" s="381"/>
      <c r="J254" s="381"/>
      <c r="K254" s="381"/>
      <c r="L254" s="330">
        <v>2</v>
      </c>
      <c r="M254" s="382">
        <f t="shared" si="7"/>
        <v>7.6923076923076927E-2</v>
      </c>
      <c r="N254" s="331">
        <v>386</v>
      </c>
      <c r="O254" s="382">
        <f t="shared" si="8"/>
        <v>8.5987970594787258E-2</v>
      </c>
      <c r="P254" s="354"/>
      <c r="Q254" s="264"/>
      <c r="R254" s="5"/>
    </row>
    <row r="255" spans="1:18" ht="15.6" x14ac:dyDescent="0.3">
      <c r="A255" s="260"/>
      <c r="B255" s="261" t="s">
        <v>129</v>
      </c>
      <c r="C255" s="261"/>
      <c r="D255" s="261"/>
      <c r="E255" s="261"/>
      <c r="F255" s="383"/>
      <c r="G255" s="383"/>
      <c r="H255" s="383"/>
      <c r="I255" s="383"/>
      <c r="J255" s="383"/>
      <c r="K255" s="383"/>
      <c r="L255" s="330">
        <f>SUM(L247:L254)</f>
        <v>26</v>
      </c>
      <c r="M255" s="382">
        <f>SUM(M247:M254)</f>
        <v>1</v>
      </c>
      <c r="N255" s="331">
        <f>SUM(N247:N254)</f>
        <v>4489</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f>SUM(M258:M265)</f>
        <v>0</v>
      </c>
      <c r="N266" s="331">
        <f>SUM(N258:N265)</f>
        <v>0</v>
      </c>
      <c r="O266" s="382">
        <f>SUM(O258:O265)</f>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2929</v>
      </c>
      <c r="M268" s="382"/>
      <c r="N268" s="386">
        <f>+N266+N255+N244</f>
        <v>339867</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418"/>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418"/>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5.6" x14ac:dyDescent="0.3">
      <c r="A277" s="225"/>
      <c r="B277" s="228"/>
      <c r="C277" s="228"/>
      <c r="D277" s="228"/>
      <c r="E277" s="314"/>
      <c r="F277" s="249"/>
      <c r="G277" s="249"/>
      <c r="H277" s="249"/>
      <c r="I277" s="249"/>
      <c r="J277" s="249"/>
      <c r="K277" s="249"/>
      <c r="L277" s="249"/>
      <c r="M277" s="249"/>
      <c r="N277" s="249"/>
      <c r="O277" s="249"/>
      <c r="P277" s="249"/>
      <c r="Q277" s="418"/>
      <c r="R277" s="5"/>
    </row>
    <row r="278" spans="1:18" ht="18" thickBot="1" x14ac:dyDescent="0.35">
      <c r="A278" s="225"/>
      <c r="B278" s="315" t="str">
        <f>B185</f>
        <v>PM7 INVESTOR REPORT QUARTER ENDING JANUARY 2016</v>
      </c>
      <c r="C278" s="228"/>
      <c r="D278" s="228"/>
      <c r="E278" s="314"/>
      <c r="F278" s="249"/>
      <c r="G278" s="249"/>
      <c r="H278" s="249"/>
      <c r="I278" s="249"/>
      <c r="J278" s="249"/>
      <c r="K278" s="249"/>
      <c r="L278" s="249"/>
      <c r="M278" s="249"/>
      <c r="N278" s="249"/>
      <c r="O278" s="249"/>
      <c r="P278" s="249"/>
      <c r="Q278" s="41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39" orientation="landscape" r:id="rId3"/>
  <headerFooter alignWithMargins="0"/>
  <rowBreaks count="4" manualBreakCount="4">
    <brk id="65" max="16" man="1"/>
    <brk id="133" max="16" man="1"/>
    <brk id="185" max="16" man="1"/>
    <brk id="278" max="16" man="1"/>
  </row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0.96120000000000005</v>
      </c>
      <c r="N17" s="246" t="s">
        <v>173</v>
      </c>
      <c r="O17" s="245">
        <v>3.8800000000000001E-2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42510</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323</v>
      </c>
      <c r="K27" s="392"/>
      <c r="L27" s="392" t="s">
        <v>323</v>
      </c>
      <c r="M27" s="392"/>
      <c r="N27" s="262"/>
      <c r="O27" s="263"/>
      <c r="P27" s="263"/>
      <c r="Q27" s="264"/>
      <c r="R27" s="5"/>
    </row>
    <row r="28" spans="1:19" ht="15.6" x14ac:dyDescent="0.3">
      <c r="A28" s="265"/>
      <c r="B28" s="266" t="s">
        <v>10</v>
      </c>
      <c r="C28" s="392"/>
      <c r="D28" s="392" t="s">
        <v>322</v>
      </c>
      <c r="E28" s="392"/>
      <c r="F28" s="392" t="s">
        <v>322</v>
      </c>
      <c r="G28" s="392"/>
      <c r="H28" s="392" t="s">
        <v>322</v>
      </c>
      <c r="I28" s="392"/>
      <c r="J28" s="392" t="s">
        <v>322</v>
      </c>
      <c r="K28" s="392"/>
      <c r="L28" s="392" t="s">
        <v>322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178</v>
      </c>
      <c r="K29" s="392"/>
      <c r="L29" s="392" t="s">
        <v>178</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150900.21000000002</v>
      </c>
      <c r="E34" s="271"/>
      <c r="F34" s="272">
        <f>+F33*F40</f>
        <v>73752.228000000003</v>
      </c>
      <c r="G34" s="271"/>
      <c r="H34" s="273">
        <f>+H33*H40</f>
        <v>167677.29999999999</v>
      </c>
      <c r="I34" s="271"/>
      <c r="J34" s="270">
        <f>J33*J40</f>
        <v>62260.893750000003</v>
      </c>
      <c r="K34" s="271"/>
      <c r="L34" s="273">
        <f>L33*L40</f>
        <v>49053.966</v>
      </c>
      <c r="M34" s="271"/>
      <c r="N34" s="271"/>
      <c r="O34" s="274"/>
      <c r="P34" s="271"/>
      <c r="Q34" s="275"/>
      <c r="R34" s="5"/>
    </row>
    <row r="35" spans="1:19" ht="15.6" x14ac:dyDescent="0.3">
      <c r="A35" s="265"/>
      <c r="B35" s="266" t="s">
        <v>158</v>
      </c>
      <c r="C35" s="276"/>
      <c r="D35" s="277">
        <f>+D33*D39</f>
        <v>148402.03499999997</v>
      </c>
      <c r="E35" s="278"/>
      <c r="F35" s="279">
        <f>+F33*F39</f>
        <v>72531.272000000012</v>
      </c>
      <c r="G35" s="278"/>
      <c r="H35" s="280">
        <f>+H33*H39</f>
        <v>164901.35</v>
      </c>
      <c r="I35" s="278"/>
      <c r="J35" s="277">
        <f>J33*J39</f>
        <v>61230.155250000003</v>
      </c>
      <c r="K35" s="278"/>
      <c r="L35" s="280">
        <f>L33*L39</f>
        <v>48241.862499999996</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84823.052276559887</v>
      </c>
      <c r="E37" s="271"/>
      <c r="F37" s="271">
        <f>+F34</f>
        <v>73752.228000000003</v>
      </c>
      <c r="G37" s="271"/>
      <c r="H37" s="271">
        <f>+H34/1.481481</f>
        <v>113182.21428421963</v>
      </c>
      <c r="I37" s="271"/>
      <c r="J37" s="271">
        <f>J36*J40</f>
        <v>34997.414385000004</v>
      </c>
      <c r="K37" s="271"/>
      <c r="L37" s="271">
        <f>L36*L40</f>
        <v>33111.427049999998</v>
      </c>
      <c r="M37" s="271"/>
      <c r="N37" s="271"/>
      <c r="O37" s="274"/>
      <c r="P37" s="271">
        <f>SUM(C37:L37)+1</f>
        <v>339867.33599577955</v>
      </c>
      <c r="Q37" s="275"/>
      <c r="R37" s="5"/>
      <c r="S37" s="154"/>
    </row>
    <row r="38" spans="1:19" ht="15.6" x14ac:dyDescent="0.3">
      <c r="A38" s="265"/>
      <c r="B38" s="266" t="s">
        <v>281</v>
      </c>
      <c r="C38" s="276"/>
      <c r="D38" s="278">
        <f>D35/1.779</f>
        <v>83418.794266441808</v>
      </c>
      <c r="E38" s="278"/>
      <c r="F38" s="278">
        <f>+F35</f>
        <v>72531.272000000012</v>
      </c>
      <c r="G38" s="278"/>
      <c r="H38" s="278">
        <f>H35/1.481481</f>
        <v>111308.44742524541</v>
      </c>
      <c r="I38" s="278"/>
      <c r="J38" s="278">
        <f>J36*J39</f>
        <v>34418.026903799997</v>
      </c>
      <c r="K38" s="278"/>
      <c r="L38" s="278">
        <f>L36*L39</f>
        <v>32563.257187499999</v>
      </c>
      <c r="M38" s="278"/>
      <c r="N38" s="278"/>
      <c r="O38" s="281"/>
      <c r="P38" s="278">
        <f>SUM(D38:L38)</f>
        <v>334239.79778298724</v>
      </c>
      <c r="Q38" s="275"/>
      <c r="R38" s="5"/>
      <c r="S38" s="176"/>
    </row>
    <row r="39" spans="1:19" ht="15.6" x14ac:dyDescent="0.3">
      <c r="A39" s="265"/>
      <c r="B39" s="282" t="s">
        <v>154</v>
      </c>
      <c r="C39" s="283"/>
      <c r="D39" s="284">
        <v>0.32978229999999997</v>
      </c>
      <c r="E39" s="284"/>
      <c r="F39" s="284">
        <v>0.32968760000000003</v>
      </c>
      <c r="G39" s="284"/>
      <c r="H39" s="284">
        <v>0.3298027</v>
      </c>
      <c r="I39" s="284"/>
      <c r="J39" s="284">
        <v>0.7421837</v>
      </c>
      <c r="K39" s="284"/>
      <c r="L39" s="284">
        <v>0.74218249999999997</v>
      </c>
      <c r="M39" s="285"/>
      <c r="N39" s="285"/>
      <c r="O39" s="286"/>
      <c r="P39" s="285"/>
      <c r="Q39" s="287"/>
      <c r="R39" s="5"/>
    </row>
    <row r="40" spans="1:19" ht="15.6" x14ac:dyDescent="0.3">
      <c r="A40" s="265"/>
      <c r="B40" s="282" t="s">
        <v>155</v>
      </c>
      <c r="C40" s="283"/>
      <c r="D40" s="284">
        <v>0.33533380000000002</v>
      </c>
      <c r="E40" s="284"/>
      <c r="F40" s="284">
        <v>0.33523740000000002</v>
      </c>
      <c r="G40" s="284"/>
      <c r="H40" s="284">
        <v>0.3353546</v>
      </c>
      <c r="I40" s="284"/>
      <c r="J40" s="284">
        <v>0.7546775</v>
      </c>
      <c r="K40" s="284"/>
      <c r="L40" s="284">
        <v>0.75467640000000002</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1.0382000000000001E-2</v>
      </c>
      <c r="E42" s="290"/>
      <c r="F42" s="289">
        <v>1.01288E-2</v>
      </c>
      <c r="G42" s="290"/>
      <c r="H42" s="289">
        <v>2.3700000000000001E-3</v>
      </c>
      <c r="I42" s="290"/>
      <c r="J42" s="289">
        <v>2.1181999999999999E-2</v>
      </c>
      <c r="K42" s="290"/>
      <c r="L42" s="289">
        <v>1.3169999999999999E-2</v>
      </c>
      <c r="M42" s="290"/>
      <c r="N42" s="289"/>
      <c r="O42" s="263"/>
      <c r="P42" s="290"/>
      <c r="Q42" s="264"/>
      <c r="R42" s="5"/>
    </row>
    <row r="43" spans="1:19" ht="15.6" x14ac:dyDescent="0.3">
      <c r="A43" s="260"/>
      <c r="B43" s="261" t="s">
        <v>14</v>
      </c>
      <c r="C43" s="261"/>
      <c r="D43" s="289">
        <v>7.816E-3</v>
      </c>
      <c r="E43" s="290"/>
      <c r="F43" s="289">
        <v>9.9313000000000005E-3</v>
      </c>
      <c r="G43" s="290"/>
      <c r="H43" s="289">
        <v>3.3899999999999998E-3</v>
      </c>
      <c r="I43" s="290"/>
      <c r="J43" s="289">
        <v>1.8616000000000001E-2</v>
      </c>
      <c r="K43" s="290"/>
      <c r="L43" s="289">
        <v>1.4189999999999999E-2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1.20188E-2</v>
      </c>
      <c r="E45" s="290"/>
      <c r="F45" s="289">
        <f>+F42</f>
        <v>1.01288E-2</v>
      </c>
      <c r="G45" s="290"/>
      <c r="H45" s="289">
        <v>1.1778800000000001E-2</v>
      </c>
      <c r="I45" s="290"/>
      <c r="J45" s="289">
        <v>2.42788E-2</v>
      </c>
      <c r="K45" s="290"/>
      <c r="L45" s="289">
        <v>2.42788E-2</v>
      </c>
      <c r="M45" s="290"/>
      <c r="N45" s="289"/>
      <c r="O45" s="263"/>
      <c r="P45" s="290">
        <f>SUMPRODUCT(D45:L45,D37:L37)/P37</f>
        <v>1.3985587814093403E-2</v>
      </c>
      <c r="Q45" s="264"/>
      <c r="R45" s="5"/>
    </row>
    <row r="46" spans="1:19" ht="15.6" x14ac:dyDescent="0.3">
      <c r="A46" s="260"/>
      <c r="B46" s="261" t="s">
        <v>283</v>
      </c>
      <c r="C46" s="261"/>
      <c r="D46" s="289">
        <v>1.18213E-2</v>
      </c>
      <c r="E46" s="290"/>
      <c r="F46" s="289">
        <f>+F43</f>
        <v>9.9313000000000005E-3</v>
      </c>
      <c r="G46" s="290"/>
      <c r="H46" s="289">
        <v>1.1581299999999999E-2</v>
      </c>
      <c r="I46" s="290"/>
      <c r="J46" s="289">
        <v>2.40813E-2</v>
      </c>
      <c r="K46" s="290"/>
      <c r="L46" s="289">
        <v>2.40813E-2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0.25062357477812824</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42506</v>
      </c>
      <c r="Q57" s="264"/>
      <c r="R57" s="5"/>
    </row>
    <row r="58" spans="1:18" ht="15.6" x14ac:dyDescent="0.3">
      <c r="A58" s="260"/>
      <c r="B58" s="261" t="s">
        <v>142</v>
      </c>
      <c r="C58" s="261"/>
      <c r="D58" s="261"/>
      <c r="E58" s="261"/>
      <c r="F58" s="297"/>
      <c r="G58" s="297"/>
      <c r="H58" s="297"/>
      <c r="I58" s="297"/>
      <c r="J58" s="297"/>
      <c r="K58" s="297"/>
      <c r="L58" s="261">
        <f>+P58-N58+1</f>
        <v>92</v>
      </c>
      <c r="M58" s="297"/>
      <c r="N58" s="298">
        <v>42324</v>
      </c>
      <c r="O58" s="299"/>
      <c r="P58" s="298">
        <v>42415</v>
      </c>
      <c r="Q58" s="264"/>
      <c r="R58" s="5"/>
    </row>
    <row r="59" spans="1:18" ht="15.6" x14ac:dyDescent="0.3">
      <c r="A59" s="260"/>
      <c r="B59" s="261" t="s">
        <v>143</v>
      </c>
      <c r="C59" s="261"/>
      <c r="D59" s="261"/>
      <c r="E59" s="261"/>
      <c r="F59" s="261"/>
      <c r="G59" s="261"/>
      <c r="H59" s="261"/>
      <c r="I59" s="261"/>
      <c r="J59" s="261"/>
      <c r="K59" s="261"/>
      <c r="L59" s="261">
        <f>+P59-N59+1</f>
        <v>90</v>
      </c>
      <c r="M59" s="261"/>
      <c r="N59" s="298">
        <v>42416</v>
      </c>
      <c r="O59" s="299"/>
      <c r="P59" s="298">
        <v>42505</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42493</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326</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339867</v>
      </c>
      <c r="I69" s="330"/>
      <c r="J69" s="330">
        <f>5627+618</f>
        <v>6245</v>
      </c>
      <c r="K69" s="330"/>
      <c r="L69" s="330">
        <v>618</v>
      </c>
      <c r="M69" s="330"/>
      <c r="N69" s="330">
        <v>0</v>
      </c>
      <c r="O69" s="330"/>
      <c r="P69" s="331">
        <f>+H69-J69+L69-N69</f>
        <v>334240</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339867</v>
      </c>
      <c r="I72" s="330"/>
      <c r="J72" s="330">
        <f>SUM(J69:J71)</f>
        <v>6245</v>
      </c>
      <c r="K72" s="330"/>
      <c r="L72" s="330">
        <f>SUM(L69:L71)</f>
        <v>618</v>
      </c>
      <c r="M72" s="330"/>
      <c r="N72" s="330">
        <f>SUM(N69:N71)</f>
        <v>0</v>
      </c>
      <c r="O72" s="330"/>
      <c r="P72" s="330">
        <f>SUM(P69:P71)</f>
        <v>334240</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339867</v>
      </c>
      <c r="I86" s="330"/>
      <c r="J86" s="330">
        <f>SUM(J72:J85)</f>
        <v>6245</v>
      </c>
      <c r="K86" s="330"/>
      <c r="L86" s="330">
        <f>SUM(L72:L85)</f>
        <v>618</v>
      </c>
      <c r="M86" s="330"/>
      <c r="N86" s="330"/>
      <c r="O86" s="330"/>
      <c r="P86" s="330">
        <f>SUM(P72:P85)</f>
        <v>334240</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42489</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6245+4</f>
        <v>6249</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2686+173-770-97</f>
        <v>1992</v>
      </c>
      <c r="Q92" s="264"/>
      <c r="R92" s="5"/>
    </row>
    <row r="93" spans="1:18" ht="15.6" x14ac:dyDescent="0.3">
      <c r="A93" s="260"/>
      <c r="B93" s="261" t="s">
        <v>249</v>
      </c>
      <c r="C93" s="261"/>
      <c r="D93" s="261"/>
      <c r="E93" s="261"/>
      <c r="F93" s="292"/>
      <c r="G93" s="332"/>
      <c r="H93" s="333"/>
      <c r="I93" s="261"/>
      <c r="J93" s="261"/>
      <c r="K93" s="261"/>
      <c r="L93" s="261"/>
      <c r="M93" s="261"/>
      <c r="N93" s="330"/>
      <c r="O93" s="261"/>
      <c r="P93" s="331">
        <f>88+1</f>
        <v>89</v>
      </c>
      <c r="Q93" s="264"/>
      <c r="R93" s="5"/>
    </row>
    <row r="94" spans="1:18" ht="15.6" x14ac:dyDescent="0.3">
      <c r="A94" s="260"/>
      <c r="B94" s="261" t="s">
        <v>250</v>
      </c>
      <c r="C94" s="261"/>
      <c r="D94" s="261"/>
      <c r="E94" s="261"/>
      <c r="F94" s="292"/>
      <c r="G94" s="332"/>
      <c r="H94" s="333"/>
      <c r="I94" s="261"/>
      <c r="J94" s="261"/>
      <c r="K94" s="261"/>
      <c r="L94" s="261"/>
      <c r="M94" s="261"/>
      <c r="N94" s="330"/>
      <c r="O94" s="261"/>
      <c r="P94" s="331">
        <v>32</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166</v>
      </c>
      <c r="Q97" s="264"/>
      <c r="R97" s="5"/>
    </row>
    <row r="98" spans="1:19" ht="15.6" x14ac:dyDescent="0.3">
      <c r="A98" s="260"/>
      <c r="B98" s="261" t="s">
        <v>35</v>
      </c>
      <c r="C98" s="261"/>
      <c r="D98" s="261"/>
      <c r="E98" s="261"/>
      <c r="F98" s="261"/>
      <c r="G98" s="261"/>
      <c r="H98" s="261"/>
      <c r="I98" s="261"/>
      <c r="J98" s="261"/>
      <c r="K98" s="261"/>
      <c r="L98" s="261"/>
      <c r="M98" s="261"/>
      <c r="N98" s="330">
        <f>SUM(N90:N97)</f>
        <v>6249</v>
      </c>
      <c r="O98" s="261"/>
      <c r="P98" s="330">
        <f>SUM(P92:P97)</f>
        <v>2279</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-93</v>
      </c>
      <c r="Q101" s="264"/>
      <c r="R101" s="5"/>
    </row>
    <row r="102" spans="1:19" ht="15.6" x14ac:dyDescent="0.3">
      <c r="A102" s="260"/>
      <c r="B102" s="261" t="s">
        <v>37</v>
      </c>
      <c r="C102" s="261"/>
      <c r="D102" s="261"/>
      <c r="E102" s="261"/>
      <c r="F102" s="261"/>
      <c r="G102" s="261"/>
      <c r="H102" s="261"/>
      <c r="I102" s="261"/>
      <c r="J102" s="261"/>
      <c r="K102" s="261"/>
      <c r="L102" s="261"/>
      <c r="M102" s="261"/>
      <c r="N102" s="330">
        <f>N98+N100+N99</f>
        <v>6249</v>
      </c>
      <c r="O102" s="261"/>
      <c r="P102" s="330">
        <f>P98+P100+P99+P101</f>
        <v>2186</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-84-39-5</f>
        <v>-128</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-251</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-183</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-328</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-209</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-198</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-4</v>
      </c>
      <c r="O115" s="261"/>
      <c r="P115" s="331">
        <v>4</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-171</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-712</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-618</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-1404</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-1221</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-1874</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-580</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-548</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-6245</v>
      </c>
      <c r="O129" s="330"/>
      <c r="P129" s="330">
        <f>SUM(P103:P128)</f>
        <v>-2186</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APRIL 2016</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-4</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-4</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4</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f>-P101</f>
        <v>93</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334240</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334239.79778298724</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+'Jan 16'!M173</f>
        <v>89803</v>
      </c>
      <c r="N171" s="331">
        <f>+'Jan 16'!N173</f>
        <v>10230</v>
      </c>
      <c r="O171" s="261"/>
      <c r="P171" s="331">
        <f>M171+N171</f>
        <v>100033</v>
      </c>
      <c r="Q171" s="264"/>
      <c r="R171" s="5"/>
    </row>
    <row r="172" spans="1:19" ht="15.6" x14ac:dyDescent="0.3">
      <c r="A172" s="260"/>
      <c r="B172" s="261" t="s">
        <v>69</v>
      </c>
      <c r="C172" s="261"/>
      <c r="D172" s="261"/>
      <c r="E172" s="261"/>
      <c r="F172" s="261"/>
      <c r="G172" s="261"/>
      <c r="H172" s="261"/>
      <c r="I172" s="261"/>
      <c r="J172" s="261"/>
      <c r="K172" s="261"/>
      <c r="L172" s="261"/>
      <c r="M172" s="330">
        <v>618</v>
      </c>
      <c r="N172" s="330">
        <f>-N99-N122</f>
        <v>0</v>
      </c>
      <c r="O172" s="261"/>
      <c r="P172" s="331">
        <f>M172+N172</f>
        <v>618</v>
      </c>
      <c r="Q172" s="264"/>
      <c r="R172" s="5"/>
    </row>
    <row r="173" spans="1:19" ht="15.6" x14ac:dyDescent="0.3">
      <c r="A173" s="260"/>
      <c r="B173" s="261" t="s">
        <v>70</v>
      </c>
      <c r="C173" s="261"/>
      <c r="D173" s="261"/>
      <c r="E173" s="261"/>
      <c r="F173" s="261"/>
      <c r="G173" s="261"/>
      <c r="H173" s="261"/>
      <c r="I173" s="261"/>
      <c r="J173" s="261"/>
      <c r="K173" s="261"/>
      <c r="L173" s="261"/>
      <c r="M173" s="331">
        <f>M171+M172</f>
        <v>90421</v>
      </c>
      <c r="N173" s="331">
        <f>N172+N171</f>
        <v>10230</v>
      </c>
      <c r="O173" s="261"/>
      <c r="P173" s="331">
        <f>M173+N173</f>
        <v>100651</v>
      </c>
      <c r="Q173" s="264"/>
      <c r="R173" s="5"/>
    </row>
    <row r="174" spans="1:19" ht="15.6" x14ac:dyDescent="0.3">
      <c r="A174" s="260"/>
      <c r="B174" s="261" t="s">
        <v>71</v>
      </c>
      <c r="C174" s="261"/>
      <c r="D174" s="261"/>
      <c r="E174" s="261"/>
      <c r="F174" s="261"/>
      <c r="G174" s="261"/>
      <c r="H174" s="261"/>
      <c r="I174" s="261"/>
      <c r="J174" s="261"/>
      <c r="K174" s="261"/>
      <c r="L174" s="261"/>
      <c r="M174" s="331">
        <f>M170-M173-N173</f>
        <v>43349</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2.6981627296587924</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1.59</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3.1793611793611793</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2.6</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APRIL 2016</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42489</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2.3529999999999999E-2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1.3985587814093403E-2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9.5444121859065961E-3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6.4319277835153165E-3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10.8</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1.8374834861872438E-2</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9.2600000000000002E-2</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0</v>
      </c>
      <c r="N206" s="305">
        <v>0</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24</v>
      </c>
      <c r="N207" s="353">
        <f>+N255</f>
        <v>3986</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1</v>
      </c>
      <c r="N208" s="353">
        <f>+N266</f>
        <v>98</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-4</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'Jan 16'!N213+'April 16'!N212</f>
        <v>6269</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1</v>
      </c>
      <c r="N219" s="353">
        <v>163</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2859</v>
      </c>
      <c r="M225" s="382">
        <f t="shared" ref="M225:M232" si="2">L225/$L$233</f>
        <v>0.99374348279457769</v>
      </c>
      <c r="N225" s="331">
        <f t="shared" ref="N225:N230" si="3">+N236+N247+N258</f>
        <v>332081</v>
      </c>
      <c r="O225" s="382">
        <f t="shared" ref="O225:O232" si="4">N225/$N$233</f>
        <v>0.99354056965055049</v>
      </c>
      <c r="P225" s="306"/>
      <c r="Q225" s="417"/>
      <c r="R225" s="5"/>
    </row>
    <row r="226" spans="1:18" ht="15.6" x14ac:dyDescent="0.3">
      <c r="A226" s="260"/>
      <c r="B226" s="330" t="s">
        <v>99</v>
      </c>
      <c r="C226" s="381"/>
      <c r="D226" s="261"/>
      <c r="E226" s="382"/>
      <c r="F226" s="381"/>
      <c r="G226" s="381"/>
      <c r="H226" s="381"/>
      <c r="I226" s="381"/>
      <c r="J226" s="381"/>
      <c r="K226" s="381"/>
      <c r="L226" s="330">
        <f t="shared" si="1"/>
        <v>8</v>
      </c>
      <c r="M226" s="382">
        <f t="shared" si="2"/>
        <v>2.7806743135210289E-3</v>
      </c>
      <c r="N226" s="331">
        <f t="shared" si="3"/>
        <v>1070</v>
      </c>
      <c r="O226" s="382">
        <f t="shared" si="4"/>
        <v>3.2012924844423171E-3</v>
      </c>
      <c r="P226" s="354"/>
      <c r="Q226" s="373"/>
      <c r="R226" s="5"/>
    </row>
    <row r="227" spans="1:18" ht="15.6" x14ac:dyDescent="0.3">
      <c r="A227" s="260"/>
      <c r="B227" s="330" t="s">
        <v>100</v>
      </c>
      <c r="C227" s="381"/>
      <c r="D227" s="261"/>
      <c r="E227" s="382"/>
      <c r="F227" s="381"/>
      <c r="G227" s="381"/>
      <c r="H227" s="381"/>
      <c r="I227" s="381"/>
      <c r="J227" s="381"/>
      <c r="K227" s="381"/>
      <c r="L227" s="330">
        <f t="shared" si="1"/>
        <v>1</v>
      </c>
      <c r="M227" s="382">
        <f t="shared" si="2"/>
        <v>3.4758428919012862E-4</v>
      </c>
      <c r="N227" s="331">
        <f t="shared" si="3"/>
        <v>183</v>
      </c>
      <c r="O227" s="382">
        <f t="shared" si="4"/>
        <v>5.4751077070368595E-4</v>
      </c>
      <c r="P227" s="354"/>
      <c r="Q227" s="373"/>
      <c r="R227" s="5"/>
    </row>
    <row r="228" spans="1:18" ht="15.6" x14ac:dyDescent="0.3">
      <c r="A228" s="260"/>
      <c r="B228" s="330" t="s">
        <v>227</v>
      </c>
      <c r="C228" s="381"/>
      <c r="D228" s="261"/>
      <c r="E228" s="382"/>
      <c r="F228" s="381"/>
      <c r="G228" s="381"/>
      <c r="H228" s="381"/>
      <c r="I228" s="381"/>
      <c r="J228" s="381"/>
      <c r="K228" s="381"/>
      <c r="L228" s="330">
        <f t="shared" si="1"/>
        <v>1</v>
      </c>
      <c r="M228" s="382">
        <f t="shared" si="2"/>
        <v>3.4758428919012862E-4</v>
      </c>
      <c r="N228" s="331">
        <f t="shared" si="3"/>
        <v>41</v>
      </c>
      <c r="O228" s="382">
        <f t="shared" si="4"/>
        <v>1.2266634753470561E-4</v>
      </c>
      <c r="P228" s="354"/>
      <c r="Q228" s="373"/>
      <c r="R228" s="5"/>
    </row>
    <row r="229" spans="1:18" ht="15.6" x14ac:dyDescent="0.3">
      <c r="A229" s="260"/>
      <c r="B229" s="330" t="s">
        <v>228</v>
      </c>
      <c r="C229" s="381"/>
      <c r="D229" s="261"/>
      <c r="E229" s="382"/>
      <c r="F229" s="381"/>
      <c r="G229" s="381"/>
      <c r="H229" s="381"/>
      <c r="I229" s="381"/>
      <c r="J229" s="381"/>
      <c r="K229" s="381"/>
      <c r="L229" s="330">
        <f t="shared" si="1"/>
        <v>2</v>
      </c>
      <c r="M229" s="382">
        <f t="shared" si="2"/>
        <v>6.9516857838025723E-4</v>
      </c>
      <c r="N229" s="331">
        <f t="shared" si="3"/>
        <v>92</v>
      </c>
      <c r="O229" s="382">
        <f t="shared" si="4"/>
        <v>2.7525131641933942E-4</v>
      </c>
      <c r="P229" s="354"/>
      <c r="Q229" s="373"/>
      <c r="R229" s="5"/>
    </row>
    <row r="230" spans="1:18" ht="15.6" x14ac:dyDescent="0.3">
      <c r="A230" s="260"/>
      <c r="B230" s="330" t="s">
        <v>229</v>
      </c>
      <c r="C230" s="381"/>
      <c r="D230" s="261"/>
      <c r="E230" s="382"/>
      <c r="F230" s="381"/>
      <c r="G230" s="381"/>
      <c r="H230" s="381"/>
      <c r="I230" s="381"/>
      <c r="J230" s="381"/>
      <c r="K230" s="381"/>
      <c r="L230" s="330">
        <f t="shared" si="1"/>
        <v>1</v>
      </c>
      <c r="M230" s="382">
        <f t="shared" si="2"/>
        <v>3.4758428919012862E-4</v>
      </c>
      <c r="N230" s="331">
        <f t="shared" si="3"/>
        <v>234</v>
      </c>
      <c r="O230" s="382">
        <f t="shared" si="4"/>
        <v>7.0009573958831981E-4</v>
      </c>
      <c r="P230" s="354"/>
      <c r="Q230" s="373"/>
      <c r="R230" s="5"/>
    </row>
    <row r="231" spans="1:18" ht="15.6" x14ac:dyDescent="0.3">
      <c r="A231" s="260"/>
      <c r="B231" s="330" t="s">
        <v>230</v>
      </c>
      <c r="C231" s="381"/>
      <c r="D231" s="261"/>
      <c r="E231" s="382"/>
      <c r="F231" s="381"/>
      <c r="G231" s="381"/>
      <c r="H231" s="381"/>
      <c r="I231" s="381"/>
      <c r="J231" s="381"/>
      <c r="K231" s="381"/>
      <c r="L231" s="330">
        <f t="shared" si="1"/>
        <v>3</v>
      </c>
      <c r="M231" s="382">
        <f t="shared" si="2"/>
        <v>1.0427528675703858E-3</v>
      </c>
      <c r="N231" s="331">
        <f>+N242+N253+N264</f>
        <v>153</v>
      </c>
      <c r="O231" s="382">
        <f t="shared" si="4"/>
        <v>4.5775490665390136E-4</v>
      </c>
      <c r="P231" s="354"/>
      <c r="Q231" s="373"/>
      <c r="R231" s="5"/>
    </row>
    <row r="232" spans="1:18" ht="15.6" x14ac:dyDescent="0.3">
      <c r="A232" s="260"/>
      <c r="B232" s="330" t="s">
        <v>231</v>
      </c>
      <c r="C232" s="381"/>
      <c r="D232" s="261"/>
      <c r="E232" s="382"/>
      <c r="F232" s="381"/>
      <c r="G232" s="381"/>
      <c r="H232" s="381"/>
      <c r="I232" s="381"/>
      <c r="J232" s="381"/>
      <c r="K232" s="381"/>
      <c r="L232" s="330">
        <f t="shared" si="1"/>
        <v>2</v>
      </c>
      <c r="M232" s="382">
        <f t="shared" si="2"/>
        <v>6.9516857838025723E-4</v>
      </c>
      <c r="N232" s="331">
        <f>+N243+N254+N265</f>
        <v>386</v>
      </c>
      <c r="O232" s="382">
        <f t="shared" si="4"/>
        <v>1.1548587841072283E-3</v>
      </c>
      <c r="P232" s="354"/>
      <c r="Q232" s="373"/>
      <c r="R232" s="5"/>
    </row>
    <row r="233" spans="1:18" ht="15.6" x14ac:dyDescent="0.3">
      <c r="A233" s="260"/>
      <c r="B233" s="261" t="s">
        <v>129</v>
      </c>
      <c r="C233" s="261"/>
      <c r="D233" s="261"/>
      <c r="E233" s="261"/>
      <c r="F233" s="383"/>
      <c r="G233" s="383"/>
      <c r="H233" s="383"/>
      <c r="I233" s="383"/>
      <c r="J233" s="383"/>
      <c r="K233" s="383"/>
      <c r="L233" s="330">
        <f>SUM(L225:L232)</f>
        <v>2877</v>
      </c>
      <c r="M233" s="382">
        <f>SUM(M225:M232)</f>
        <v>1</v>
      </c>
      <c r="N233" s="330">
        <f>SUM(N225:N232)</f>
        <v>334240</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2841</v>
      </c>
      <c r="M236" s="310">
        <f t="shared" ref="M236:M243" si="5">L236/$L$244</f>
        <v>0.99614305750350629</v>
      </c>
      <c r="N236" s="300">
        <v>329147</v>
      </c>
      <c r="O236" s="310">
        <f t="shared" ref="O236:O243" si="6">N236/$N$244</f>
        <v>0.9969438689589164</v>
      </c>
      <c r="P236" s="306"/>
      <c r="Q236" s="417"/>
      <c r="R236" s="5"/>
    </row>
    <row r="237" spans="1:18" ht="15.6" x14ac:dyDescent="0.3">
      <c r="A237" s="260"/>
      <c r="B237" s="330" t="s">
        <v>99</v>
      </c>
      <c r="C237" s="381"/>
      <c r="D237" s="261"/>
      <c r="E237" s="382"/>
      <c r="F237" s="381"/>
      <c r="G237" s="381"/>
      <c r="H237" s="381"/>
      <c r="I237" s="381"/>
      <c r="J237" s="381"/>
      <c r="K237" s="381"/>
      <c r="L237" s="330">
        <v>7</v>
      </c>
      <c r="M237" s="382">
        <f t="shared" si="5"/>
        <v>2.4544179523141654E-3</v>
      </c>
      <c r="N237" s="331">
        <v>887</v>
      </c>
      <c r="O237" s="382">
        <f t="shared" si="6"/>
        <v>2.6866087546493175E-3</v>
      </c>
      <c r="P237" s="354"/>
      <c r="Q237" s="373"/>
      <c r="R237" s="5"/>
    </row>
    <row r="238" spans="1:18" ht="15.6" x14ac:dyDescent="0.3">
      <c r="A238" s="260"/>
      <c r="B238" s="330" t="s">
        <v>100</v>
      </c>
      <c r="C238" s="381"/>
      <c r="D238" s="261"/>
      <c r="E238" s="382"/>
      <c r="F238" s="381"/>
      <c r="G238" s="381"/>
      <c r="H238" s="381"/>
      <c r="I238" s="381"/>
      <c r="J238" s="381"/>
      <c r="K238" s="381"/>
      <c r="L238" s="330">
        <v>0</v>
      </c>
      <c r="M238" s="382">
        <f t="shared" si="5"/>
        <v>0</v>
      </c>
      <c r="N238" s="331">
        <v>0</v>
      </c>
      <c r="O238" s="382">
        <f t="shared" si="6"/>
        <v>0</v>
      </c>
      <c r="P238" s="354"/>
      <c r="Q238" s="373"/>
      <c r="R238" s="5"/>
    </row>
    <row r="239" spans="1:18" ht="15.6" x14ac:dyDescent="0.3">
      <c r="A239" s="260"/>
      <c r="B239" s="330" t="s">
        <v>227</v>
      </c>
      <c r="C239" s="381"/>
      <c r="D239" s="261"/>
      <c r="E239" s="382"/>
      <c r="F239" s="381"/>
      <c r="G239" s="381"/>
      <c r="H239" s="381"/>
      <c r="I239" s="381"/>
      <c r="J239" s="381"/>
      <c r="K239" s="381"/>
      <c r="L239" s="330">
        <v>1</v>
      </c>
      <c r="M239" s="382">
        <f t="shared" si="5"/>
        <v>3.5063113604488078E-4</v>
      </c>
      <c r="N239" s="331">
        <v>41</v>
      </c>
      <c r="O239" s="382">
        <f t="shared" si="6"/>
        <v>1.2418371921152425E-4</v>
      </c>
      <c r="P239" s="354"/>
      <c r="Q239" s="373"/>
      <c r="R239" s="5"/>
    </row>
    <row r="240" spans="1:18" ht="15.6" x14ac:dyDescent="0.3">
      <c r="A240" s="260"/>
      <c r="B240" s="330" t="s">
        <v>228</v>
      </c>
      <c r="C240" s="381"/>
      <c r="D240" s="261"/>
      <c r="E240" s="382"/>
      <c r="F240" s="381"/>
      <c r="G240" s="381"/>
      <c r="H240" s="381"/>
      <c r="I240" s="381"/>
      <c r="J240" s="381"/>
      <c r="K240" s="381"/>
      <c r="L240" s="330">
        <v>1</v>
      </c>
      <c r="M240" s="382">
        <f t="shared" si="5"/>
        <v>3.5063113604488078E-4</v>
      </c>
      <c r="N240" s="331">
        <v>26</v>
      </c>
      <c r="O240" s="382">
        <f t="shared" si="6"/>
        <v>7.8750651207308065E-5</v>
      </c>
      <c r="P240" s="354"/>
      <c r="Q240" s="373"/>
      <c r="R240" s="5"/>
    </row>
    <row r="241" spans="1:18" ht="15.6" x14ac:dyDescent="0.3">
      <c r="A241" s="260"/>
      <c r="B241" s="330" t="s">
        <v>229</v>
      </c>
      <c r="C241" s="381"/>
      <c r="D241" s="261"/>
      <c r="E241" s="382"/>
      <c r="F241" s="381"/>
      <c r="G241" s="381"/>
      <c r="H241" s="381"/>
      <c r="I241" s="381"/>
      <c r="J241" s="381"/>
      <c r="K241" s="381"/>
      <c r="L241" s="330">
        <v>0</v>
      </c>
      <c r="M241" s="382">
        <f t="shared" si="5"/>
        <v>0</v>
      </c>
      <c r="N241" s="331">
        <v>0</v>
      </c>
      <c r="O241" s="382">
        <f t="shared" si="6"/>
        <v>0</v>
      </c>
      <c r="P241" s="354"/>
      <c r="Q241" s="373"/>
      <c r="R241" s="5"/>
    </row>
    <row r="242" spans="1:18" ht="15.6" x14ac:dyDescent="0.3">
      <c r="A242" s="260"/>
      <c r="B242" s="330" t="s">
        <v>230</v>
      </c>
      <c r="C242" s="381"/>
      <c r="D242" s="261"/>
      <c r="E242" s="382"/>
      <c r="F242" s="381"/>
      <c r="G242" s="381"/>
      <c r="H242" s="381"/>
      <c r="I242" s="381"/>
      <c r="J242" s="381"/>
      <c r="K242" s="381"/>
      <c r="L242" s="330">
        <v>2</v>
      </c>
      <c r="M242" s="382">
        <f t="shared" si="5"/>
        <v>7.0126227208976155E-4</v>
      </c>
      <c r="N242" s="331">
        <v>55</v>
      </c>
      <c r="O242" s="382">
        <f t="shared" si="6"/>
        <v>1.6658791601545936E-4</v>
      </c>
      <c r="P242" s="354"/>
      <c r="Q242" s="373"/>
      <c r="R242" s="5"/>
    </row>
    <row r="243" spans="1:18" ht="15.6" x14ac:dyDescent="0.3">
      <c r="A243" s="260"/>
      <c r="B243" s="330" t="s">
        <v>231</v>
      </c>
      <c r="C243" s="381"/>
      <c r="D243" s="261"/>
      <c r="E243" s="382"/>
      <c r="F243" s="381"/>
      <c r="G243" s="381"/>
      <c r="H243" s="381"/>
      <c r="I243" s="381"/>
      <c r="J243" s="381"/>
      <c r="K243" s="381"/>
      <c r="L243" s="330">
        <v>0</v>
      </c>
      <c r="M243" s="382">
        <f t="shared" si="5"/>
        <v>0</v>
      </c>
      <c r="N243" s="331">
        <v>0</v>
      </c>
      <c r="O243" s="382">
        <f t="shared" si="6"/>
        <v>0</v>
      </c>
      <c r="P243" s="354"/>
      <c r="Q243" s="373"/>
      <c r="R243" s="5"/>
    </row>
    <row r="244" spans="1:18" ht="15.6" x14ac:dyDescent="0.3">
      <c r="A244" s="260"/>
      <c r="B244" s="261" t="s">
        <v>129</v>
      </c>
      <c r="C244" s="261"/>
      <c r="D244" s="261"/>
      <c r="E244" s="261"/>
      <c r="F244" s="383"/>
      <c r="G244" s="383"/>
      <c r="H244" s="383"/>
      <c r="I244" s="383"/>
      <c r="J244" s="383"/>
      <c r="K244" s="383"/>
      <c r="L244" s="330">
        <f>SUM(L236:L243)</f>
        <v>2852</v>
      </c>
      <c r="M244" s="382">
        <f>SUM(M236:M243)</f>
        <v>0.99999999999999989</v>
      </c>
      <c r="N244" s="331">
        <f>SUM(N236:N243)</f>
        <v>330156</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18</v>
      </c>
      <c r="M247" s="310">
        <f t="shared" ref="M247:M254" si="7">L247/$L$255</f>
        <v>0.75</v>
      </c>
      <c r="N247" s="300">
        <v>2934</v>
      </c>
      <c r="O247" s="310">
        <f t="shared" ref="O247:O254" si="8">N247/$N$255</f>
        <v>0.73607626693426997</v>
      </c>
      <c r="P247" s="306"/>
      <c r="Q247" s="408"/>
      <c r="R247" s="5"/>
    </row>
    <row r="248" spans="1:18" ht="15.6" x14ac:dyDescent="0.3">
      <c r="A248" s="260"/>
      <c r="B248" s="330" t="s">
        <v>99</v>
      </c>
      <c r="C248" s="381"/>
      <c r="D248" s="261"/>
      <c r="E248" s="382"/>
      <c r="F248" s="381"/>
      <c r="G248" s="381"/>
      <c r="H248" s="381"/>
      <c r="I248" s="381"/>
      <c r="J248" s="381"/>
      <c r="K248" s="381"/>
      <c r="L248" s="330">
        <v>1</v>
      </c>
      <c r="M248" s="382">
        <f t="shared" si="7"/>
        <v>4.1666666666666664E-2</v>
      </c>
      <c r="N248" s="331">
        <v>183</v>
      </c>
      <c r="O248" s="382">
        <f t="shared" si="8"/>
        <v>4.5910687405920719E-2</v>
      </c>
      <c r="P248" s="354"/>
      <c r="Q248" s="264"/>
      <c r="R248" s="5"/>
    </row>
    <row r="249" spans="1:18" ht="15.6" x14ac:dyDescent="0.3">
      <c r="A249" s="260"/>
      <c r="B249" s="330" t="s">
        <v>100</v>
      </c>
      <c r="C249" s="381"/>
      <c r="D249" s="261"/>
      <c r="E249" s="382"/>
      <c r="F249" s="381"/>
      <c r="G249" s="381"/>
      <c r="H249" s="381"/>
      <c r="I249" s="381"/>
      <c r="J249" s="381"/>
      <c r="K249" s="381"/>
      <c r="L249" s="330">
        <v>1</v>
      </c>
      <c r="M249" s="382">
        <f t="shared" si="7"/>
        <v>4.1666666666666664E-2</v>
      </c>
      <c r="N249" s="331">
        <v>183</v>
      </c>
      <c r="O249" s="382">
        <f t="shared" si="8"/>
        <v>4.5910687405920719E-2</v>
      </c>
      <c r="P249" s="354"/>
      <c r="Q249" s="264"/>
      <c r="R249" s="5"/>
    </row>
    <row r="250" spans="1:18" ht="15.6" x14ac:dyDescent="0.3">
      <c r="A250" s="260"/>
      <c r="B250" s="330" t="s">
        <v>227</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228</v>
      </c>
      <c r="C251" s="381"/>
      <c r="D251" s="261"/>
      <c r="E251" s="382"/>
      <c r="F251" s="381"/>
      <c r="G251" s="381"/>
      <c r="H251" s="381"/>
      <c r="I251" s="381"/>
      <c r="J251" s="381"/>
      <c r="K251" s="381"/>
      <c r="L251" s="330">
        <v>1</v>
      </c>
      <c r="M251" s="382">
        <f t="shared" si="7"/>
        <v>4.1666666666666664E-2</v>
      </c>
      <c r="N251" s="331">
        <v>66</v>
      </c>
      <c r="O251" s="382">
        <f t="shared" si="8"/>
        <v>1.6557952834922229E-2</v>
      </c>
      <c r="P251" s="354"/>
      <c r="Q251" s="264"/>
      <c r="R251" s="5"/>
    </row>
    <row r="252" spans="1:18" ht="15.6" x14ac:dyDescent="0.3">
      <c r="A252" s="260"/>
      <c r="B252" s="330" t="s">
        <v>229</v>
      </c>
      <c r="C252" s="381"/>
      <c r="D252" s="261"/>
      <c r="E252" s="382"/>
      <c r="F252" s="381"/>
      <c r="G252" s="381"/>
      <c r="H252" s="381"/>
      <c r="I252" s="381"/>
      <c r="J252" s="381"/>
      <c r="K252" s="381"/>
      <c r="L252" s="330">
        <v>1</v>
      </c>
      <c r="M252" s="382">
        <f t="shared" si="7"/>
        <v>4.1666666666666664E-2</v>
      </c>
      <c r="N252" s="331">
        <v>234</v>
      </c>
      <c r="O252" s="382">
        <f t="shared" si="8"/>
        <v>5.8705469141996987E-2</v>
      </c>
      <c r="P252" s="354"/>
      <c r="Q252" s="264"/>
      <c r="R252" s="5"/>
    </row>
    <row r="253" spans="1:18" ht="15.6" x14ac:dyDescent="0.3">
      <c r="A253" s="260"/>
      <c r="B253" s="330" t="s">
        <v>230</v>
      </c>
      <c r="C253" s="381"/>
      <c r="D253" s="261"/>
      <c r="E253" s="382"/>
      <c r="F253" s="381"/>
      <c r="G253" s="381"/>
      <c r="H253" s="381"/>
      <c r="I253" s="381"/>
      <c r="J253" s="381"/>
      <c r="K253" s="381"/>
      <c r="L253" s="330">
        <v>0</v>
      </c>
      <c r="M253" s="382">
        <f t="shared" si="7"/>
        <v>0</v>
      </c>
      <c r="N253" s="331">
        <v>0</v>
      </c>
      <c r="O253" s="382">
        <f t="shared" si="8"/>
        <v>0</v>
      </c>
      <c r="P253" s="354"/>
      <c r="Q253" s="264"/>
      <c r="R253" s="5"/>
    </row>
    <row r="254" spans="1:18" ht="15.6" x14ac:dyDescent="0.3">
      <c r="A254" s="260"/>
      <c r="B254" s="330" t="s">
        <v>231</v>
      </c>
      <c r="C254" s="381"/>
      <c r="D254" s="261"/>
      <c r="E254" s="382"/>
      <c r="F254" s="381"/>
      <c r="G254" s="381"/>
      <c r="H254" s="381"/>
      <c r="I254" s="381"/>
      <c r="J254" s="381"/>
      <c r="K254" s="381"/>
      <c r="L254" s="330">
        <v>2</v>
      </c>
      <c r="M254" s="382">
        <f t="shared" si="7"/>
        <v>8.3333333333333329E-2</v>
      </c>
      <c r="N254" s="331">
        <v>386</v>
      </c>
      <c r="O254" s="382">
        <f t="shared" si="8"/>
        <v>9.6838936276969392E-2</v>
      </c>
      <c r="P254" s="354"/>
      <c r="Q254" s="264"/>
      <c r="R254" s="5"/>
    </row>
    <row r="255" spans="1:18" ht="15.6" x14ac:dyDescent="0.3">
      <c r="A255" s="260"/>
      <c r="B255" s="261" t="s">
        <v>129</v>
      </c>
      <c r="C255" s="261"/>
      <c r="D255" s="261"/>
      <c r="E255" s="261"/>
      <c r="F255" s="383"/>
      <c r="G255" s="383"/>
      <c r="H255" s="383"/>
      <c r="I255" s="383"/>
      <c r="J255" s="383"/>
      <c r="K255" s="383"/>
      <c r="L255" s="330">
        <f>SUM(L247:L254)</f>
        <v>24</v>
      </c>
      <c r="M255" s="382">
        <f>SUM(M247:M254)</f>
        <v>0.99999999999999989</v>
      </c>
      <c r="N255" s="331">
        <f>SUM(N247:N254)</f>
        <v>3986</v>
      </c>
      <c r="O255" s="382">
        <f>SUM(O247:O254)</f>
        <v>1.0000000000000002</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1</v>
      </c>
      <c r="M264" s="382">
        <v>1</v>
      </c>
      <c r="N264" s="331">
        <v>98</v>
      </c>
      <c r="O264" s="382">
        <v>1</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1</v>
      </c>
      <c r="M266" s="382">
        <f>SUM(M258:M265)</f>
        <v>1</v>
      </c>
      <c r="N266" s="331">
        <f>SUM(N258:N265)</f>
        <v>98</v>
      </c>
      <c r="O266" s="382">
        <f>SUM(O258:O265)</f>
        <v>1</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2877</v>
      </c>
      <c r="M268" s="382"/>
      <c r="N268" s="386">
        <f>+N266+N255+N244</f>
        <v>334240</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418"/>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418"/>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5.6" x14ac:dyDescent="0.3">
      <c r="A277" s="225"/>
      <c r="B277" s="228"/>
      <c r="C277" s="228"/>
      <c r="D277" s="228"/>
      <c r="E277" s="314"/>
      <c r="F277" s="249"/>
      <c r="G277" s="249"/>
      <c r="H277" s="249"/>
      <c r="I277" s="249"/>
      <c r="J277" s="249"/>
      <c r="K277" s="249"/>
      <c r="L277" s="249"/>
      <c r="M277" s="249"/>
      <c r="N277" s="249"/>
      <c r="O277" s="249"/>
      <c r="P277" s="249"/>
      <c r="Q277" s="418"/>
      <c r="R277" s="5"/>
    </row>
    <row r="278" spans="1:18" ht="18" thickBot="1" x14ac:dyDescent="0.35">
      <c r="A278" s="225"/>
      <c r="B278" s="315" t="str">
        <f>B185</f>
        <v>PM7 INVESTOR REPORT QUARTER ENDING APRIL 2016</v>
      </c>
      <c r="C278" s="228"/>
      <c r="D278" s="228"/>
      <c r="E278" s="314"/>
      <c r="F278" s="249"/>
      <c r="G278" s="249"/>
      <c r="H278" s="249"/>
      <c r="I278" s="249"/>
      <c r="J278" s="249"/>
      <c r="K278" s="249"/>
      <c r="L278" s="249"/>
      <c r="M278" s="249"/>
      <c r="N278" s="249"/>
      <c r="O278" s="249"/>
      <c r="P278" s="249"/>
      <c r="Q278" s="41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40" orientation="landscape" r:id="rId3"/>
  <headerFooter alignWithMargins="0"/>
  <rowBreaks count="4" manualBreakCount="4">
    <brk id="65" max="16" man="1"/>
    <brk id="133" max="16" man="1"/>
    <brk id="185" max="16" man="1"/>
    <brk id="278" max="16" man="1"/>
  </rowBreak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0.96189999999999998</v>
      </c>
      <c r="N17" s="246" t="s">
        <v>173</v>
      </c>
      <c r="O17" s="245">
        <v>3.8100000000000002E-2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42600</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323</v>
      </c>
      <c r="K27" s="392"/>
      <c r="L27" s="392" t="s">
        <v>323</v>
      </c>
      <c r="M27" s="392"/>
      <c r="N27" s="262"/>
      <c r="O27" s="263"/>
      <c r="P27" s="263"/>
      <c r="Q27" s="264"/>
      <c r="R27" s="5"/>
    </row>
    <row r="28" spans="1:19" ht="15.6" x14ac:dyDescent="0.3">
      <c r="A28" s="265"/>
      <c r="B28" s="266" t="s">
        <v>10</v>
      </c>
      <c r="C28" s="392"/>
      <c r="D28" s="392" t="s">
        <v>322</v>
      </c>
      <c r="E28" s="392"/>
      <c r="F28" s="392" t="s">
        <v>322</v>
      </c>
      <c r="G28" s="392"/>
      <c r="H28" s="392" t="s">
        <v>322</v>
      </c>
      <c r="I28" s="392"/>
      <c r="J28" s="392" t="s">
        <v>322</v>
      </c>
      <c r="K28" s="392"/>
      <c r="L28" s="392" t="s">
        <v>322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178</v>
      </c>
      <c r="K29" s="392"/>
      <c r="L29" s="392" t="s">
        <v>178</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148402.03499999997</v>
      </c>
      <c r="E34" s="271"/>
      <c r="F34" s="272">
        <f>+F33*F40</f>
        <v>72531.272000000012</v>
      </c>
      <c r="G34" s="271"/>
      <c r="H34" s="273">
        <f>+H33*H40</f>
        <v>164901.35</v>
      </c>
      <c r="I34" s="271"/>
      <c r="J34" s="270">
        <f>J33*J40</f>
        <v>61230.155250000003</v>
      </c>
      <c r="K34" s="271"/>
      <c r="L34" s="273">
        <f>L33*L40</f>
        <v>48241.862499999996</v>
      </c>
      <c r="M34" s="271"/>
      <c r="N34" s="271"/>
      <c r="O34" s="274"/>
      <c r="P34" s="271"/>
      <c r="Q34" s="275"/>
      <c r="R34" s="5"/>
    </row>
    <row r="35" spans="1:19" ht="15.6" x14ac:dyDescent="0.3">
      <c r="A35" s="265"/>
      <c r="B35" s="266" t="s">
        <v>158</v>
      </c>
      <c r="C35" s="276"/>
      <c r="D35" s="277">
        <f>+D33*D39</f>
        <v>146877.30000000002</v>
      </c>
      <c r="E35" s="278"/>
      <c r="F35" s="279">
        <f>+F33*F39</f>
        <v>71786.088000000003</v>
      </c>
      <c r="G35" s="278"/>
      <c r="H35" s="280">
        <f>+H33*H39</f>
        <v>163207.1</v>
      </c>
      <c r="I35" s="278"/>
      <c r="J35" s="277">
        <f>J33*J39</f>
        <v>60601.05975</v>
      </c>
      <c r="K35" s="278"/>
      <c r="L35" s="280">
        <f>L33*L39</f>
        <v>47746.211499999998</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83418.794266441808</v>
      </c>
      <c r="E37" s="271"/>
      <c r="F37" s="271">
        <f>+F34</f>
        <v>72531.272000000012</v>
      </c>
      <c r="G37" s="271"/>
      <c r="H37" s="271">
        <f>+H34/1.481481</f>
        <v>111308.44742524541</v>
      </c>
      <c r="I37" s="271"/>
      <c r="J37" s="271">
        <f>J36*J40</f>
        <v>34418.026903799997</v>
      </c>
      <c r="K37" s="271"/>
      <c r="L37" s="271">
        <f>L36*L40</f>
        <v>32563.257187499999</v>
      </c>
      <c r="M37" s="271"/>
      <c r="N37" s="271"/>
      <c r="O37" s="274"/>
      <c r="P37" s="271">
        <f>SUM(C37:L37)</f>
        <v>334239.79778298724</v>
      </c>
      <c r="Q37" s="275"/>
      <c r="R37" s="5"/>
      <c r="S37" s="154"/>
    </row>
    <row r="38" spans="1:19" ht="15.6" x14ac:dyDescent="0.3">
      <c r="A38" s="265"/>
      <c r="B38" s="266" t="s">
        <v>281</v>
      </c>
      <c r="C38" s="276"/>
      <c r="D38" s="278">
        <f>D35/1.779</f>
        <v>82561.720067453643</v>
      </c>
      <c r="E38" s="278"/>
      <c r="F38" s="278">
        <f>+F35</f>
        <v>71786.088000000003</v>
      </c>
      <c r="G38" s="278"/>
      <c r="H38" s="278">
        <f>H35/1.481481</f>
        <v>110164.8283035692</v>
      </c>
      <c r="I38" s="278"/>
      <c r="J38" s="278">
        <f>J36*J39</f>
        <v>34064.406604199998</v>
      </c>
      <c r="K38" s="278"/>
      <c r="L38" s="278">
        <f>L36*L39</f>
        <v>32228.692762499999</v>
      </c>
      <c r="M38" s="278"/>
      <c r="N38" s="278"/>
      <c r="O38" s="281"/>
      <c r="P38" s="278">
        <f>SUM(D38:L38)</f>
        <v>330805.73573772289</v>
      </c>
      <c r="Q38" s="275"/>
      <c r="R38" s="5"/>
      <c r="S38" s="176"/>
    </row>
    <row r="39" spans="1:19" ht="15.6" x14ac:dyDescent="0.3">
      <c r="A39" s="265"/>
      <c r="B39" s="282" t="s">
        <v>154</v>
      </c>
      <c r="C39" s="283"/>
      <c r="D39" s="284">
        <v>0.32639400000000002</v>
      </c>
      <c r="E39" s="284"/>
      <c r="F39" s="284">
        <v>0.32630039999999999</v>
      </c>
      <c r="G39" s="284"/>
      <c r="H39" s="284">
        <v>0.32641419999999999</v>
      </c>
      <c r="I39" s="284"/>
      <c r="J39" s="284">
        <v>0.7345583</v>
      </c>
      <c r="K39" s="284"/>
      <c r="L39" s="284">
        <v>0.73455709999999996</v>
      </c>
      <c r="M39" s="285"/>
      <c r="N39" s="285"/>
      <c r="O39" s="286"/>
      <c r="P39" s="285"/>
      <c r="Q39" s="287"/>
      <c r="R39" s="5"/>
    </row>
    <row r="40" spans="1:19" ht="15.6" x14ac:dyDescent="0.3">
      <c r="A40" s="265"/>
      <c r="B40" s="282" t="s">
        <v>155</v>
      </c>
      <c r="C40" s="283"/>
      <c r="D40" s="284">
        <v>0.32978229999999997</v>
      </c>
      <c r="E40" s="284"/>
      <c r="F40" s="284">
        <v>0.32968760000000003</v>
      </c>
      <c r="G40" s="284"/>
      <c r="H40" s="284">
        <v>0.3298027</v>
      </c>
      <c r="I40" s="284"/>
      <c r="J40" s="284">
        <v>0.7421837</v>
      </c>
      <c r="K40" s="284"/>
      <c r="L40" s="284">
        <v>0.74218249999999997</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1.0461E-2</v>
      </c>
      <c r="E42" s="290"/>
      <c r="F42" s="289">
        <v>1.01075E-2</v>
      </c>
      <c r="G42" s="290"/>
      <c r="H42" s="289">
        <v>1.6199999999999999E-3</v>
      </c>
      <c r="I42" s="290"/>
      <c r="J42" s="289">
        <v>2.1260999999999999E-2</v>
      </c>
      <c r="K42" s="290"/>
      <c r="L42" s="289">
        <v>1.242E-2</v>
      </c>
      <c r="M42" s="290"/>
      <c r="N42" s="289"/>
      <c r="O42" s="263"/>
      <c r="P42" s="290"/>
      <c r="Q42" s="264"/>
      <c r="R42" s="5"/>
    </row>
    <row r="43" spans="1:19" ht="15.6" x14ac:dyDescent="0.3">
      <c r="A43" s="260"/>
      <c r="B43" s="261" t="s">
        <v>14</v>
      </c>
      <c r="C43" s="261"/>
      <c r="D43" s="289">
        <v>1.0382000000000001E-2</v>
      </c>
      <c r="E43" s="290"/>
      <c r="F43" s="289">
        <v>1.01288E-2</v>
      </c>
      <c r="G43" s="290"/>
      <c r="H43" s="289">
        <v>2.3700000000000001E-3</v>
      </c>
      <c r="I43" s="290"/>
      <c r="J43" s="289">
        <v>2.1181999999999999E-2</v>
      </c>
      <c r="K43" s="290"/>
      <c r="L43" s="289">
        <v>1.3169999999999999E-2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1.1997499999999999E-2</v>
      </c>
      <c r="E45" s="290"/>
      <c r="F45" s="289">
        <f>+F42</f>
        <v>1.01075E-2</v>
      </c>
      <c r="G45" s="290"/>
      <c r="H45" s="289">
        <v>1.1757500000000001E-2</v>
      </c>
      <c r="I45" s="290"/>
      <c r="J45" s="289">
        <v>2.4257500000000001E-2</v>
      </c>
      <c r="K45" s="290"/>
      <c r="L45" s="289">
        <v>2.4257500000000001E-2</v>
      </c>
      <c r="M45" s="290"/>
      <c r="N45" s="289"/>
      <c r="O45" s="263"/>
      <c r="P45" s="290">
        <f>SUMPRODUCT(D45:L45,D37:L37)/P37</f>
        <v>1.396432865373233E-2</v>
      </c>
      <c r="Q45" s="264"/>
      <c r="R45" s="5"/>
    </row>
    <row r="46" spans="1:19" ht="15.6" x14ac:dyDescent="0.3">
      <c r="A46" s="260"/>
      <c r="B46" s="261" t="s">
        <v>283</v>
      </c>
      <c r="C46" s="261"/>
      <c r="D46" s="289">
        <v>1.20188E-2</v>
      </c>
      <c r="E46" s="290"/>
      <c r="F46" s="289">
        <f>+F43</f>
        <v>1.01288E-2</v>
      </c>
      <c r="G46" s="290"/>
      <c r="H46" s="289">
        <v>1.1778800000000001E-2</v>
      </c>
      <c r="I46" s="290"/>
      <c r="J46" s="289">
        <v>2.42788E-2</v>
      </c>
      <c r="K46" s="290"/>
      <c r="L46" s="289">
        <v>2.42788E-2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0.25062356292768156</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42597</v>
      </c>
      <c r="Q57" s="264"/>
      <c r="R57" s="5"/>
    </row>
    <row r="58" spans="1:18" ht="15.6" x14ac:dyDescent="0.3">
      <c r="A58" s="260"/>
      <c r="B58" s="261" t="s">
        <v>142</v>
      </c>
      <c r="C58" s="261"/>
      <c r="D58" s="261"/>
      <c r="E58" s="261"/>
      <c r="F58" s="297"/>
      <c r="G58" s="297"/>
      <c r="H58" s="297"/>
      <c r="I58" s="297"/>
      <c r="J58" s="297"/>
      <c r="K58" s="297"/>
      <c r="L58" s="261">
        <f>+P58-N58+1</f>
        <v>90</v>
      </c>
      <c r="M58" s="297"/>
      <c r="N58" s="298">
        <v>42416</v>
      </c>
      <c r="O58" s="299"/>
      <c r="P58" s="298">
        <v>42505</v>
      </c>
      <c r="Q58" s="264"/>
      <c r="R58" s="5"/>
    </row>
    <row r="59" spans="1:18" ht="15.6" x14ac:dyDescent="0.3">
      <c r="A59" s="260"/>
      <c r="B59" s="261" t="s">
        <v>143</v>
      </c>
      <c r="C59" s="261"/>
      <c r="D59" s="261"/>
      <c r="E59" s="261"/>
      <c r="F59" s="261"/>
      <c r="G59" s="261"/>
      <c r="H59" s="261"/>
      <c r="I59" s="261"/>
      <c r="J59" s="261"/>
      <c r="K59" s="261"/>
      <c r="L59" s="261">
        <f>+P59-N59+1</f>
        <v>91</v>
      </c>
      <c r="M59" s="261"/>
      <c r="N59" s="298">
        <v>42506</v>
      </c>
      <c r="O59" s="299"/>
      <c r="P59" s="298">
        <v>42596</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42583</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327</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334240</v>
      </c>
      <c r="I69" s="330"/>
      <c r="J69" s="330">
        <f>3434+337</f>
        <v>3771</v>
      </c>
      <c r="K69" s="330"/>
      <c r="L69" s="330">
        <v>337</v>
      </c>
      <c r="M69" s="330"/>
      <c r="N69" s="330">
        <v>0</v>
      </c>
      <c r="O69" s="330"/>
      <c r="P69" s="331">
        <f>+H69-J69+L69-N69</f>
        <v>330806</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334240</v>
      </c>
      <c r="I72" s="330"/>
      <c r="J72" s="330">
        <f>SUM(J69:J71)</f>
        <v>3771</v>
      </c>
      <c r="K72" s="330"/>
      <c r="L72" s="330">
        <f>SUM(L69:L71)</f>
        <v>337</v>
      </c>
      <c r="M72" s="330"/>
      <c r="N72" s="330">
        <f>SUM(N69:N71)</f>
        <v>0</v>
      </c>
      <c r="O72" s="330"/>
      <c r="P72" s="330">
        <f>SUM(P69:P71)</f>
        <v>330806</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334240</v>
      </c>
      <c r="I86" s="330"/>
      <c r="J86" s="330">
        <f>SUM(J72:J85)</f>
        <v>3771</v>
      </c>
      <c r="K86" s="330"/>
      <c r="L86" s="330">
        <f>SUM(L72:L85)</f>
        <v>337</v>
      </c>
      <c r="M86" s="330"/>
      <c r="N86" s="330"/>
      <c r="O86" s="330"/>
      <c r="P86" s="330">
        <f>SUM(P72:P85)</f>
        <v>330806</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42580</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3771-225</f>
        <v>3546</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2782+151-916-100</f>
        <v>1917</v>
      </c>
      <c r="Q92" s="264"/>
      <c r="R92" s="5"/>
    </row>
    <row r="93" spans="1:18" ht="15.6" x14ac:dyDescent="0.3">
      <c r="A93" s="260"/>
      <c r="B93" s="261" t="s">
        <v>249</v>
      </c>
      <c r="C93" s="261"/>
      <c r="D93" s="261"/>
      <c r="E93" s="261"/>
      <c r="F93" s="292"/>
      <c r="G93" s="332"/>
      <c r="H93" s="333"/>
      <c r="I93" s="261"/>
      <c r="J93" s="261"/>
      <c r="K93" s="261"/>
      <c r="L93" s="261"/>
      <c r="M93" s="261"/>
      <c r="N93" s="330"/>
      <c r="O93" s="261"/>
      <c r="P93" s="331">
        <f>119+55</f>
        <v>174</v>
      </c>
      <c r="Q93" s="264"/>
      <c r="R93" s="5"/>
    </row>
    <row r="94" spans="1:18" ht="15.6" x14ac:dyDescent="0.3">
      <c r="A94" s="260"/>
      <c r="B94" s="261" t="s">
        <v>250</v>
      </c>
      <c r="C94" s="261"/>
      <c r="D94" s="261"/>
      <c r="E94" s="261"/>
      <c r="F94" s="292"/>
      <c r="G94" s="332"/>
      <c r="H94" s="333"/>
      <c r="I94" s="261"/>
      <c r="J94" s="261"/>
      <c r="K94" s="261"/>
      <c r="L94" s="261"/>
      <c r="M94" s="261"/>
      <c r="N94" s="330"/>
      <c r="O94" s="261"/>
      <c r="P94" s="331">
        <v>31</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172</v>
      </c>
      <c r="Q97" s="264"/>
      <c r="R97" s="5"/>
    </row>
    <row r="98" spans="1:19" ht="15.6" x14ac:dyDescent="0.3">
      <c r="A98" s="260"/>
      <c r="B98" s="261" t="s">
        <v>35</v>
      </c>
      <c r="C98" s="261"/>
      <c r="D98" s="261"/>
      <c r="E98" s="261"/>
      <c r="F98" s="261"/>
      <c r="G98" s="261"/>
      <c r="H98" s="261"/>
      <c r="I98" s="261"/>
      <c r="J98" s="261"/>
      <c r="K98" s="261"/>
      <c r="L98" s="261"/>
      <c r="M98" s="261"/>
      <c r="N98" s="330">
        <f>SUM(N90:N97)</f>
        <v>3546</v>
      </c>
      <c r="O98" s="261"/>
      <c r="P98" s="330">
        <f>SUM(P92:P97)</f>
        <v>2294</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42</v>
      </c>
      <c r="Q101" s="264"/>
      <c r="R101" s="5"/>
    </row>
    <row r="102" spans="1:19" ht="15.6" x14ac:dyDescent="0.3">
      <c r="A102" s="260"/>
      <c r="B102" s="261" t="s">
        <v>37</v>
      </c>
      <c r="C102" s="261"/>
      <c r="D102" s="261"/>
      <c r="E102" s="261"/>
      <c r="F102" s="261"/>
      <c r="G102" s="261"/>
      <c r="H102" s="261"/>
      <c r="I102" s="261"/>
      <c r="J102" s="261"/>
      <c r="K102" s="261"/>
      <c r="L102" s="261"/>
      <c r="M102" s="261"/>
      <c r="N102" s="330">
        <f>N98+N100+N99</f>
        <v>3546</v>
      </c>
      <c r="O102" s="261"/>
      <c r="P102" s="330">
        <f>P98+P100+P99+P101</f>
        <v>2336</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-85-34-5</f>
        <v>-124</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-249</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-182</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-325</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-208</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-196</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225</v>
      </c>
      <c r="O115" s="261"/>
      <c r="P115" s="331">
        <v>-225</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-172</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-645</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-337</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-857</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-745</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-1144</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-354</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-334</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-3771</v>
      </c>
      <c r="O129" s="330"/>
      <c r="P129" s="330">
        <f>SUM(P103:P128)</f>
        <v>-2336</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JULY 2016</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225</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225</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-225</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330806</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330805.73573772289</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+'April 16'!M173</f>
        <v>90421</v>
      </c>
      <c r="N171" s="331">
        <f>+'April 16'!N173</f>
        <v>10230</v>
      </c>
      <c r="O171" s="261"/>
      <c r="P171" s="331">
        <f>M171+N171</f>
        <v>100651</v>
      </c>
      <c r="Q171" s="264"/>
      <c r="R171" s="5"/>
    </row>
    <row r="172" spans="1:19" ht="15.6" x14ac:dyDescent="0.3">
      <c r="A172" s="260"/>
      <c r="B172" s="261" t="s">
        <v>69</v>
      </c>
      <c r="C172" s="261"/>
      <c r="D172" s="261"/>
      <c r="E172" s="261"/>
      <c r="F172" s="261"/>
      <c r="G172" s="261"/>
      <c r="H172" s="261"/>
      <c r="I172" s="261"/>
      <c r="J172" s="261"/>
      <c r="K172" s="261"/>
      <c r="L172" s="261"/>
      <c r="M172" s="330">
        <v>337</v>
      </c>
      <c r="N172" s="330">
        <f>-N99-N122</f>
        <v>0</v>
      </c>
      <c r="O172" s="261"/>
      <c r="P172" s="331">
        <f>M172+N172</f>
        <v>337</v>
      </c>
      <c r="Q172" s="264"/>
      <c r="R172" s="5"/>
    </row>
    <row r="173" spans="1:19" ht="15.6" x14ac:dyDescent="0.3">
      <c r="A173" s="260"/>
      <c r="B173" s="261" t="s">
        <v>70</v>
      </c>
      <c r="C173" s="261"/>
      <c r="D173" s="261"/>
      <c r="E173" s="261"/>
      <c r="F173" s="261"/>
      <c r="G173" s="261"/>
      <c r="H173" s="261"/>
      <c r="I173" s="261"/>
      <c r="J173" s="261"/>
      <c r="K173" s="261"/>
      <c r="L173" s="261"/>
      <c r="M173" s="331">
        <f>M171+M172</f>
        <v>90758</v>
      </c>
      <c r="N173" s="331">
        <f>N172+N171</f>
        <v>10230</v>
      </c>
      <c r="O173" s="261"/>
      <c r="P173" s="331">
        <f>M173+N173</f>
        <v>100988</v>
      </c>
      <c r="Q173" s="264"/>
      <c r="R173" s="5"/>
    </row>
    <row r="174" spans="1:19" ht="15.6" x14ac:dyDescent="0.3">
      <c r="A174" s="260"/>
      <c r="B174" s="261" t="s">
        <v>71</v>
      </c>
      <c r="C174" s="261"/>
      <c r="D174" s="261"/>
      <c r="E174" s="261"/>
      <c r="F174" s="261"/>
      <c r="G174" s="261"/>
      <c r="H174" s="261"/>
      <c r="I174" s="261"/>
      <c r="J174" s="261"/>
      <c r="K174" s="261"/>
      <c r="L174" s="261"/>
      <c r="M174" s="331">
        <f>M170-M173-N173</f>
        <v>43012</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2.9232804232804233</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1.59</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3.5990099009900991</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2.61</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JULY 2016</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42580</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2.3400000000000001E-2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1.396432865373233E-2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9.4356713462676704E-3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6.9889899473432266E-3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10.57</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1.1282312111057922E-2</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9.1700000000000004E-2</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1</v>
      </c>
      <c r="N206" s="305">
        <v>44</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21</v>
      </c>
      <c r="N207" s="353">
        <f>+N255</f>
        <v>3539</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225</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'April 16'!N213+'July 16'!N212</f>
        <v>6494</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1</v>
      </c>
      <c r="N215" s="353">
        <v>98</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11.15</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3.88</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4</v>
      </c>
      <c r="N219" s="353">
        <v>622</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9.2899999999999991</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2826</v>
      </c>
      <c r="M225" s="382">
        <f t="shared" ref="M225:M232" si="2">L225/$L$233</f>
        <v>0.99472016895459348</v>
      </c>
      <c r="N225" s="331">
        <f t="shared" ref="N225:N230" si="3">+N236+N247+N258</f>
        <v>329185</v>
      </c>
      <c r="O225" s="382">
        <f t="shared" ref="O225:O232" si="4">N225/$N$233</f>
        <v>0.99509984704025922</v>
      </c>
      <c r="P225" s="306"/>
      <c r="Q225" s="417"/>
      <c r="R225" s="5"/>
    </row>
    <row r="226" spans="1:18" ht="15.6" x14ac:dyDescent="0.3">
      <c r="A226" s="260"/>
      <c r="B226" s="330" t="s">
        <v>99</v>
      </c>
      <c r="C226" s="381"/>
      <c r="D226" s="261"/>
      <c r="E226" s="382"/>
      <c r="F226" s="381"/>
      <c r="G226" s="381"/>
      <c r="H226" s="381"/>
      <c r="I226" s="381"/>
      <c r="J226" s="381"/>
      <c r="K226" s="381"/>
      <c r="L226" s="330">
        <f t="shared" si="1"/>
        <v>6</v>
      </c>
      <c r="M226" s="382">
        <f t="shared" si="2"/>
        <v>2.1119324181626186E-3</v>
      </c>
      <c r="N226" s="331">
        <f t="shared" si="3"/>
        <v>260</v>
      </c>
      <c r="O226" s="382">
        <f t="shared" si="4"/>
        <v>7.8595914221628392E-4</v>
      </c>
      <c r="P226" s="354"/>
      <c r="Q226" s="373"/>
      <c r="R226" s="5"/>
    </row>
    <row r="227" spans="1:18" ht="15.6" x14ac:dyDescent="0.3">
      <c r="A227" s="260"/>
      <c r="B227" s="330" t="s">
        <v>100</v>
      </c>
      <c r="C227" s="381"/>
      <c r="D227" s="261"/>
      <c r="E227" s="382"/>
      <c r="F227" s="381"/>
      <c r="G227" s="381"/>
      <c r="H227" s="381"/>
      <c r="I227" s="381"/>
      <c r="J227" s="381"/>
      <c r="K227" s="381"/>
      <c r="L227" s="330">
        <f t="shared" si="1"/>
        <v>3</v>
      </c>
      <c r="M227" s="382">
        <f t="shared" si="2"/>
        <v>1.0559662090813093E-3</v>
      </c>
      <c r="N227" s="331">
        <f t="shared" si="3"/>
        <v>247</v>
      </c>
      <c r="O227" s="382">
        <f t="shared" si="4"/>
        <v>7.4666118510546972E-4</v>
      </c>
      <c r="P227" s="354"/>
      <c r="Q227" s="373"/>
      <c r="R227" s="5"/>
    </row>
    <row r="228" spans="1:18" ht="15.6" x14ac:dyDescent="0.3">
      <c r="A228" s="260"/>
      <c r="B228" s="330" t="s">
        <v>227</v>
      </c>
      <c r="C228" s="381"/>
      <c r="D228" s="261"/>
      <c r="E228" s="382"/>
      <c r="F228" s="381"/>
      <c r="G228" s="381"/>
      <c r="H228" s="381"/>
      <c r="I228" s="381"/>
      <c r="J228" s="381"/>
      <c r="K228" s="381"/>
      <c r="L228" s="330">
        <f t="shared" si="1"/>
        <v>3</v>
      </c>
      <c r="M228" s="382">
        <f t="shared" si="2"/>
        <v>1.0559662090813093E-3</v>
      </c>
      <c r="N228" s="331">
        <f t="shared" si="3"/>
        <v>443</v>
      </c>
      <c r="O228" s="382">
        <f t="shared" si="4"/>
        <v>1.3391534615454375E-3</v>
      </c>
      <c r="P228" s="354"/>
      <c r="Q228" s="373"/>
      <c r="R228" s="5"/>
    </row>
    <row r="229" spans="1:18" ht="15.6" x14ac:dyDescent="0.3">
      <c r="A229" s="260"/>
      <c r="B229" s="330" t="s">
        <v>228</v>
      </c>
      <c r="C229" s="381"/>
      <c r="D229" s="261"/>
      <c r="E229" s="382"/>
      <c r="F229" s="381"/>
      <c r="G229" s="381"/>
      <c r="H229" s="381"/>
      <c r="I229" s="381"/>
      <c r="J229" s="381"/>
      <c r="K229" s="381"/>
      <c r="L229" s="330">
        <f t="shared" si="1"/>
        <v>1</v>
      </c>
      <c r="M229" s="382">
        <f t="shared" si="2"/>
        <v>3.5198873636043646E-4</v>
      </c>
      <c r="N229" s="331">
        <f t="shared" si="3"/>
        <v>520</v>
      </c>
      <c r="O229" s="382">
        <f t="shared" si="4"/>
        <v>1.5719182844325678E-3</v>
      </c>
      <c r="P229" s="354"/>
      <c r="Q229" s="373"/>
      <c r="R229" s="5"/>
    </row>
    <row r="230" spans="1:18" ht="15.6" x14ac:dyDescent="0.3">
      <c r="A230" s="260"/>
      <c r="B230" s="330" t="s">
        <v>229</v>
      </c>
      <c r="C230" s="381"/>
      <c r="D230" s="261"/>
      <c r="E230" s="382"/>
      <c r="F230" s="381"/>
      <c r="G230" s="381"/>
      <c r="H230" s="381"/>
      <c r="I230" s="381"/>
      <c r="J230" s="381"/>
      <c r="K230" s="381"/>
      <c r="L230" s="330">
        <f t="shared" si="1"/>
        <v>0</v>
      </c>
      <c r="M230" s="382">
        <f t="shared" si="2"/>
        <v>0</v>
      </c>
      <c r="N230" s="331">
        <f t="shared" si="3"/>
        <v>0</v>
      </c>
      <c r="O230" s="382">
        <f t="shared" si="4"/>
        <v>0</v>
      </c>
      <c r="P230" s="354"/>
      <c r="Q230" s="373"/>
      <c r="R230" s="5"/>
    </row>
    <row r="231" spans="1:18" ht="15.6" x14ac:dyDescent="0.3">
      <c r="A231" s="260"/>
      <c r="B231" s="330" t="s">
        <v>230</v>
      </c>
      <c r="C231" s="381"/>
      <c r="D231" s="261"/>
      <c r="E231" s="382"/>
      <c r="F231" s="381"/>
      <c r="G231" s="381"/>
      <c r="H231" s="381"/>
      <c r="I231" s="381"/>
      <c r="J231" s="381"/>
      <c r="K231" s="381"/>
      <c r="L231" s="330">
        <f t="shared" si="1"/>
        <v>1</v>
      </c>
      <c r="M231" s="382">
        <f t="shared" si="2"/>
        <v>3.5198873636043646E-4</v>
      </c>
      <c r="N231" s="331">
        <f>+N242+N253+N264</f>
        <v>10</v>
      </c>
      <c r="O231" s="382">
        <f t="shared" si="4"/>
        <v>3.0229197777549378E-5</v>
      </c>
      <c r="P231" s="354"/>
      <c r="Q231" s="373"/>
      <c r="R231" s="5"/>
    </row>
    <row r="232" spans="1:18" ht="15.6" x14ac:dyDescent="0.3">
      <c r="A232" s="260"/>
      <c r="B232" s="330" t="s">
        <v>231</v>
      </c>
      <c r="C232" s="381"/>
      <c r="D232" s="261"/>
      <c r="E232" s="382"/>
      <c r="F232" s="381"/>
      <c r="G232" s="381"/>
      <c r="H232" s="381"/>
      <c r="I232" s="381"/>
      <c r="J232" s="381"/>
      <c r="K232" s="381"/>
      <c r="L232" s="330">
        <f t="shared" si="1"/>
        <v>1</v>
      </c>
      <c r="M232" s="382">
        <f t="shared" si="2"/>
        <v>3.5198873636043646E-4</v>
      </c>
      <c r="N232" s="331">
        <f>+N243+N254+N265</f>
        <v>141</v>
      </c>
      <c r="O232" s="382">
        <f t="shared" si="4"/>
        <v>4.2623168866344626E-4</v>
      </c>
      <c r="P232" s="354"/>
      <c r="Q232" s="373"/>
      <c r="R232" s="5"/>
    </row>
    <row r="233" spans="1:18" ht="15.6" x14ac:dyDescent="0.3">
      <c r="A233" s="260"/>
      <c r="B233" s="261" t="s">
        <v>129</v>
      </c>
      <c r="C233" s="261"/>
      <c r="D233" s="261"/>
      <c r="E233" s="261"/>
      <c r="F233" s="383"/>
      <c r="G233" s="383"/>
      <c r="H233" s="383"/>
      <c r="I233" s="383"/>
      <c r="J233" s="383"/>
      <c r="K233" s="383"/>
      <c r="L233" s="330">
        <f>SUM(L225:L232)</f>
        <v>2841</v>
      </c>
      <c r="M233" s="382">
        <f>SUM(M225:M232)</f>
        <v>1</v>
      </c>
      <c r="N233" s="330">
        <f>SUM(N225:N232)</f>
        <v>330806</v>
      </c>
      <c r="O233" s="382">
        <f>SUM(O225:O232)</f>
        <v>0.99999999999999989</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2809</v>
      </c>
      <c r="M236" s="310">
        <f t="shared" ref="M236:M243" si="5">L236/$L$244</f>
        <v>0.99609929078014181</v>
      </c>
      <c r="N236" s="300">
        <v>326379</v>
      </c>
      <c r="O236" s="310">
        <f t="shared" ref="O236:O243" si="6">N236/$N$244</f>
        <v>0.99728661918250239</v>
      </c>
      <c r="P236" s="306"/>
      <c r="Q236" s="417"/>
      <c r="R236" s="5"/>
    </row>
    <row r="237" spans="1:18" ht="15.6" x14ac:dyDescent="0.3">
      <c r="A237" s="260"/>
      <c r="B237" s="330" t="s">
        <v>99</v>
      </c>
      <c r="C237" s="381"/>
      <c r="D237" s="261"/>
      <c r="E237" s="382"/>
      <c r="F237" s="381"/>
      <c r="G237" s="381"/>
      <c r="H237" s="381"/>
      <c r="I237" s="381"/>
      <c r="J237" s="381"/>
      <c r="K237" s="381"/>
      <c r="L237" s="330">
        <v>6</v>
      </c>
      <c r="M237" s="382">
        <f t="shared" si="5"/>
        <v>2.1276595744680851E-3</v>
      </c>
      <c r="N237" s="331">
        <v>260</v>
      </c>
      <c r="O237" s="382">
        <f t="shared" si="6"/>
        <v>7.9445834746552505E-4</v>
      </c>
      <c r="P237" s="354"/>
      <c r="Q237" s="373"/>
      <c r="R237" s="5"/>
    </row>
    <row r="238" spans="1:18" ht="15.6" x14ac:dyDescent="0.3">
      <c r="A238" s="260"/>
      <c r="B238" s="330" t="s">
        <v>100</v>
      </c>
      <c r="C238" s="381"/>
      <c r="D238" s="261"/>
      <c r="E238" s="382"/>
      <c r="F238" s="381"/>
      <c r="G238" s="381"/>
      <c r="H238" s="381"/>
      <c r="I238" s="381"/>
      <c r="J238" s="381"/>
      <c r="K238" s="381"/>
      <c r="L238" s="330">
        <v>2</v>
      </c>
      <c r="M238" s="382">
        <f t="shared" si="5"/>
        <v>7.0921985815602842E-4</v>
      </c>
      <c r="N238" s="331">
        <v>72</v>
      </c>
      <c r="O238" s="382">
        <f t="shared" si="6"/>
        <v>2.2000385006737619E-4</v>
      </c>
      <c r="P238" s="354"/>
      <c r="Q238" s="373"/>
      <c r="R238" s="5"/>
    </row>
    <row r="239" spans="1:18" ht="15.6" x14ac:dyDescent="0.3">
      <c r="A239" s="260"/>
      <c r="B239" s="330" t="s">
        <v>227</v>
      </c>
      <c r="C239" s="381"/>
      <c r="D239" s="261"/>
      <c r="E239" s="382"/>
      <c r="F239" s="381"/>
      <c r="G239" s="381"/>
      <c r="H239" s="381"/>
      <c r="I239" s="381"/>
      <c r="J239" s="381"/>
      <c r="K239" s="381"/>
      <c r="L239" s="330">
        <v>1</v>
      </c>
      <c r="M239" s="382">
        <f t="shared" si="5"/>
        <v>3.5460992907801421E-4</v>
      </c>
      <c r="N239" s="331">
        <v>26</v>
      </c>
      <c r="O239" s="382">
        <f t="shared" si="6"/>
        <v>7.9445834746552516E-5</v>
      </c>
      <c r="P239" s="354"/>
      <c r="Q239" s="373"/>
      <c r="R239" s="5"/>
    </row>
    <row r="240" spans="1:18" ht="15.6" x14ac:dyDescent="0.3">
      <c r="A240" s="260"/>
      <c r="B240" s="330" t="s">
        <v>228</v>
      </c>
      <c r="C240" s="381"/>
      <c r="D240" s="261"/>
      <c r="E240" s="382"/>
      <c r="F240" s="381"/>
      <c r="G240" s="381"/>
      <c r="H240" s="381"/>
      <c r="I240" s="381"/>
      <c r="J240" s="381"/>
      <c r="K240" s="381"/>
      <c r="L240" s="330">
        <v>1</v>
      </c>
      <c r="M240" s="382">
        <f t="shared" si="5"/>
        <v>3.5460992907801421E-4</v>
      </c>
      <c r="N240" s="331">
        <v>520</v>
      </c>
      <c r="O240" s="382">
        <f t="shared" si="6"/>
        <v>1.5889166949310501E-3</v>
      </c>
      <c r="P240" s="354"/>
      <c r="Q240" s="373"/>
      <c r="R240" s="5"/>
    </row>
    <row r="241" spans="1:18" ht="15.6" x14ac:dyDescent="0.3">
      <c r="A241" s="260"/>
      <c r="B241" s="330" t="s">
        <v>229</v>
      </c>
      <c r="C241" s="381"/>
      <c r="D241" s="261"/>
      <c r="E241" s="382"/>
      <c r="F241" s="381"/>
      <c r="G241" s="381"/>
      <c r="H241" s="381"/>
      <c r="I241" s="381"/>
      <c r="J241" s="381"/>
      <c r="K241" s="381"/>
      <c r="L241" s="330">
        <v>0</v>
      </c>
      <c r="M241" s="382">
        <f t="shared" si="5"/>
        <v>0</v>
      </c>
      <c r="N241" s="331">
        <v>0</v>
      </c>
      <c r="O241" s="382">
        <f t="shared" si="6"/>
        <v>0</v>
      </c>
      <c r="P241" s="354"/>
      <c r="Q241" s="373"/>
      <c r="R241" s="5"/>
    </row>
    <row r="242" spans="1:18" ht="15.6" x14ac:dyDescent="0.3">
      <c r="A242" s="260"/>
      <c r="B242" s="330" t="s">
        <v>230</v>
      </c>
      <c r="C242" s="381"/>
      <c r="D242" s="261"/>
      <c r="E242" s="382"/>
      <c r="F242" s="381"/>
      <c r="G242" s="381"/>
      <c r="H242" s="381"/>
      <c r="I242" s="381"/>
      <c r="J242" s="381"/>
      <c r="K242" s="381"/>
      <c r="L242" s="330">
        <v>1</v>
      </c>
      <c r="M242" s="382">
        <f t="shared" si="5"/>
        <v>3.5460992907801421E-4</v>
      </c>
      <c r="N242" s="331">
        <v>10</v>
      </c>
      <c r="O242" s="382">
        <f t="shared" si="6"/>
        <v>3.055609028713558E-5</v>
      </c>
      <c r="P242" s="354"/>
      <c r="Q242" s="373"/>
      <c r="R242" s="5"/>
    </row>
    <row r="243" spans="1:18" ht="15.6" x14ac:dyDescent="0.3">
      <c r="A243" s="260"/>
      <c r="B243" s="330" t="s">
        <v>231</v>
      </c>
      <c r="C243" s="381"/>
      <c r="D243" s="261"/>
      <c r="E243" s="382"/>
      <c r="F243" s="381"/>
      <c r="G243" s="381"/>
      <c r="H243" s="381"/>
      <c r="I243" s="381"/>
      <c r="J243" s="381"/>
      <c r="K243" s="381"/>
      <c r="L243" s="330">
        <v>0</v>
      </c>
      <c r="M243" s="382">
        <f t="shared" si="5"/>
        <v>0</v>
      </c>
      <c r="N243" s="331">
        <v>0</v>
      </c>
      <c r="O243" s="382">
        <f t="shared" si="6"/>
        <v>0</v>
      </c>
      <c r="P243" s="354"/>
      <c r="Q243" s="373"/>
      <c r="R243" s="5"/>
    </row>
    <row r="244" spans="1:18" ht="15.6" x14ac:dyDescent="0.3">
      <c r="A244" s="260"/>
      <c r="B244" s="261" t="s">
        <v>129</v>
      </c>
      <c r="C244" s="261"/>
      <c r="D244" s="261"/>
      <c r="E244" s="261"/>
      <c r="F244" s="383"/>
      <c r="G244" s="383"/>
      <c r="H244" s="383"/>
      <c r="I244" s="383"/>
      <c r="J244" s="383"/>
      <c r="K244" s="383"/>
      <c r="L244" s="330">
        <f>SUM(L236:L243)</f>
        <v>2820</v>
      </c>
      <c r="M244" s="382">
        <f>SUM(M236:M243)</f>
        <v>0.99999999999999978</v>
      </c>
      <c r="N244" s="331">
        <f>SUM(N236:N243)</f>
        <v>327267</v>
      </c>
      <c r="O244" s="382">
        <f>SUM(O236:O243)</f>
        <v>0.99999999999999989</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17</v>
      </c>
      <c r="M247" s="310">
        <f t="shared" ref="M247:M254" si="7">L247/$L$255</f>
        <v>0.80952380952380953</v>
      </c>
      <c r="N247" s="300">
        <v>2806</v>
      </c>
      <c r="O247" s="310">
        <f t="shared" ref="O247:O254" si="8">N247/$N$255</f>
        <v>0.79287934444758401</v>
      </c>
      <c r="P247" s="306"/>
      <c r="Q247" s="408"/>
      <c r="R247" s="5"/>
    </row>
    <row r="248" spans="1:18" ht="15.6" x14ac:dyDescent="0.3">
      <c r="A248" s="260"/>
      <c r="B248" s="330" t="s">
        <v>99</v>
      </c>
      <c r="C248" s="381"/>
      <c r="D248" s="261"/>
      <c r="E248" s="382"/>
      <c r="F248" s="381"/>
      <c r="G248" s="381"/>
      <c r="H248" s="381"/>
      <c r="I248" s="381"/>
      <c r="J248" s="381"/>
      <c r="K248" s="381"/>
      <c r="L248" s="330">
        <v>0</v>
      </c>
      <c r="M248" s="382">
        <f t="shared" si="7"/>
        <v>0</v>
      </c>
      <c r="N248" s="331">
        <v>0</v>
      </c>
      <c r="O248" s="382">
        <f t="shared" si="8"/>
        <v>0</v>
      </c>
      <c r="P248" s="354"/>
      <c r="Q248" s="264"/>
      <c r="R248" s="5"/>
    </row>
    <row r="249" spans="1:18" ht="15.6" x14ac:dyDescent="0.3">
      <c r="A249" s="260"/>
      <c r="B249" s="330" t="s">
        <v>100</v>
      </c>
      <c r="C249" s="381"/>
      <c r="D249" s="261"/>
      <c r="E249" s="382"/>
      <c r="F249" s="381"/>
      <c r="G249" s="381"/>
      <c r="H249" s="381"/>
      <c r="I249" s="381"/>
      <c r="J249" s="381"/>
      <c r="K249" s="381"/>
      <c r="L249" s="330">
        <v>1</v>
      </c>
      <c r="M249" s="382">
        <f t="shared" si="7"/>
        <v>4.7619047619047616E-2</v>
      </c>
      <c r="N249" s="331">
        <v>175</v>
      </c>
      <c r="O249" s="382">
        <f t="shared" si="8"/>
        <v>4.9448996891777341E-2</v>
      </c>
      <c r="P249" s="354"/>
      <c r="Q249" s="264"/>
      <c r="R249" s="5"/>
    </row>
    <row r="250" spans="1:18" ht="15.6" x14ac:dyDescent="0.3">
      <c r="A250" s="260"/>
      <c r="B250" s="330" t="s">
        <v>227</v>
      </c>
      <c r="C250" s="381"/>
      <c r="D250" s="261"/>
      <c r="E250" s="382"/>
      <c r="F250" s="381"/>
      <c r="G250" s="381"/>
      <c r="H250" s="381"/>
      <c r="I250" s="381"/>
      <c r="J250" s="381"/>
      <c r="K250" s="381"/>
      <c r="L250" s="330">
        <v>2</v>
      </c>
      <c r="M250" s="382">
        <f t="shared" si="7"/>
        <v>9.5238095238095233E-2</v>
      </c>
      <c r="N250" s="331">
        <v>417</v>
      </c>
      <c r="O250" s="382">
        <f t="shared" si="8"/>
        <v>0.11782989545069228</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0</v>
      </c>
      <c r="M253" s="382">
        <f t="shared" si="7"/>
        <v>0</v>
      </c>
      <c r="N253" s="331">
        <v>0</v>
      </c>
      <c r="O253" s="382">
        <f t="shared" si="8"/>
        <v>0</v>
      </c>
      <c r="P253" s="354"/>
      <c r="Q253" s="264"/>
      <c r="R253" s="5"/>
    </row>
    <row r="254" spans="1:18" ht="15.6" x14ac:dyDescent="0.3">
      <c r="A254" s="260"/>
      <c r="B254" s="330" t="s">
        <v>231</v>
      </c>
      <c r="C254" s="381"/>
      <c r="D254" s="261"/>
      <c r="E254" s="382"/>
      <c r="F254" s="381"/>
      <c r="G254" s="381"/>
      <c r="H254" s="381"/>
      <c r="I254" s="381"/>
      <c r="J254" s="381"/>
      <c r="K254" s="381"/>
      <c r="L254" s="330">
        <v>1</v>
      </c>
      <c r="M254" s="382">
        <f t="shared" si="7"/>
        <v>4.7619047619047616E-2</v>
      </c>
      <c r="N254" s="331">
        <v>141</v>
      </c>
      <c r="O254" s="382">
        <f t="shared" si="8"/>
        <v>3.9841763209946313E-2</v>
      </c>
      <c r="P254" s="354"/>
      <c r="Q254" s="264"/>
      <c r="R254" s="5"/>
    </row>
    <row r="255" spans="1:18" ht="15.6" x14ac:dyDescent="0.3">
      <c r="A255" s="260"/>
      <c r="B255" s="261" t="s">
        <v>129</v>
      </c>
      <c r="C255" s="261"/>
      <c r="D255" s="261"/>
      <c r="E255" s="261"/>
      <c r="F255" s="383"/>
      <c r="G255" s="383"/>
      <c r="H255" s="383"/>
      <c r="I255" s="383"/>
      <c r="J255" s="383"/>
      <c r="K255" s="383"/>
      <c r="L255" s="330">
        <f>SUM(L247:L254)</f>
        <v>21</v>
      </c>
      <c r="M255" s="382">
        <f>SUM(M247:M254)</f>
        <v>1</v>
      </c>
      <c r="N255" s="331">
        <f>SUM(N247:N254)</f>
        <v>3539</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f>SUM(M258:M265)</f>
        <v>0</v>
      </c>
      <c r="N266" s="331">
        <f>SUM(N258:N265)</f>
        <v>0</v>
      </c>
      <c r="O266" s="382">
        <f>SUM(O258:O265)</f>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2841</v>
      </c>
      <c r="M268" s="382"/>
      <c r="N268" s="386">
        <f>+N266+N255+N244</f>
        <v>330806</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418"/>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418"/>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5.6" x14ac:dyDescent="0.3">
      <c r="A277" s="225"/>
      <c r="B277" s="228"/>
      <c r="C277" s="228"/>
      <c r="D277" s="228"/>
      <c r="E277" s="314"/>
      <c r="F277" s="249"/>
      <c r="G277" s="249"/>
      <c r="H277" s="249"/>
      <c r="I277" s="249"/>
      <c r="J277" s="249"/>
      <c r="K277" s="249"/>
      <c r="L277" s="249"/>
      <c r="M277" s="249"/>
      <c r="N277" s="249"/>
      <c r="O277" s="249"/>
      <c r="P277" s="249"/>
      <c r="Q277" s="418"/>
      <c r="R277" s="5"/>
    </row>
    <row r="278" spans="1:18" ht="18" thickBot="1" x14ac:dyDescent="0.35">
      <c r="A278" s="225"/>
      <c r="B278" s="315" t="str">
        <f>B185</f>
        <v>PM7 INVESTOR REPORT QUARTER ENDING JULY 2016</v>
      </c>
      <c r="C278" s="228"/>
      <c r="D278" s="228"/>
      <c r="E278" s="314"/>
      <c r="F278" s="249"/>
      <c r="G278" s="249"/>
      <c r="H278" s="249"/>
      <c r="I278" s="249"/>
      <c r="J278" s="249"/>
      <c r="K278" s="249"/>
      <c r="L278" s="249"/>
      <c r="M278" s="249"/>
      <c r="N278" s="249"/>
      <c r="O278" s="249"/>
      <c r="P278" s="249"/>
      <c r="Q278" s="41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40" orientation="landscape" r:id="rId3"/>
  <headerFooter alignWithMargins="0"/>
  <rowBreaks count="4" manualBreakCount="4">
    <brk id="65" max="16" man="1"/>
    <brk id="133" max="16" man="1"/>
    <brk id="185" max="16" man="1"/>
    <brk id="278" max="16" man="1"/>
  </rowBreaks>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S279"/>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0.96360000000000001</v>
      </c>
      <c r="N17" s="246" t="s">
        <v>173</v>
      </c>
      <c r="O17" s="245">
        <v>3.6400000000000002E-2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42691</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323</v>
      </c>
      <c r="K27" s="392"/>
      <c r="L27" s="392" t="s">
        <v>323</v>
      </c>
      <c r="M27" s="392"/>
      <c r="N27" s="262"/>
      <c r="O27" s="263"/>
      <c r="P27" s="263"/>
      <c r="Q27" s="264"/>
      <c r="R27" s="5"/>
    </row>
    <row r="28" spans="1:19" ht="15.6" x14ac:dyDescent="0.3">
      <c r="A28" s="265"/>
      <c r="B28" s="266" t="s">
        <v>10</v>
      </c>
      <c r="C28" s="392"/>
      <c r="D28" s="392" t="s">
        <v>322</v>
      </c>
      <c r="E28" s="392"/>
      <c r="F28" s="392" t="s">
        <v>322</v>
      </c>
      <c r="G28" s="392"/>
      <c r="H28" s="392" t="s">
        <v>322</v>
      </c>
      <c r="I28" s="392"/>
      <c r="J28" s="392" t="s">
        <v>322</v>
      </c>
      <c r="K28" s="392"/>
      <c r="L28" s="392" t="s">
        <v>322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178</v>
      </c>
      <c r="K29" s="392"/>
      <c r="L29" s="392" t="s">
        <v>178</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146877.30000000002</v>
      </c>
      <c r="E34" s="271"/>
      <c r="F34" s="272">
        <f>+F33*F40</f>
        <v>71786.088000000003</v>
      </c>
      <c r="G34" s="271"/>
      <c r="H34" s="273">
        <f>+H33*H40</f>
        <v>163207.1</v>
      </c>
      <c r="I34" s="271"/>
      <c r="J34" s="270">
        <f>J33*J40</f>
        <v>60601.05975</v>
      </c>
      <c r="K34" s="271"/>
      <c r="L34" s="273">
        <f>L33*L40</f>
        <v>47746.211499999998</v>
      </c>
      <c r="M34" s="271"/>
      <c r="N34" s="271"/>
      <c r="O34" s="274"/>
      <c r="P34" s="271"/>
      <c r="Q34" s="275"/>
      <c r="R34" s="5"/>
    </row>
    <row r="35" spans="1:19" ht="15.6" x14ac:dyDescent="0.3">
      <c r="A35" s="265"/>
      <c r="B35" s="266" t="s">
        <v>158</v>
      </c>
      <c r="C35" s="276"/>
      <c r="D35" s="277">
        <f>+D33*D39</f>
        <v>145977.16500000001</v>
      </c>
      <c r="E35" s="278"/>
      <c r="F35" s="279">
        <f>+F33*F39</f>
        <v>71346.176000000007</v>
      </c>
      <c r="G35" s="278"/>
      <c r="H35" s="280">
        <f>+H33*H39</f>
        <v>162206.85</v>
      </c>
      <c r="I35" s="278"/>
      <c r="J35" s="277">
        <f>J33*J39</f>
        <v>60229.661249999997</v>
      </c>
      <c r="K35" s="278"/>
      <c r="L35" s="280">
        <f>L33*L39</f>
        <v>47453.588000000003</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82561.720067453643</v>
      </c>
      <c r="E37" s="271"/>
      <c r="F37" s="271">
        <f>+F34</f>
        <v>71786.088000000003</v>
      </c>
      <c r="G37" s="271"/>
      <c r="H37" s="271">
        <f>+H34/1.481481</f>
        <v>110164.8283035692</v>
      </c>
      <c r="I37" s="271"/>
      <c r="J37" s="271">
        <f>J36*J40</f>
        <v>34064.406604199998</v>
      </c>
      <c r="K37" s="271"/>
      <c r="L37" s="271">
        <f>L36*L40</f>
        <v>32228.692762499999</v>
      </c>
      <c r="M37" s="271"/>
      <c r="N37" s="271"/>
      <c r="O37" s="274"/>
      <c r="P37" s="271">
        <f>SUM(C37:L37)</f>
        <v>330805.73573772289</v>
      </c>
      <c r="Q37" s="275"/>
      <c r="R37" s="5"/>
      <c r="S37" s="154"/>
    </row>
    <row r="38" spans="1:19" ht="15.6" x14ac:dyDescent="0.3">
      <c r="A38" s="265"/>
      <c r="B38" s="266" t="s">
        <v>281</v>
      </c>
      <c r="C38" s="276"/>
      <c r="D38" s="278">
        <f>D35/1.779</f>
        <v>82055.741989881964</v>
      </c>
      <c r="E38" s="278"/>
      <c r="F38" s="278">
        <f>+F35</f>
        <v>71346.176000000007</v>
      </c>
      <c r="G38" s="278"/>
      <c r="H38" s="278">
        <f>H35/1.481481</f>
        <v>109489.65933413929</v>
      </c>
      <c r="I38" s="278"/>
      <c r="J38" s="278">
        <f>J36*J39</f>
        <v>33855.640131</v>
      </c>
      <c r="K38" s="278"/>
      <c r="L38" s="278">
        <f>L36*L39</f>
        <v>32031.171900000001</v>
      </c>
      <c r="M38" s="278"/>
      <c r="N38" s="278"/>
      <c r="O38" s="281"/>
      <c r="P38" s="278">
        <f>SUM(D38:L38)+1</f>
        <v>328779.3893550213</v>
      </c>
      <c r="Q38" s="275"/>
      <c r="R38" s="5"/>
      <c r="S38" s="176"/>
    </row>
    <row r="39" spans="1:19" ht="15.6" x14ac:dyDescent="0.3">
      <c r="A39" s="265"/>
      <c r="B39" s="282" t="s">
        <v>154</v>
      </c>
      <c r="C39" s="283"/>
      <c r="D39" s="284">
        <v>0.32439370000000001</v>
      </c>
      <c r="E39" s="284"/>
      <c r="F39" s="284">
        <v>0.3243008</v>
      </c>
      <c r="G39" s="284"/>
      <c r="H39" s="284">
        <v>0.32441370000000003</v>
      </c>
      <c r="I39" s="284"/>
      <c r="J39" s="284">
        <v>0.7300565</v>
      </c>
      <c r="K39" s="284"/>
      <c r="L39" s="284">
        <v>0.73005520000000002</v>
      </c>
      <c r="M39" s="285"/>
      <c r="N39" s="285"/>
      <c r="O39" s="286"/>
      <c r="P39" s="285"/>
      <c r="Q39" s="287"/>
      <c r="R39" s="5"/>
    </row>
    <row r="40" spans="1:19" ht="15.6" x14ac:dyDescent="0.3">
      <c r="A40" s="265"/>
      <c r="B40" s="282" t="s">
        <v>155</v>
      </c>
      <c r="C40" s="283"/>
      <c r="D40" s="284">
        <v>0.32639400000000002</v>
      </c>
      <c r="E40" s="284"/>
      <c r="F40" s="284">
        <v>0.32630039999999999</v>
      </c>
      <c r="G40" s="284"/>
      <c r="H40" s="284">
        <v>0.32641419999999999</v>
      </c>
      <c r="I40" s="284"/>
      <c r="J40" s="284">
        <v>0.7345583</v>
      </c>
      <c r="K40" s="284"/>
      <c r="L40" s="284">
        <v>0.73455709999999996</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1.2370000000000001E-2</v>
      </c>
      <c r="E42" s="290"/>
      <c r="F42" s="289">
        <v>8.0563000000000006E-3</v>
      </c>
      <c r="G42" s="290"/>
      <c r="H42" s="289">
        <v>1.2099999999999999E-3</v>
      </c>
      <c r="I42" s="290"/>
      <c r="J42" s="289">
        <v>2.317E-2</v>
      </c>
      <c r="K42" s="290"/>
      <c r="L42" s="289">
        <v>1.201E-2</v>
      </c>
      <c r="M42" s="290"/>
      <c r="N42" s="289"/>
      <c r="O42" s="263"/>
      <c r="P42" s="290"/>
      <c r="Q42" s="264"/>
      <c r="R42" s="5"/>
    </row>
    <row r="43" spans="1:19" ht="15.6" x14ac:dyDescent="0.3">
      <c r="A43" s="260"/>
      <c r="B43" s="261" t="s">
        <v>14</v>
      </c>
      <c r="C43" s="261"/>
      <c r="D43" s="289">
        <v>1.0461E-2</v>
      </c>
      <c r="E43" s="290"/>
      <c r="F43" s="289">
        <v>1.01075E-2</v>
      </c>
      <c r="G43" s="290"/>
      <c r="H43" s="289">
        <v>1.6199999999999999E-3</v>
      </c>
      <c r="I43" s="290"/>
      <c r="J43" s="289">
        <v>2.1260999999999999E-2</v>
      </c>
      <c r="K43" s="290"/>
      <c r="L43" s="289">
        <v>1.242E-2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9.9462999999999999E-3</v>
      </c>
      <c r="E45" s="290"/>
      <c r="F45" s="289">
        <f>+F42</f>
        <v>8.0563000000000006E-3</v>
      </c>
      <c r="G45" s="290"/>
      <c r="H45" s="289">
        <v>9.7062999999999993E-3</v>
      </c>
      <c r="I45" s="290"/>
      <c r="J45" s="289">
        <v>2.2206300000000002E-2</v>
      </c>
      <c r="K45" s="290"/>
      <c r="L45" s="289">
        <v>2.2206300000000002E-2</v>
      </c>
      <c r="M45" s="290"/>
      <c r="N45" s="289"/>
      <c r="O45" s="263"/>
      <c r="P45" s="290">
        <f>SUMPRODUCT(D45:L45,D37:L37)/P37</f>
        <v>1.1913128451967167E-2</v>
      </c>
      <c r="Q45" s="264"/>
      <c r="R45" s="5"/>
    </row>
    <row r="46" spans="1:19" ht="15.6" x14ac:dyDescent="0.3">
      <c r="A46" s="260"/>
      <c r="B46" s="261" t="s">
        <v>283</v>
      </c>
      <c r="C46" s="261"/>
      <c r="D46" s="289">
        <v>1.1997499999999999E-2</v>
      </c>
      <c r="E46" s="290"/>
      <c r="F46" s="289">
        <f>+F43</f>
        <v>1.01075E-2</v>
      </c>
      <c r="G46" s="290"/>
      <c r="H46" s="289">
        <v>1.1757500000000001E-2</v>
      </c>
      <c r="I46" s="290"/>
      <c r="J46" s="289">
        <v>2.4257500000000001E-2</v>
      </c>
      <c r="K46" s="290"/>
      <c r="L46" s="289">
        <v>2.4257500000000001E-2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0.25062351826430962</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42689</v>
      </c>
      <c r="Q57" s="264"/>
      <c r="R57" s="5"/>
    </row>
    <row r="58" spans="1:18" ht="15.6" x14ac:dyDescent="0.3">
      <c r="A58" s="260"/>
      <c r="B58" s="261" t="s">
        <v>142</v>
      </c>
      <c r="C58" s="261"/>
      <c r="D58" s="261"/>
      <c r="E58" s="261"/>
      <c r="F58" s="297"/>
      <c r="G58" s="297"/>
      <c r="H58" s="297"/>
      <c r="I58" s="297"/>
      <c r="J58" s="297"/>
      <c r="K58" s="297"/>
      <c r="L58" s="261">
        <f>+P58-N58+1</f>
        <v>91</v>
      </c>
      <c r="M58" s="297"/>
      <c r="N58" s="298">
        <v>42506</v>
      </c>
      <c r="O58" s="299"/>
      <c r="P58" s="298">
        <v>42596</v>
      </c>
      <c r="Q58" s="264"/>
      <c r="R58" s="5"/>
    </row>
    <row r="59" spans="1:18" ht="15.6" x14ac:dyDescent="0.3">
      <c r="A59" s="260"/>
      <c r="B59" s="261" t="s">
        <v>143</v>
      </c>
      <c r="C59" s="261"/>
      <c r="D59" s="261"/>
      <c r="E59" s="261"/>
      <c r="F59" s="261"/>
      <c r="G59" s="261"/>
      <c r="H59" s="261"/>
      <c r="I59" s="261"/>
      <c r="J59" s="261"/>
      <c r="K59" s="261"/>
      <c r="L59" s="261">
        <f>+P59-N59+1</f>
        <v>92</v>
      </c>
      <c r="M59" s="261"/>
      <c r="N59" s="298">
        <v>42597</v>
      </c>
      <c r="O59" s="299"/>
      <c r="P59" s="298">
        <v>42688</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42675</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328</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330806</v>
      </c>
      <c r="I69" s="330"/>
      <c r="J69" s="330">
        <f>2027+3+1152</f>
        <v>3182</v>
      </c>
      <c r="K69" s="330"/>
      <c r="L69" s="330">
        <f>3+1152</f>
        <v>1155</v>
      </c>
      <c r="M69" s="330"/>
      <c r="N69" s="330">
        <v>0</v>
      </c>
      <c r="O69" s="330"/>
      <c r="P69" s="331">
        <f>+H69-J69+L69-N69</f>
        <v>328779</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330806</v>
      </c>
      <c r="I72" s="330"/>
      <c r="J72" s="330">
        <f>SUM(J69:J71)</f>
        <v>3182</v>
      </c>
      <c r="K72" s="330"/>
      <c r="L72" s="330">
        <f>SUM(L69:L71)</f>
        <v>1155</v>
      </c>
      <c r="M72" s="330"/>
      <c r="N72" s="330">
        <f>SUM(N69:N71)</f>
        <v>0</v>
      </c>
      <c r="O72" s="330"/>
      <c r="P72" s="330">
        <f>SUM(P69:P71)</f>
        <v>328779</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330806</v>
      </c>
      <c r="I86" s="330"/>
      <c r="J86" s="330">
        <f>SUM(J72:J85)</f>
        <v>3182</v>
      </c>
      <c r="K86" s="330"/>
      <c r="L86" s="330">
        <f>SUM(L72:L85)</f>
        <v>1155</v>
      </c>
      <c r="M86" s="330"/>
      <c r="N86" s="330"/>
      <c r="O86" s="330"/>
      <c r="P86" s="330">
        <f>SUM(P72:P85)</f>
        <v>328779</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42674</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3182-145</f>
        <v>3037</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2404+253-597-177</f>
        <v>1883</v>
      </c>
      <c r="Q92" s="264"/>
      <c r="R92" s="5"/>
    </row>
    <row r="93" spans="1:18" ht="15.6" x14ac:dyDescent="0.3">
      <c r="A93" s="260"/>
      <c r="B93" s="261" t="s">
        <v>249</v>
      </c>
      <c r="C93" s="261"/>
      <c r="D93" s="261"/>
      <c r="E93" s="261"/>
      <c r="F93" s="292"/>
      <c r="G93" s="332"/>
      <c r="H93" s="333"/>
      <c r="I93" s="261"/>
      <c r="J93" s="261"/>
      <c r="K93" s="261"/>
      <c r="L93" s="261"/>
      <c r="M93" s="261"/>
      <c r="N93" s="330"/>
      <c r="O93" s="261"/>
      <c r="P93" s="331">
        <v>94</v>
      </c>
      <c r="Q93" s="264"/>
      <c r="R93" s="5"/>
    </row>
    <row r="94" spans="1:18" ht="15.6" x14ac:dyDescent="0.3">
      <c r="A94" s="260"/>
      <c r="B94" s="261" t="s">
        <v>250</v>
      </c>
      <c r="C94" s="261"/>
      <c r="D94" s="261"/>
      <c r="E94" s="261"/>
      <c r="F94" s="292"/>
      <c r="G94" s="332"/>
      <c r="H94" s="333"/>
      <c r="I94" s="261"/>
      <c r="J94" s="261"/>
      <c r="K94" s="261"/>
      <c r="L94" s="261"/>
      <c r="M94" s="261"/>
      <c r="N94" s="330"/>
      <c r="O94" s="261"/>
      <c r="P94" s="331">
        <v>28</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79</v>
      </c>
      <c r="Q97" s="264"/>
      <c r="R97" s="5"/>
    </row>
    <row r="98" spans="1:19" ht="15.6" x14ac:dyDescent="0.3">
      <c r="A98" s="260"/>
      <c r="B98" s="261" t="s">
        <v>35</v>
      </c>
      <c r="C98" s="261"/>
      <c r="D98" s="261"/>
      <c r="E98" s="261"/>
      <c r="F98" s="261"/>
      <c r="G98" s="261"/>
      <c r="H98" s="261"/>
      <c r="I98" s="261"/>
      <c r="J98" s="261"/>
      <c r="K98" s="261"/>
      <c r="L98" s="261"/>
      <c r="M98" s="261"/>
      <c r="N98" s="330">
        <f>SUM(N90:N97)</f>
        <v>3037</v>
      </c>
      <c r="O98" s="261"/>
      <c r="P98" s="330">
        <f>SUM(P92:P97)</f>
        <v>2084</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137</v>
      </c>
      <c r="Q101" s="264"/>
      <c r="R101" s="5"/>
    </row>
    <row r="102" spans="1:19" ht="15.6" x14ac:dyDescent="0.3">
      <c r="A102" s="260"/>
      <c r="B102" s="261" t="s">
        <v>37</v>
      </c>
      <c r="C102" s="261"/>
      <c r="D102" s="261"/>
      <c r="E102" s="261"/>
      <c r="F102" s="261"/>
      <c r="G102" s="261"/>
      <c r="H102" s="261"/>
      <c r="I102" s="261"/>
      <c r="J102" s="261"/>
      <c r="K102" s="261"/>
      <c r="L102" s="261"/>
      <c r="M102" s="261"/>
      <c r="N102" s="330">
        <f>N98+N100+N99</f>
        <v>3037</v>
      </c>
      <c r="O102" s="261"/>
      <c r="P102" s="330">
        <f>P98+P100+P99+P101</f>
        <v>2221</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-84-42-5</f>
        <v>-131</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-207</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-145</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-269</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-190</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-180</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145</v>
      </c>
      <c r="O115" s="261"/>
      <c r="P115" s="331">
        <v>-145</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-170</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-774</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-3</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-1152</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-506</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-440</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-675</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-209</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-197</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-3182</v>
      </c>
      <c r="O129" s="330"/>
      <c r="P129" s="330">
        <f>SUM(P103:P128)</f>
        <v>-2221</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OCTOBER 2016</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145</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145</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-145</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328779</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328779.3893550213</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+'July 16'!M173</f>
        <v>90758</v>
      </c>
      <c r="N171" s="331">
        <f>+'July 16'!N173</f>
        <v>10230</v>
      </c>
      <c r="O171" s="261"/>
      <c r="P171" s="331">
        <f>M171+N171</f>
        <v>100988</v>
      </c>
      <c r="Q171" s="264"/>
      <c r="R171" s="5"/>
    </row>
    <row r="172" spans="1:19" ht="15.6" x14ac:dyDescent="0.3">
      <c r="A172" s="260"/>
      <c r="B172" s="261" t="s">
        <v>69</v>
      </c>
      <c r="C172" s="261"/>
      <c r="D172" s="261"/>
      <c r="E172" s="261"/>
      <c r="F172" s="261"/>
      <c r="G172" s="261"/>
      <c r="H172" s="261"/>
      <c r="I172" s="261"/>
      <c r="J172" s="261"/>
      <c r="K172" s="261"/>
      <c r="L172" s="261"/>
      <c r="M172" s="330">
        <v>1152</v>
      </c>
      <c r="N172" s="330">
        <f>-N99-N122</f>
        <v>3</v>
      </c>
      <c r="O172" s="261"/>
      <c r="P172" s="331">
        <f>M172+N172</f>
        <v>1155</v>
      </c>
      <c r="Q172" s="264"/>
      <c r="R172" s="5"/>
    </row>
    <row r="173" spans="1:19" ht="15.6" x14ac:dyDescent="0.3">
      <c r="A173" s="260"/>
      <c r="B173" s="261" t="s">
        <v>70</v>
      </c>
      <c r="C173" s="261"/>
      <c r="D173" s="261"/>
      <c r="E173" s="261"/>
      <c r="F173" s="261"/>
      <c r="G173" s="261"/>
      <c r="H173" s="261"/>
      <c r="I173" s="261"/>
      <c r="J173" s="261"/>
      <c r="K173" s="261"/>
      <c r="L173" s="261"/>
      <c r="M173" s="331">
        <f>M171+M172</f>
        <v>91910</v>
      </c>
      <c r="N173" s="331">
        <f>N172+N171</f>
        <v>10233</v>
      </c>
      <c r="O173" s="261"/>
      <c r="P173" s="331">
        <f>M173+N173</f>
        <v>102143</v>
      </c>
      <c r="Q173" s="264"/>
      <c r="R173" s="5"/>
    </row>
    <row r="174" spans="1:19" ht="15.6" x14ac:dyDescent="0.3">
      <c r="A174" s="260"/>
      <c r="B174" s="261" t="s">
        <v>71</v>
      </c>
      <c r="C174" s="261"/>
      <c r="D174" s="261"/>
      <c r="E174" s="261"/>
      <c r="F174" s="261"/>
      <c r="G174" s="261"/>
      <c r="H174" s="261"/>
      <c r="I174" s="261"/>
      <c r="J174" s="261"/>
      <c r="K174" s="261"/>
      <c r="L174" s="261"/>
      <c r="M174" s="331">
        <f>M170-M173-N173</f>
        <v>41857</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3.36231884057971</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1.6</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3.964864864864865</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2.62</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OCTOBER 2016</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42674</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2.146E-2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1.1913128451967167E-2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9.5468715480328328E-3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6.7139048263937171E-3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10.32</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9.6189307328162117E-3</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9.06E-2</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1</v>
      </c>
      <c r="N206" s="305">
        <v>44</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18</v>
      </c>
      <c r="N207" s="353">
        <f>+N255</f>
        <v>3105</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145</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'July 16'!N213+'Oct 16'!N212</f>
        <v>6639</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4</v>
      </c>
      <c r="N219" s="353">
        <v>510</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0.86</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2791</v>
      </c>
      <c r="M225" s="382">
        <f t="shared" ref="M225:M232" si="2">L225/$L$233</f>
        <v>0.99571887263646097</v>
      </c>
      <c r="N225" s="331">
        <f t="shared" ref="N225:N230" si="3">+N236+N247+N258</f>
        <v>327817</v>
      </c>
      <c r="O225" s="382">
        <f t="shared" ref="O225:O232" si="4">N225/$N$233</f>
        <v>0.99707402236760867</v>
      </c>
      <c r="P225" s="306"/>
      <c r="Q225" s="417"/>
      <c r="R225" s="5"/>
    </row>
    <row r="226" spans="1:18" ht="15.6" x14ac:dyDescent="0.3">
      <c r="A226" s="260"/>
      <c r="B226" s="330" t="s">
        <v>99</v>
      </c>
      <c r="C226" s="381"/>
      <c r="D226" s="261"/>
      <c r="E226" s="382"/>
      <c r="F226" s="381"/>
      <c r="G226" s="381"/>
      <c r="H226" s="381"/>
      <c r="I226" s="381"/>
      <c r="J226" s="381"/>
      <c r="K226" s="381"/>
      <c r="L226" s="330">
        <f t="shared" si="1"/>
        <v>6</v>
      </c>
      <c r="M226" s="382">
        <f t="shared" si="2"/>
        <v>2.1405636817695326E-3</v>
      </c>
      <c r="N226" s="331">
        <f t="shared" si="3"/>
        <v>381</v>
      </c>
      <c r="O226" s="382">
        <f t="shared" si="4"/>
        <v>1.1588331371529203E-3</v>
      </c>
      <c r="P226" s="354"/>
      <c r="Q226" s="373"/>
      <c r="R226" s="5"/>
    </row>
    <row r="227" spans="1:18" ht="15.6" x14ac:dyDescent="0.3">
      <c r="A227" s="260"/>
      <c r="B227" s="330" t="s">
        <v>100</v>
      </c>
      <c r="C227" s="381"/>
      <c r="D227" s="261"/>
      <c r="E227" s="382"/>
      <c r="F227" s="381"/>
      <c r="G227" s="381"/>
      <c r="H227" s="381"/>
      <c r="I227" s="381"/>
      <c r="J227" s="381"/>
      <c r="K227" s="381"/>
      <c r="L227" s="330">
        <f t="shared" si="1"/>
        <v>2</v>
      </c>
      <c r="M227" s="382">
        <f t="shared" si="2"/>
        <v>7.1352122725651087E-4</v>
      </c>
      <c r="N227" s="331">
        <f t="shared" si="3"/>
        <v>211</v>
      </c>
      <c r="O227" s="382">
        <f t="shared" si="4"/>
        <v>6.417684827802262E-4</v>
      </c>
      <c r="P227" s="354"/>
      <c r="Q227" s="373"/>
      <c r="R227" s="5"/>
    </row>
    <row r="228" spans="1:18" ht="15.6" x14ac:dyDescent="0.3">
      <c r="A228" s="260"/>
      <c r="B228" s="330" t="s">
        <v>227</v>
      </c>
      <c r="C228" s="381"/>
      <c r="D228" s="261"/>
      <c r="E228" s="382"/>
      <c r="F228" s="381"/>
      <c r="G228" s="381"/>
      <c r="H228" s="381"/>
      <c r="I228" s="381"/>
      <c r="J228" s="381"/>
      <c r="K228" s="381"/>
      <c r="L228" s="330">
        <f t="shared" si="1"/>
        <v>0</v>
      </c>
      <c r="M228" s="382">
        <f t="shared" si="2"/>
        <v>0</v>
      </c>
      <c r="N228" s="331">
        <f t="shared" si="3"/>
        <v>0</v>
      </c>
      <c r="O228" s="382">
        <f t="shared" si="4"/>
        <v>0</v>
      </c>
      <c r="P228" s="354"/>
      <c r="Q228" s="373"/>
      <c r="R228" s="5"/>
    </row>
    <row r="229" spans="1:18" ht="15.6" x14ac:dyDescent="0.3">
      <c r="A229" s="260"/>
      <c r="B229" s="330" t="s">
        <v>228</v>
      </c>
      <c r="C229" s="381"/>
      <c r="D229" s="261"/>
      <c r="E229" s="382"/>
      <c r="F229" s="381"/>
      <c r="G229" s="381"/>
      <c r="H229" s="381"/>
      <c r="I229" s="381"/>
      <c r="J229" s="381"/>
      <c r="K229" s="381"/>
      <c r="L229" s="330">
        <f t="shared" si="1"/>
        <v>1</v>
      </c>
      <c r="M229" s="382">
        <f t="shared" si="2"/>
        <v>3.5676061362825543E-4</v>
      </c>
      <c r="N229" s="331">
        <f t="shared" si="3"/>
        <v>44</v>
      </c>
      <c r="O229" s="382">
        <f t="shared" si="4"/>
        <v>1.3382849877881494E-4</v>
      </c>
      <c r="P229" s="354"/>
      <c r="Q229" s="373"/>
      <c r="R229" s="5"/>
    </row>
    <row r="230" spans="1:18" ht="15.6" x14ac:dyDescent="0.3">
      <c r="A230" s="260"/>
      <c r="B230" s="330" t="s">
        <v>229</v>
      </c>
      <c r="C230" s="381"/>
      <c r="D230" s="261"/>
      <c r="E230" s="382"/>
      <c r="F230" s="381"/>
      <c r="G230" s="381"/>
      <c r="H230" s="381"/>
      <c r="I230" s="381"/>
      <c r="J230" s="381"/>
      <c r="K230" s="381"/>
      <c r="L230" s="330">
        <f t="shared" si="1"/>
        <v>0</v>
      </c>
      <c r="M230" s="382">
        <f t="shared" si="2"/>
        <v>0</v>
      </c>
      <c r="N230" s="331">
        <f t="shared" si="3"/>
        <v>0</v>
      </c>
      <c r="O230" s="382">
        <f t="shared" si="4"/>
        <v>0</v>
      </c>
      <c r="P230" s="354"/>
      <c r="Q230" s="373"/>
      <c r="R230" s="5"/>
    </row>
    <row r="231" spans="1:18" ht="15.6" x14ac:dyDescent="0.3">
      <c r="A231" s="260"/>
      <c r="B231" s="330" t="s">
        <v>230</v>
      </c>
      <c r="C231" s="381"/>
      <c r="D231" s="261"/>
      <c r="E231" s="382"/>
      <c r="F231" s="381"/>
      <c r="G231" s="381"/>
      <c r="H231" s="381"/>
      <c r="I231" s="381"/>
      <c r="J231" s="381"/>
      <c r="K231" s="381"/>
      <c r="L231" s="330">
        <f t="shared" si="1"/>
        <v>2</v>
      </c>
      <c r="M231" s="382">
        <f t="shared" si="2"/>
        <v>7.1352122725651087E-4</v>
      </c>
      <c r="N231" s="331">
        <f>+N242+N253+N264</f>
        <v>185</v>
      </c>
      <c r="O231" s="382">
        <f t="shared" si="4"/>
        <v>5.6268800622910826E-4</v>
      </c>
      <c r="P231" s="354"/>
      <c r="Q231" s="373"/>
      <c r="R231" s="5"/>
    </row>
    <row r="232" spans="1:18" ht="15.6" x14ac:dyDescent="0.3">
      <c r="A232" s="260"/>
      <c r="B232" s="330" t="s">
        <v>231</v>
      </c>
      <c r="C232" s="381"/>
      <c r="D232" s="261"/>
      <c r="E232" s="382"/>
      <c r="F232" s="381"/>
      <c r="G232" s="381"/>
      <c r="H232" s="381"/>
      <c r="I232" s="381"/>
      <c r="J232" s="381"/>
      <c r="K232" s="381"/>
      <c r="L232" s="330">
        <f t="shared" si="1"/>
        <v>1</v>
      </c>
      <c r="M232" s="382">
        <f t="shared" si="2"/>
        <v>3.5676061362825543E-4</v>
      </c>
      <c r="N232" s="331">
        <f>+N243+N254+N265</f>
        <v>141</v>
      </c>
      <c r="O232" s="382">
        <f t="shared" si="4"/>
        <v>4.2885950745029334E-4</v>
      </c>
      <c r="P232" s="354"/>
      <c r="Q232" s="373"/>
      <c r="R232" s="5"/>
    </row>
    <row r="233" spans="1:18" ht="15.6" x14ac:dyDescent="0.3">
      <c r="A233" s="260"/>
      <c r="B233" s="261" t="s">
        <v>129</v>
      </c>
      <c r="C233" s="261"/>
      <c r="D233" s="261"/>
      <c r="E233" s="261"/>
      <c r="F233" s="383"/>
      <c r="G233" s="383"/>
      <c r="H233" s="383"/>
      <c r="I233" s="383"/>
      <c r="J233" s="383"/>
      <c r="K233" s="383"/>
      <c r="L233" s="330">
        <f>SUM(L225:L232)</f>
        <v>2803</v>
      </c>
      <c r="M233" s="382">
        <f>SUM(M225:M232)</f>
        <v>1</v>
      </c>
      <c r="N233" s="330">
        <f>SUM(N225:N232)</f>
        <v>328779</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2778</v>
      </c>
      <c r="M236" s="310">
        <f t="shared" ref="M236:M243" si="5">L236/$L$244</f>
        <v>0.99748653500897666</v>
      </c>
      <c r="N236" s="300">
        <v>325460</v>
      </c>
      <c r="O236" s="310">
        <f t="shared" ref="O236:O243" si="6">N236/$N$244</f>
        <v>0.99934290118339197</v>
      </c>
      <c r="P236" s="306"/>
      <c r="Q236" s="417"/>
      <c r="R236" s="5"/>
    </row>
    <row r="237" spans="1:18" ht="15.6" x14ac:dyDescent="0.3">
      <c r="A237" s="260"/>
      <c r="B237" s="330" t="s">
        <v>99</v>
      </c>
      <c r="C237" s="381"/>
      <c r="D237" s="261"/>
      <c r="E237" s="382"/>
      <c r="F237" s="381"/>
      <c r="G237" s="381"/>
      <c r="H237" s="381"/>
      <c r="I237" s="381"/>
      <c r="J237" s="381"/>
      <c r="K237" s="381"/>
      <c r="L237" s="330">
        <v>5</v>
      </c>
      <c r="M237" s="382">
        <f t="shared" si="5"/>
        <v>1.7953321364452424E-3</v>
      </c>
      <c r="N237" s="331">
        <v>160</v>
      </c>
      <c r="O237" s="382">
        <f t="shared" si="6"/>
        <v>4.912888348471171E-4</v>
      </c>
      <c r="P237" s="354"/>
      <c r="Q237" s="373"/>
      <c r="R237" s="5"/>
    </row>
    <row r="238" spans="1:18" ht="15.6" x14ac:dyDescent="0.3">
      <c r="A238" s="260"/>
      <c r="B238" s="330" t="s">
        <v>100</v>
      </c>
      <c r="C238" s="381"/>
      <c r="D238" s="261"/>
      <c r="E238" s="382"/>
      <c r="F238" s="381"/>
      <c r="G238" s="381"/>
      <c r="H238" s="381"/>
      <c r="I238" s="381"/>
      <c r="J238" s="381"/>
      <c r="K238" s="381"/>
      <c r="L238" s="330">
        <v>0</v>
      </c>
      <c r="M238" s="382">
        <f t="shared" si="5"/>
        <v>0</v>
      </c>
      <c r="N238" s="331">
        <v>0</v>
      </c>
      <c r="O238" s="382">
        <f t="shared" si="6"/>
        <v>0</v>
      </c>
      <c r="P238" s="354"/>
      <c r="Q238" s="373"/>
      <c r="R238" s="5"/>
    </row>
    <row r="239" spans="1:18" ht="15.6" x14ac:dyDescent="0.3">
      <c r="A239" s="260"/>
      <c r="B239" s="330" t="s">
        <v>227</v>
      </c>
      <c r="C239" s="381"/>
      <c r="D239" s="261"/>
      <c r="E239" s="382"/>
      <c r="F239" s="381"/>
      <c r="G239" s="381"/>
      <c r="H239" s="381"/>
      <c r="I239" s="381"/>
      <c r="J239" s="381"/>
      <c r="K239" s="381"/>
      <c r="L239" s="330">
        <v>0</v>
      </c>
      <c r="M239" s="382">
        <f t="shared" si="5"/>
        <v>0</v>
      </c>
      <c r="N239" s="331">
        <v>0</v>
      </c>
      <c r="O239" s="382">
        <f t="shared" si="6"/>
        <v>0</v>
      </c>
      <c r="P239" s="354"/>
      <c r="Q239" s="373"/>
      <c r="R239" s="5"/>
    </row>
    <row r="240" spans="1:18" ht="15.6" x14ac:dyDescent="0.3">
      <c r="A240" s="260"/>
      <c r="B240" s="330" t="s">
        <v>228</v>
      </c>
      <c r="C240" s="381"/>
      <c r="D240" s="261"/>
      <c r="E240" s="382"/>
      <c r="F240" s="381"/>
      <c r="G240" s="381"/>
      <c r="H240" s="381"/>
      <c r="I240" s="381"/>
      <c r="J240" s="381"/>
      <c r="K240" s="381"/>
      <c r="L240" s="330">
        <v>1</v>
      </c>
      <c r="M240" s="382">
        <f t="shared" si="5"/>
        <v>3.590664272890485E-4</v>
      </c>
      <c r="N240" s="331">
        <v>44</v>
      </c>
      <c r="O240" s="382">
        <f t="shared" si="6"/>
        <v>1.3510442958295719E-4</v>
      </c>
      <c r="P240" s="354"/>
      <c r="Q240" s="373"/>
      <c r="R240" s="5"/>
    </row>
    <row r="241" spans="1:18" ht="15.6" x14ac:dyDescent="0.3">
      <c r="A241" s="260"/>
      <c r="B241" s="330" t="s">
        <v>229</v>
      </c>
      <c r="C241" s="381"/>
      <c r="D241" s="261"/>
      <c r="E241" s="382"/>
      <c r="F241" s="381"/>
      <c r="G241" s="381"/>
      <c r="H241" s="381"/>
      <c r="I241" s="381"/>
      <c r="J241" s="381"/>
      <c r="K241" s="381"/>
      <c r="L241" s="330">
        <v>0</v>
      </c>
      <c r="M241" s="382">
        <f t="shared" si="5"/>
        <v>0</v>
      </c>
      <c r="N241" s="331">
        <v>0</v>
      </c>
      <c r="O241" s="382">
        <f t="shared" si="6"/>
        <v>0</v>
      </c>
      <c r="P241" s="354"/>
      <c r="Q241" s="373"/>
      <c r="R241" s="5"/>
    </row>
    <row r="242" spans="1:18" ht="15.6" x14ac:dyDescent="0.3">
      <c r="A242" s="260"/>
      <c r="B242" s="330" t="s">
        <v>230</v>
      </c>
      <c r="C242" s="381"/>
      <c r="D242" s="261"/>
      <c r="E242" s="382"/>
      <c r="F242" s="381"/>
      <c r="G242" s="381"/>
      <c r="H242" s="381"/>
      <c r="I242" s="381"/>
      <c r="J242" s="381"/>
      <c r="K242" s="381"/>
      <c r="L242" s="330">
        <v>1</v>
      </c>
      <c r="M242" s="382">
        <f t="shared" si="5"/>
        <v>3.590664272890485E-4</v>
      </c>
      <c r="N242" s="331">
        <v>10</v>
      </c>
      <c r="O242" s="382">
        <f t="shared" si="6"/>
        <v>3.0705552177944819E-5</v>
      </c>
      <c r="P242" s="354"/>
      <c r="Q242" s="373"/>
      <c r="R242" s="5"/>
    </row>
    <row r="243" spans="1:18" ht="15.6" x14ac:dyDescent="0.3">
      <c r="A243" s="260"/>
      <c r="B243" s="330" t="s">
        <v>231</v>
      </c>
      <c r="C243" s="381"/>
      <c r="D243" s="261"/>
      <c r="E243" s="382"/>
      <c r="F243" s="381"/>
      <c r="G243" s="381"/>
      <c r="H243" s="381"/>
      <c r="I243" s="381"/>
      <c r="J243" s="381"/>
      <c r="K243" s="381"/>
      <c r="L243" s="330">
        <v>0</v>
      </c>
      <c r="M243" s="382">
        <f t="shared" si="5"/>
        <v>0</v>
      </c>
      <c r="N243" s="331">
        <v>0</v>
      </c>
      <c r="O243" s="382">
        <f t="shared" si="6"/>
        <v>0</v>
      </c>
      <c r="P243" s="354"/>
      <c r="Q243" s="373"/>
      <c r="R243" s="5"/>
    </row>
    <row r="244" spans="1:18" ht="15.6" x14ac:dyDescent="0.3">
      <c r="A244" s="260"/>
      <c r="B244" s="261" t="s">
        <v>129</v>
      </c>
      <c r="C244" s="261"/>
      <c r="D244" s="261"/>
      <c r="E244" s="261"/>
      <c r="F244" s="383"/>
      <c r="G244" s="383"/>
      <c r="H244" s="383"/>
      <c r="I244" s="383"/>
      <c r="J244" s="383"/>
      <c r="K244" s="383"/>
      <c r="L244" s="330">
        <f>SUM(L236:L243)</f>
        <v>2785</v>
      </c>
      <c r="M244" s="382">
        <f>SUM(M236:M243)</f>
        <v>0.99999999999999989</v>
      </c>
      <c r="N244" s="331">
        <f>SUM(N236:N243)</f>
        <v>325674</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13</v>
      </c>
      <c r="M247" s="310">
        <f t="shared" ref="M247:M254" si="7">L247/$L$255</f>
        <v>0.72222222222222221</v>
      </c>
      <c r="N247" s="300">
        <v>2357</v>
      </c>
      <c r="O247" s="310">
        <f t="shared" ref="O247:O254" si="8">N247/$N$255</f>
        <v>0.75909822866344601</v>
      </c>
      <c r="P247" s="306"/>
      <c r="Q247" s="408"/>
      <c r="R247" s="5"/>
    </row>
    <row r="248" spans="1:18" ht="15.6" x14ac:dyDescent="0.3">
      <c r="A248" s="260"/>
      <c r="B248" s="330" t="s">
        <v>99</v>
      </c>
      <c r="C248" s="381"/>
      <c r="D248" s="261"/>
      <c r="E248" s="382"/>
      <c r="F248" s="381"/>
      <c r="G248" s="381"/>
      <c r="H248" s="381"/>
      <c r="I248" s="381"/>
      <c r="J248" s="381"/>
      <c r="K248" s="381"/>
      <c r="L248" s="330">
        <v>1</v>
      </c>
      <c r="M248" s="382">
        <f t="shared" si="7"/>
        <v>5.5555555555555552E-2</v>
      </c>
      <c r="N248" s="331">
        <v>221</v>
      </c>
      <c r="O248" s="382">
        <f t="shared" si="8"/>
        <v>7.1175523349436387E-2</v>
      </c>
      <c r="P248" s="354"/>
      <c r="Q248" s="264"/>
      <c r="R248" s="5"/>
    </row>
    <row r="249" spans="1:18" ht="15.6" x14ac:dyDescent="0.3">
      <c r="A249" s="260"/>
      <c r="B249" s="330" t="s">
        <v>100</v>
      </c>
      <c r="C249" s="381"/>
      <c r="D249" s="261"/>
      <c r="E249" s="382"/>
      <c r="F249" s="381"/>
      <c r="G249" s="381"/>
      <c r="H249" s="381"/>
      <c r="I249" s="381"/>
      <c r="J249" s="381"/>
      <c r="K249" s="381"/>
      <c r="L249" s="330">
        <v>2</v>
      </c>
      <c r="M249" s="382">
        <f t="shared" si="7"/>
        <v>0.1111111111111111</v>
      </c>
      <c r="N249" s="331">
        <v>211</v>
      </c>
      <c r="O249" s="382">
        <f t="shared" si="8"/>
        <v>6.7954911433172296E-2</v>
      </c>
      <c r="P249" s="354"/>
      <c r="Q249" s="264"/>
      <c r="R249" s="5"/>
    </row>
    <row r="250" spans="1:18" ht="15.6" x14ac:dyDescent="0.3">
      <c r="A250" s="260"/>
      <c r="B250" s="330" t="s">
        <v>227</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1</v>
      </c>
      <c r="M253" s="382">
        <f t="shared" si="7"/>
        <v>5.5555555555555552E-2</v>
      </c>
      <c r="N253" s="331">
        <v>175</v>
      </c>
      <c r="O253" s="382">
        <f t="shared" si="8"/>
        <v>5.6360708534621579E-2</v>
      </c>
      <c r="P253" s="354"/>
      <c r="Q253" s="264"/>
      <c r="R253" s="5"/>
    </row>
    <row r="254" spans="1:18" ht="15.6" x14ac:dyDescent="0.3">
      <c r="A254" s="260"/>
      <c r="B254" s="330" t="s">
        <v>231</v>
      </c>
      <c r="C254" s="381"/>
      <c r="D254" s="261"/>
      <c r="E254" s="382"/>
      <c r="F254" s="381"/>
      <c r="G254" s="381"/>
      <c r="H254" s="381"/>
      <c r="I254" s="381"/>
      <c r="J254" s="381"/>
      <c r="K254" s="381"/>
      <c r="L254" s="330">
        <v>1</v>
      </c>
      <c r="M254" s="382">
        <f t="shared" si="7"/>
        <v>5.5555555555555552E-2</v>
      </c>
      <c r="N254" s="331">
        <v>141</v>
      </c>
      <c r="O254" s="382">
        <f t="shared" si="8"/>
        <v>4.5410628019323669E-2</v>
      </c>
      <c r="P254" s="354"/>
      <c r="Q254" s="264"/>
      <c r="R254" s="5"/>
    </row>
    <row r="255" spans="1:18" ht="15.6" x14ac:dyDescent="0.3">
      <c r="A255" s="260"/>
      <c r="B255" s="261" t="s">
        <v>129</v>
      </c>
      <c r="C255" s="261"/>
      <c r="D255" s="261"/>
      <c r="E255" s="261"/>
      <c r="F255" s="383"/>
      <c r="G255" s="383"/>
      <c r="H255" s="383"/>
      <c r="I255" s="383"/>
      <c r="J255" s="383"/>
      <c r="K255" s="383"/>
      <c r="L255" s="330">
        <f>SUM(L247:L254)</f>
        <v>18</v>
      </c>
      <c r="M255" s="382">
        <f>SUM(M247:M254)</f>
        <v>1</v>
      </c>
      <c r="N255" s="331">
        <f>SUM(N247:N254)</f>
        <v>3105</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f>SUM(M258:M265)</f>
        <v>0</v>
      </c>
      <c r="N266" s="331">
        <f>SUM(N258:N265)</f>
        <v>0</v>
      </c>
      <c r="O266" s="382">
        <f>SUM(O258:O265)</f>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2803</v>
      </c>
      <c r="M268" s="382"/>
      <c r="N268" s="386">
        <f>+N266+N255+N244</f>
        <v>328779</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309</v>
      </c>
      <c r="C273" s="228"/>
      <c r="D273" s="228"/>
      <c r="E273" s="228"/>
      <c r="F273" s="313" t="s">
        <v>212</v>
      </c>
      <c r="G273" s="228"/>
      <c r="H273" s="228" t="s">
        <v>222</v>
      </c>
      <c r="I273" s="249"/>
      <c r="J273" s="249"/>
      <c r="K273" s="249"/>
      <c r="L273" s="249"/>
      <c r="M273" s="249"/>
      <c r="N273" s="249"/>
      <c r="O273" s="249"/>
      <c r="P273" s="249"/>
      <c r="Q273" s="418"/>
      <c r="R273" s="5"/>
    </row>
    <row r="274" spans="1:18" ht="15.6" x14ac:dyDescent="0.3">
      <c r="A274" s="225"/>
      <c r="B274" s="228" t="s">
        <v>310</v>
      </c>
      <c r="C274" s="228"/>
      <c r="D274" s="228"/>
      <c r="E274" s="228"/>
      <c r="F274" s="313" t="s">
        <v>264</v>
      </c>
      <c r="G274" s="228"/>
      <c r="H274" s="228" t="s">
        <v>265</v>
      </c>
      <c r="I274" s="249"/>
      <c r="J274" s="249"/>
      <c r="K274" s="249"/>
      <c r="L274" s="249"/>
      <c r="M274" s="249"/>
      <c r="N274" s="249"/>
      <c r="O274" s="249"/>
      <c r="P274" s="249"/>
      <c r="Q274" s="418"/>
      <c r="R274" s="5"/>
    </row>
    <row r="275" spans="1:18" ht="15.6" x14ac:dyDescent="0.3">
      <c r="A275" s="225"/>
      <c r="B275" s="228" t="s">
        <v>311</v>
      </c>
      <c r="C275" s="228"/>
      <c r="D275" s="228"/>
      <c r="E275" s="228"/>
      <c r="F275" s="313" t="s">
        <v>211</v>
      </c>
      <c r="G275" s="228"/>
      <c r="H275" s="228" t="s">
        <v>223</v>
      </c>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5.6" x14ac:dyDescent="0.3">
      <c r="A277" s="225"/>
      <c r="B277" s="228"/>
      <c r="C277" s="228"/>
      <c r="D277" s="228"/>
      <c r="E277" s="314"/>
      <c r="F277" s="249"/>
      <c r="G277" s="249"/>
      <c r="H277" s="249"/>
      <c r="I277" s="249"/>
      <c r="J277" s="249"/>
      <c r="K277" s="249"/>
      <c r="L277" s="249"/>
      <c r="M277" s="249"/>
      <c r="N277" s="249"/>
      <c r="O277" s="249"/>
      <c r="P277" s="249"/>
      <c r="Q277" s="418"/>
      <c r="R277" s="5"/>
    </row>
    <row r="278" spans="1:18" ht="18" thickBot="1" x14ac:dyDescent="0.35">
      <c r="A278" s="225"/>
      <c r="B278" s="315" t="str">
        <f>B185</f>
        <v>PM7 INVESTOR REPORT QUARTER ENDING OCTOBER 2016</v>
      </c>
      <c r="C278" s="228"/>
      <c r="D278" s="228"/>
      <c r="E278" s="314"/>
      <c r="F278" s="249"/>
      <c r="G278" s="249"/>
      <c r="H278" s="249"/>
      <c r="I278" s="249"/>
      <c r="J278" s="249"/>
      <c r="K278" s="249"/>
      <c r="L278" s="249"/>
      <c r="M278" s="249"/>
      <c r="N278" s="249"/>
      <c r="O278" s="249"/>
      <c r="P278" s="249"/>
      <c r="Q278" s="419"/>
      <c r="R278" s="5"/>
    </row>
    <row r="279" spans="1:18" x14ac:dyDescent="0.25">
      <c r="A279" s="100"/>
      <c r="B279" s="100"/>
      <c r="C279" s="100"/>
      <c r="D279" s="100"/>
      <c r="E279" s="100"/>
      <c r="F279" s="100"/>
      <c r="G279" s="100"/>
      <c r="H279" s="100"/>
      <c r="I279" s="100"/>
      <c r="J279" s="100"/>
      <c r="K279" s="100"/>
      <c r="L279" s="100"/>
      <c r="M279" s="100"/>
      <c r="N279" s="100"/>
      <c r="O279" s="100"/>
      <c r="P279" s="100"/>
      <c r="Q279"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40" orientation="landscape" r:id="rId3"/>
  <headerFooter alignWithMargins="0"/>
  <rowBreaks count="4" manualBreakCount="4">
    <brk id="65" max="16" man="1"/>
    <brk id="133" max="16" man="1"/>
    <brk id="185" max="16" man="1"/>
    <brk id="278" max="16"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23"/>
  </sheetPr>
  <dimension ref="A1:S257"/>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0.93889999999999996</v>
      </c>
      <c r="N17" s="17" t="s">
        <v>173</v>
      </c>
      <c r="O17" s="138">
        <v>6.1100000000000002E-2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38678</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178</v>
      </c>
      <c r="K28" s="123"/>
      <c r="L28" s="123" t="s">
        <v>178</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390476.7</v>
      </c>
      <c r="E34" s="31"/>
      <c r="F34" s="131">
        <f>+F33*F40</f>
        <v>190893.78</v>
      </c>
      <c r="G34" s="31"/>
      <c r="H34" s="124">
        <f>+H33*H40</f>
        <v>433866</v>
      </c>
      <c r="I34" s="31"/>
      <c r="J34" s="130">
        <v>82500</v>
      </c>
      <c r="K34" s="31"/>
      <c r="L34" s="124">
        <v>65000</v>
      </c>
      <c r="M34" s="31"/>
      <c r="N34" s="31"/>
      <c r="O34" s="142"/>
      <c r="P34" s="31"/>
      <c r="Q34" s="34"/>
      <c r="R34" s="5"/>
    </row>
    <row r="35" spans="1:18" ht="15.6" x14ac:dyDescent="0.3">
      <c r="A35" s="28"/>
      <c r="B35" s="29" t="s">
        <v>158</v>
      </c>
      <c r="C35" s="36"/>
      <c r="D35" s="129">
        <f>+D33*D39</f>
        <v>375032.25</v>
      </c>
      <c r="E35" s="35"/>
      <c r="F35" s="132">
        <f>+F33*F39</f>
        <v>183341.40000000002</v>
      </c>
      <c r="G35" s="35"/>
      <c r="H35" s="125">
        <f>+H33*H39</f>
        <v>416706</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219492.2428330523</v>
      </c>
      <c r="E37" s="31"/>
      <c r="F37" s="31">
        <f>+F34</f>
        <v>190893.78</v>
      </c>
      <c r="G37" s="31"/>
      <c r="H37" s="31">
        <f>+H34/1.481481</f>
        <v>292859.64517938468</v>
      </c>
      <c r="I37" s="31"/>
      <c r="J37" s="31">
        <v>46374</v>
      </c>
      <c r="K37" s="31"/>
      <c r="L37" s="31">
        <v>43875</v>
      </c>
      <c r="M37" s="31"/>
      <c r="N37" s="31"/>
      <c r="O37" s="142"/>
      <c r="P37" s="31">
        <f>SUM(C37:L37)+1</f>
        <v>793495.66801243694</v>
      </c>
      <c r="Q37" s="34"/>
      <c r="R37" s="5"/>
    </row>
    <row r="38" spans="1:18" ht="15.6" x14ac:dyDescent="0.3">
      <c r="A38" s="28"/>
      <c r="B38" s="29" t="s">
        <v>281</v>
      </c>
      <c r="C38" s="36"/>
      <c r="D38" s="35">
        <f>D35/1.779</f>
        <v>210810.70826306916</v>
      </c>
      <c r="E38" s="35"/>
      <c r="F38" s="35">
        <f>+F35</f>
        <v>183341.40000000002</v>
      </c>
      <c r="G38" s="35"/>
      <c r="H38" s="35">
        <f>H35/1.481481</f>
        <v>281276.64141490846</v>
      </c>
      <c r="I38" s="35"/>
      <c r="J38" s="35">
        <v>46374</v>
      </c>
      <c r="K38" s="35"/>
      <c r="L38" s="35">
        <v>43875</v>
      </c>
      <c r="M38" s="35"/>
      <c r="N38" s="35"/>
      <c r="O38" s="37"/>
      <c r="P38" s="35">
        <f>SUM(D38:L38)</f>
        <v>765677.74967797764</v>
      </c>
      <c r="Q38" s="34"/>
      <c r="R38" s="5"/>
    </row>
    <row r="39" spans="1:18" ht="15.6" x14ac:dyDescent="0.3">
      <c r="A39" s="28"/>
      <c r="B39" s="122" t="s">
        <v>154</v>
      </c>
      <c r="C39" s="126"/>
      <c r="D39" s="139">
        <v>0.83340499999999995</v>
      </c>
      <c r="E39" s="139"/>
      <c r="F39" s="139">
        <v>0.83337000000000006</v>
      </c>
      <c r="G39" s="139"/>
      <c r="H39" s="139">
        <v>0.83341200000000004</v>
      </c>
      <c r="I39" s="139"/>
      <c r="J39" s="139">
        <v>1</v>
      </c>
      <c r="K39" s="139"/>
      <c r="L39" s="139">
        <v>1</v>
      </c>
      <c r="M39" s="31"/>
      <c r="N39" s="31"/>
      <c r="O39" s="142"/>
      <c r="P39" s="31"/>
      <c r="Q39" s="34"/>
      <c r="R39" s="5"/>
    </row>
    <row r="40" spans="1:18" ht="15.6" x14ac:dyDescent="0.3">
      <c r="A40" s="28"/>
      <c r="B40" s="122" t="s">
        <v>155</v>
      </c>
      <c r="C40" s="126"/>
      <c r="D40" s="139">
        <v>0.867726</v>
      </c>
      <c r="E40" s="139"/>
      <c r="F40" s="139">
        <v>0.867699</v>
      </c>
      <c r="G40" s="139"/>
      <c r="H40" s="139">
        <v>0.86773199999999995</v>
      </c>
      <c r="I40" s="139"/>
      <c r="J40" s="139">
        <v>1</v>
      </c>
      <c r="K40" s="139"/>
      <c r="L40" s="139">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0.04</v>
      </c>
      <c r="E42" s="39"/>
      <c r="F42" s="38">
        <v>4.7962499999999998E-2</v>
      </c>
      <c r="G42" s="39"/>
      <c r="H42" s="38">
        <v>2.3439999999999999E-2</v>
      </c>
      <c r="I42" s="39"/>
      <c r="J42" s="38">
        <v>4.5400000000000003E-2</v>
      </c>
      <c r="K42" s="39"/>
      <c r="L42" s="38">
        <v>2.8840000000000001E-2</v>
      </c>
      <c r="M42" s="39"/>
      <c r="N42" s="38"/>
      <c r="O42" s="141"/>
      <c r="P42" s="39"/>
      <c r="Q42" s="25"/>
      <c r="R42" s="5"/>
    </row>
    <row r="43" spans="1:18" ht="15.6" x14ac:dyDescent="0.3">
      <c r="A43" s="24"/>
      <c r="B43" s="25" t="s">
        <v>14</v>
      </c>
      <c r="C43" s="25"/>
      <c r="D43" s="38">
        <v>3.4781300000000001E-2</v>
      </c>
      <c r="E43" s="39"/>
      <c r="F43" s="38">
        <v>5.08563E-2</v>
      </c>
      <c r="G43" s="39"/>
      <c r="H43" s="38">
        <v>2.3359999999999999E-2</v>
      </c>
      <c r="I43" s="39"/>
      <c r="J43" s="38">
        <v>4.0181300000000003E-2</v>
      </c>
      <c r="K43" s="39"/>
      <c r="L43" s="38">
        <v>2.8760000000000001E-2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4.89075E-2</v>
      </c>
      <c r="E45" s="39"/>
      <c r="F45" s="38">
        <v>4.7962499999999998E-2</v>
      </c>
      <c r="G45" s="39"/>
      <c r="H45" s="38">
        <v>4.8787499999999998E-2</v>
      </c>
      <c r="I45" s="39"/>
      <c r="J45" s="38">
        <v>5.5037500000000003E-2</v>
      </c>
      <c r="K45" s="39"/>
      <c r="L45" s="38">
        <v>5.5037500000000003E-2</v>
      </c>
      <c r="M45" s="39"/>
      <c r="N45" s="38"/>
      <c r="O45" s="141"/>
      <c r="P45" s="39">
        <f>SUMPRODUCT(D45:L45,D37:L37)/P37</f>
        <v>4.9333009169853698E-2</v>
      </c>
      <c r="Q45" s="25"/>
      <c r="R45" s="5"/>
    </row>
    <row r="46" spans="1:18" ht="15.6" x14ac:dyDescent="0.3">
      <c r="A46" s="24"/>
      <c r="B46" s="25" t="s">
        <v>283</v>
      </c>
      <c r="C46" s="25"/>
      <c r="D46" s="38">
        <v>5.1801300000000002E-2</v>
      </c>
      <c r="E46" s="39"/>
      <c r="F46" s="38">
        <v>5.08563E-2</v>
      </c>
      <c r="G46" s="39"/>
      <c r="H46" s="38">
        <v>5.1681299999999999E-2</v>
      </c>
      <c r="I46" s="39"/>
      <c r="J46" s="38">
        <v>5.7931299999999998E-2</v>
      </c>
      <c r="K46" s="39"/>
      <c r="L46" s="38">
        <v>5.7931299999999998E-2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0.13361735052443027</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38671</v>
      </c>
      <c r="Q57" s="25"/>
      <c r="R57" s="5"/>
    </row>
    <row r="58" spans="1:18" ht="15.6" x14ac:dyDescent="0.3">
      <c r="A58" s="24"/>
      <c r="B58" s="25" t="s">
        <v>142</v>
      </c>
      <c r="C58" s="25"/>
      <c r="D58" s="25"/>
      <c r="E58" s="25"/>
      <c r="F58" s="58"/>
      <c r="G58" s="58"/>
      <c r="H58" s="58"/>
      <c r="I58" s="58"/>
      <c r="J58" s="58"/>
      <c r="K58" s="58"/>
      <c r="L58" s="25">
        <f>+P58-N58+1</f>
        <v>91</v>
      </c>
      <c r="M58" s="58"/>
      <c r="N58" s="45">
        <v>38488</v>
      </c>
      <c r="O58" s="46"/>
      <c r="P58" s="45">
        <v>38578</v>
      </c>
      <c r="Q58" s="25"/>
      <c r="R58" s="5"/>
    </row>
    <row r="59" spans="1:18" ht="15.6" x14ac:dyDescent="0.3">
      <c r="A59" s="24"/>
      <c r="B59" s="25" t="s">
        <v>143</v>
      </c>
      <c r="C59" s="25"/>
      <c r="D59" s="25"/>
      <c r="E59" s="25"/>
      <c r="F59" s="25"/>
      <c r="G59" s="25"/>
      <c r="H59" s="25"/>
      <c r="I59" s="25"/>
      <c r="J59" s="25"/>
      <c r="K59" s="25"/>
      <c r="L59" s="25">
        <f>+P59-N59+1</f>
        <v>92</v>
      </c>
      <c r="M59" s="25"/>
      <c r="N59" s="45">
        <v>38579</v>
      </c>
      <c r="O59" s="46"/>
      <c r="P59" s="45">
        <v>38670</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38657</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246</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793495</v>
      </c>
      <c r="I70" s="34"/>
      <c r="J70" s="34">
        <f>27817+5146+259</f>
        <v>33222</v>
      </c>
      <c r="K70" s="34"/>
      <c r="L70" s="34">
        <f>259+5146</f>
        <v>5405</v>
      </c>
      <c r="M70" s="34"/>
      <c r="N70" s="34">
        <v>0</v>
      </c>
      <c r="O70" s="34"/>
      <c r="P70" s="53">
        <f>+H70-J70+L70-N70</f>
        <v>765678</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793495</v>
      </c>
      <c r="I73" s="34"/>
      <c r="J73" s="34">
        <f>SUM(J70:J72)</f>
        <v>33222</v>
      </c>
      <c r="K73" s="34"/>
      <c r="L73" s="34">
        <f>SUM(L70:L72)</f>
        <v>5405</v>
      </c>
      <c r="M73" s="34"/>
      <c r="N73" s="34">
        <f>SUM(N70:N72)</f>
        <v>0</v>
      </c>
      <c r="O73" s="34"/>
      <c r="P73" s="54">
        <f>SUM(P70:P72)</f>
        <v>765678</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v>0</v>
      </c>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v>0</v>
      </c>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793495</v>
      </c>
      <c r="I86" s="34"/>
      <c r="J86" s="34"/>
      <c r="K86" s="34"/>
      <c r="L86" s="34"/>
      <c r="M86" s="34"/>
      <c r="N86" s="54"/>
      <c r="O86" s="34"/>
      <c r="P86" s="54">
        <f>SUM(P73:P85)</f>
        <v>765678</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
      <c r="G89" s="17"/>
      <c r="H89" s="17"/>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106</v>
      </c>
      <c r="G91" s="57"/>
      <c r="H91" s="127">
        <v>38656</v>
      </c>
      <c r="I91" s="25"/>
      <c r="J91" s="25"/>
      <c r="K91" s="25"/>
      <c r="L91" s="25"/>
      <c r="M91" s="25"/>
      <c r="N91" s="34">
        <v>33222</v>
      </c>
      <c r="O91" s="25"/>
      <c r="P91" s="53"/>
      <c r="Q91" s="25"/>
      <c r="R91" s="5"/>
    </row>
    <row r="92" spans="1:18" ht="15.6" x14ac:dyDescent="0.3">
      <c r="A92" s="24"/>
      <c r="B92" s="25" t="s">
        <v>34</v>
      </c>
      <c r="C92" s="25"/>
      <c r="D92" s="25"/>
      <c r="E92" s="25"/>
      <c r="F92" s="25"/>
      <c r="G92" s="25"/>
      <c r="H92" s="25"/>
      <c r="I92" s="25"/>
      <c r="J92" s="25"/>
      <c r="K92" s="25"/>
      <c r="L92" s="25"/>
      <c r="M92" s="25"/>
      <c r="N92" s="34"/>
      <c r="O92" s="25"/>
      <c r="P92" s="53">
        <f>12886-11</f>
        <v>12875</v>
      </c>
      <c r="Q92" s="25"/>
      <c r="R92" s="5"/>
    </row>
    <row r="93" spans="1:18" ht="15.6" x14ac:dyDescent="0.3">
      <c r="A93" s="24"/>
      <c r="B93" s="25" t="s">
        <v>160</v>
      </c>
      <c r="C93" s="25"/>
      <c r="D93" s="25"/>
      <c r="E93" s="25"/>
      <c r="F93" s="25"/>
      <c r="G93" s="25"/>
      <c r="H93" s="25"/>
      <c r="I93" s="25"/>
      <c r="J93" s="25"/>
      <c r="K93" s="25"/>
      <c r="L93" s="25"/>
      <c r="M93" s="25"/>
      <c r="N93" s="34"/>
      <c r="O93" s="25"/>
      <c r="P93" s="53">
        <v>0</v>
      </c>
      <c r="Q93" s="25"/>
      <c r="R93" s="5"/>
    </row>
    <row r="94" spans="1:18" ht="15.6" x14ac:dyDescent="0.3">
      <c r="A94" s="24"/>
      <c r="B94" s="25" t="s">
        <v>192</v>
      </c>
      <c r="C94" s="25"/>
      <c r="D94" s="25"/>
      <c r="E94" s="25"/>
      <c r="F94" s="25"/>
      <c r="G94" s="25"/>
      <c r="H94" s="25"/>
      <c r="I94" s="25"/>
      <c r="J94" s="25"/>
      <c r="K94" s="25"/>
      <c r="L94" s="25"/>
      <c r="M94" s="25"/>
      <c r="N94" s="34"/>
      <c r="O94" s="25"/>
      <c r="P94" s="53">
        <v>0</v>
      </c>
      <c r="Q94" s="25"/>
      <c r="R94" s="5"/>
    </row>
    <row r="95" spans="1:18" ht="15.6" x14ac:dyDescent="0.3">
      <c r="A95" s="24"/>
      <c r="B95" s="25" t="s">
        <v>35</v>
      </c>
      <c r="C95" s="25"/>
      <c r="D95" s="25"/>
      <c r="E95" s="25"/>
      <c r="F95" s="25"/>
      <c r="G95" s="25"/>
      <c r="H95" s="25"/>
      <c r="I95" s="25"/>
      <c r="J95" s="25"/>
      <c r="K95" s="25"/>
      <c r="L95" s="25"/>
      <c r="M95" s="25"/>
      <c r="N95" s="34">
        <f>SUM(N90:N94)</f>
        <v>33222</v>
      </c>
      <c r="O95" s="25"/>
      <c r="P95" s="54">
        <f>SUM(P90:P94)</f>
        <v>12875</v>
      </c>
      <c r="Q95" s="25"/>
      <c r="R95" s="5"/>
    </row>
    <row r="96" spans="1:18" ht="15.6" x14ac:dyDescent="0.3">
      <c r="A96" s="24"/>
      <c r="B96" s="25" t="s">
        <v>237</v>
      </c>
      <c r="C96" s="25"/>
      <c r="D96" s="25"/>
      <c r="E96" s="25"/>
      <c r="F96" s="25"/>
      <c r="G96" s="25"/>
      <c r="H96" s="25"/>
      <c r="I96" s="25"/>
      <c r="J96" s="25"/>
      <c r="K96" s="25"/>
      <c r="L96" s="25"/>
      <c r="M96" s="25"/>
      <c r="N96" s="34">
        <v>-11</v>
      </c>
      <c r="O96" s="25"/>
      <c r="P96" s="54">
        <f>-N96</f>
        <v>11</v>
      </c>
      <c r="Q96" s="25"/>
      <c r="R96" s="5"/>
    </row>
    <row r="97" spans="1:19" ht="15.6" x14ac:dyDescent="0.3">
      <c r="A97" s="24"/>
      <c r="B97" s="25" t="s">
        <v>36</v>
      </c>
      <c r="C97" s="25"/>
      <c r="D97" s="25"/>
      <c r="E97" s="25"/>
      <c r="F97" s="25"/>
      <c r="G97" s="25"/>
      <c r="H97" s="25"/>
      <c r="I97" s="25"/>
      <c r="J97" s="25"/>
      <c r="K97" s="25"/>
      <c r="L97" s="25"/>
      <c r="M97" s="25"/>
      <c r="N97" s="34">
        <f>-P97</f>
        <v>0</v>
      </c>
      <c r="O97" s="25"/>
      <c r="P97" s="53">
        <v>0</v>
      </c>
      <c r="Q97" s="25"/>
      <c r="R97" s="5"/>
    </row>
    <row r="98" spans="1:19" ht="15.6" x14ac:dyDescent="0.3">
      <c r="A98" s="24"/>
      <c r="B98" s="25" t="s">
        <v>37</v>
      </c>
      <c r="C98" s="25"/>
      <c r="D98" s="25"/>
      <c r="E98" s="25"/>
      <c r="F98" s="25"/>
      <c r="G98" s="25"/>
      <c r="H98" s="25"/>
      <c r="I98" s="25"/>
      <c r="J98" s="25"/>
      <c r="K98" s="25"/>
      <c r="L98" s="25"/>
      <c r="M98" s="25"/>
      <c r="N98" s="34">
        <f>N95+N97+N96</f>
        <v>33211</v>
      </c>
      <c r="O98" s="25"/>
      <c r="P98" s="54">
        <f>P95+P97+P96</f>
        <v>12886</v>
      </c>
      <c r="Q98" s="25"/>
      <c r="R98" s="172"/>
      <c r="S98" s="154"/>
    </row>
    <row r="99" spans="1:19" ht="15.6" x14ac:dyDescent="0.3">
      <c r="A99" s="24"/>
      <c r="B99" s="118" t="s">
        <v>38</v>
      </c>
      <c r="C99" s="25"/>
      <c r="D99" s="25"/>
      <c r="E99" s="25"/>
      <c r="F99" s="25"/>
      <c r="G99" s="25"/>
      <c r="H99" s="25"/>
      <c r="I99" s="25"/>
      <c r="J99" s="25"/>
      <c r="K99" s="25"/>
      <c r="L99" s="25"/>
      <c r="M99" s="25"/>
      <c r="N99" s="34"/>
      <c r="O99" s="25"/>
      <c r="P99" s="53"/>
      <c r="Q99" s="25"/>
      <c r="R99" s="5"/>
    </row>
    <row r="100" spans="1:19" ht="15.6" x14ac:dyDescent="0.3">
      <c r="A100" s="24">
        <v>1</v>
      </c>
      <c r="B100" s="25" t="s">
        <v>39</v>
      </c>
      <c r="C100" s="25"/>
      <c r="D100" s="25"/>
      <c r="E100" s="25"/>
      <c r="F100" s="25"/>
      <c r="G100" s="25"/>
      <c r="H100" s="25"/>
      <c r="I100" s="25"/>
      <c r="J100" s="25"/>
      <c r="K100" s="25"/>
      <c r="L100" s="25"/>
      <c r="M100" s="25"/>
      <c r="N100" s="25"/>
      <c r="O100" s="25"/>
      <c r="P100" s="53">
        <v>0</v>
      </c>
      <c r="Q100" s="25"/>
      <c r="R100" s="5"/>
    </row>
    <row r="101" spans="1:19" ht="15.6" x14ac:dyDescent="0.3">
      <c r="A101" s="24">
        <f>+A100+1</f>
        <v>2</v>
      </c>
      <c r="B101" s="25" t="s">
        <v>40</v>
      </c>
      <c r="C101" s="25"/>
      <c r="D101" s="25"/>
      <c r="E101" s="25"/>
      <c r="F101" s="25"/>
      <c r="G101" s="25"/>
      <c r="H101" s="25"/>
      <c r="I101" s="25"/>
      <c r="J101" s="25"/>
      <c r="K101" s="25"/>
      <c r="L101" s="25"/>
      <c r="M101" s="25"/>
      <c r="N101" s="25"/>
      <c r="O101" s="25"/>
      <c r="P101" s="53">
        <v>-2</v>
      </c>
      <c r="Q101" s="25"/>
      <c r="R101" s="5"/>
    </row>
    <row r="102" spans="1:19" ht="15.6" x14ac:dyDescent="0.3">
      <c r="A102" s="24">
        <f>+A101+1</f>
        <v>3</v>
      </c>
      <c r="B102" s="25" t="s">
        <v>226</v>
      </c>
      <c r="C102" s="25"/>
      <c r="D102" s="25"/>
      <c r="E102" s="25"/>
      <c r="F102" s="25"/>
      <c r="G102" s="25"/>
      <c r="H102" s="25"/>
      <c r="I102" s="25"/>
      <c r="J102" s="25"/>
      <c r="K102" s="25"/>
      <c r="L102" s="25"/>
      <c r="M102" s="25"/>
      <c r="N102" s="25"/>
      <c r="O102" s="25"/>
      <c r="P102" s="53">
        <f>-198-52-15</f>
        <v>-265</v>
      </c>
      <c r="Q102" s="25"/>
      <c r="R102" s="5"/>
    </row>
    <row r="103" spans="1:19" ht="15.6" x14ac:dyDescent="0.3">
      <c r="A103" s="24" t="s">
        <v>151</v>
      </c>
      <c r="B103" s="25" t="s">
        <v>131</v>
      </c>
      <c r="C103" s="25"/>
      <c r="D103" s="25"/>
      <c r="E103" s="25"/>
      <c r="F103" s="25"/>
      <c r="G103" s="25"/>
      <c r="H103" s="25"/>
      <c r="I103" s="25"/>
      <c r="J103" s="25"/>
      <c r="K103" s="25"/>
      <c r="L103" s="25"/>
      <c r="M103" s="25"/>
      <c r="N103" s="25"/>
      <c r="O103" s="25"/>
      <c r="P103" s="53">
        <v>-161</v>
      </c>
      <c r="Q103" s="25"/>
      <c r="R103" s="5"/>
    </row>
    <row r="104" spans="1:19" ht="15.6" x14ac:dyDescent="0.3">
      <c r="A104" s="24" t="s">
        <v>152</v>
      </c>
      <c r="B104" s="25" t="s">
        <v>195</v>
      </c>
      <c r="C104" s="25"/>
      <c r="D104" s="25"/>
      <c r="E104" s="25"/>
      <c r="F104" s="25"/>
      <c r="G104" s="25"/>
      <c r="H104" s="25"/>
      <c r="I104" s="25"/>
      <c r="J104" s="25"/>
      <c r="K104" s="25"/>
      <c r="L104" s="25"/>
      <c r="M104" s="25"/>
      <c r="N104" s="25"/>
      <c r="O104" s="25"/>
      <c r="P104" s="53">
        <v>-2706</v>
      </c>
      <c r="Q104" s="25"/>
      <c r="R104" s="5"/>
      <c r="S104" s="109"/>
    </row>
    <row r="105" spans="1:19" ht="15.6" x14ac:dyDescent="0.3">
      <c r="A105" s="24" t="s">
        <v>217</v>
      </c>
      <c r="B105" s="25" t="s">
        <v>196</v>
      </c>
      <c r="C105" s="25"/>
      <c r="D105" s="25"/>
      <c r="E105" s="25"/>
      <c r="F105" s="25"/>
      <c r="G105" s="25"/>
      <c r="H105" s="25"/>
      <c r="I105" s="25"/>
      <c r="J105" s="25"/>
      <c r="K105" s="25"/>
      <c r="L105" s="25"/>
      <c r="M105" s="25"/>
      <c r="N105" s="25"/>
      <c r="O105" s="25"/>
      <c r="P105" s="53">
        <v>-2308</v>
      </c>
      <c r="Q105" s="25"/>
      <c r="R105" s="5"/>
      <c r="S105" s="109"/>
    </row>
    <row r="106" spans="1:19" ht="15.6" x14ac:dyDescent="0.3">
      <c r="A106" s="24" t="s">
        <v>218</v>
      </c>
      <c r="B106" s="25" t="s">
        <v>197</v>
      </c>
      <c r="C106" s="25"/>
      <c r="D106" s="25"/>
      <c r="E106" s="25"/>
      <c r="F106" s="25"/>
      <c r="G106" s="25"/>
      <c r="H106" s="25"/>
      <c r="I106" s="25"/>
      <c r="J106" s="25"/>
      <c r="K106" s="25"/>
      <c r="L106" s="25"/>
      <c r="M106" s="25"/>
      <c r="N106" s="25"/>
      <c r="O106" s="25"/>
      <c r="P106" s="53">
        <v>-3601</v>
      </c>
      <c r="Q106" s="25"/>
      <c r="R106" s="5"/>
      <c r="S106" s="109"/>
    </row>
    <row r="107" spans="1:19" ht="15.6" x14ac:dyDescent="0.3">
      <c r="A107" s="24" t="s">
        <v>147</v>
      </c>
      <c r="B107" s="25" t="s">
        <v>146</v>
      </c>
      <c r="C107" s="25"/>
      <c r="D107" s="25"/>
      <c r="E107" s="25"/>
      <c r="F107" s="25"/>
      <c r="G107" s="25"/>
      <c r="H107" s="25"/>
      <c r="I107" s="25"/>
      <c r="J107" s="25"/>
      <c r="K107" s="25"/>
      <c r="L107" s="25"/>
      <c r="M107" s="25"/>
      <c r="N107" s="25"/>
      <c r="O107" s="25"/>
      <c r="P107" s="53">
        <v>-643</v>
      </c>
      <c r="Q107" s="25"/>
      <c r="R107" s="5"/>
      <c r="S107" s="109"/>
    </row>
    <row r="108" spans="1:19" ht="15.6" x14ac:dyDescent="0.3">
      <c r="A108" s="24" t="s">
        <v>148</v>
      </c>
      <c r="B108" s="25" t="s">
        <v>198</v>
      </c>
      <c r="C108" s="25"/>
      <c r="D108" s="25"/>
      <c r="E108" s="25"/>
      <c r="F108" s="25"/>
      <c r="G108" s="25"/>
      <c r="H108" s="25"/>
      <c r="I108" s="25"/>
      <c r="J108" s="25"/>
      <c r="K108" s="25"/>
      <c r="L108" s="25"/>
      <c r="M108" s="25"/>
      <c r="N108" s="25"/>
      <c r="O108" s="25"/>
      <c r="P108" s="53">
        <v>-609</v>
      </c>
      <c r="Q108" s="25"/>
      <c r="R108" s="5"/>
      <c r="S108" s="109"/>
    </row>
    <row r="109" spans="1:19" ht="15.6" x14ac:dyDescent="0.3">
      <c r="A109" s="24">
        <v>6</v>
      </c>
      <c r="B109" s="25" t="s">
        <v>41</v>
      </c>
      <c r="C109" s="25"/>
      <c r="D109" s="25"/>
      <c r="E109" s="25"/>
      <c r="F109" s="25"/>
      <c r="G109" s="25"/>
      <c r="H109" s="25"/>
      <c r="I109" s="25"/>
      <c r="J109" s="25"/>
      <c r="K109" s="25"/>
      <c r="L109" s="25"/>
      <c r="M109" s="25"/>
      <c r="N109" s="25"/>
      <c r="O109" s="25"/>
      <c r="P109" s="53">
        <v>-10</v>
      </c>
      <c r="Q109" s="25"/>
      <c r="R109" s="5"/>
    </row>
    <row r="110" spans="1:19" ht="15.6" x14ac:dyDescent="0.3">
      <c r="A110" s="24">
        <f t="shared" ref="A110:A115" si="0">+A109+1</f>
        <v>7</v>
      </c>
      <c r="B110" s="25" t="s">
        <v>53</v>
      </c>
      <c r="C110" s="25"/>
      <c r="D110" s="25"/>
      <c r="E110" s="25"/>
      <c r="F110" s="25"/>
      <c r="G110" s="25"/>
      <c r="H110" s="25"/>
      <c r="I110" s="25"/>
      <c r="J110" s="25"/>
      <c r="K110" s="25"/>
      <c r="L110" s="25"/>
      <c r="M110" s="25"/>
      <c r="N110" s="25"/>
      <c r="O110" s="25"/>
      <c r="P110" s="53">
        <v>0</v>
      </c>
      <c r="Q110" s="25"/>
      <c r="R110" s="5"/>
    </row>
    <row r="111" spans="1:19" ht="15.6" x14ac:dyDescent="0.3">
      <c r="A111" s="24">
        <f t="shared" si="0"/>
        <v>8</v>
      </c>
      <c r="B111" s="25" t="s">
        <v>149</v>
      </c>
      <c r="C111" s="25"/>
      <c r="D111" s="25"/>
      <c r="E111" s="25"/>
      <c r="F111" s="25"/>
      <c r="G111" s="25"/>
      <c r="H111" s="25"/>
      <c r="I111" s="25"/>
      <c r="J111" s="25"/>
      <c r="K111" s="25"/>
      <c r="L111" s="25"/>
      <c r="M111" s="25"/>
      <c r="N111" s="25"/>
      <c r="O111" s="25"/>
      <c r="P111" s="53">
        <v>0</v>
      </c>
      <c r="Q111" s="25"/>
      <c r="R111" s="5"/>
    </row>
    <row r="112" spans="1:19" ht="15.6" x14ac:dyDescent="0.3">
      <c r="A112" s="24">
        <f t="shared" si="0"/>
        <v>9</v>
      </c>
      <c r="B112" s="25" t="s">
        <v>42</v>
      </c>
      <c r="C112" s="25"/>
      <c r="D112" s="25"/>
      <c r="E112" s="25"/>
      <c r="F112" s="25"/>
      <c r="G112" s="25"/>
      <c r="H112" s="25"/>
      <c r="I112" s="25"/>
      <c r="J112" s="25"/>
      <c r="K112" s="25"/>
      <c r="L112" s="25"/>
      <c r="M112" s="25"/>
      <c r="N112" s="25"/>
      <c r="O112" s="25"/>
      <c r="P112" s="53">
        <v>0</v>
      </c>
      <c r="Q112" s="25"/>
      <c r="R112" s="5"/>
    </row>
    <row r="113" spans="1:18" ht="15.6" x14ac:dyDescent="0.3">
      <c r="A113" s="24">
        <f t="shared" si="0"/>
        <v>10</v>
      </c>
      <c r="B113" s="25" t="s">
        <v>43</v>
      </c>
      <c r="C113" s="25"/>
      <c r="D113" s="25"/>
      <c r="E113" s="25"/>
      <c r="F113" s="25"/>
      <c r="G113" s="25"/>
      <c r="H113" s="25"/>
      <c r="I113" s="25"/>
      <c r="J113" s="25"/>
      <c r="K113" s="25"/>
      <c r="L113" s="25"/>
      <c r="M113" s="25"/>
      <c r="N113" s="25"/>
      <c r="O113" s="25"/>
      <c r="P113" s="53">
        <v>0</v>
      </c>
      <c r="Q113" s="25"/>
      <c r="R113" s="5"/>
    </row>
    <row r="114" spans="1:18" ht="15.6" x14ac:dyDescent="0.3">
      <c r="A114" s="24">
        <f t="shared" si="0"/>
        <v>11</v>
      </c>
      <c r="B114" s="25" t="s">
        <v>215</v>
      </c>
      <c r="C114" s="25"/>
      <c r="D114" s="25"/>
      <c r="E114" s="25"/>
      <c r="F114" s="25"/>
      <c r="G114" s="25"/>
      <c r="H114" s="25"/>
      <c r="I114" s="25"/>
      <c r="J114" s="25"/>
      <c r="K114" s="25"/>
      <c r="L114" s="25"/>
      <c r="M114" s="25"/>
      <c r="N114" s="25"/>
      <c r="O114" s="25"/>
      <c r="P114" s="53">
        <v>-402</v>
      </c>
      <c r="Q114" s="25"/>
      <c r="R114" s="5"/>
    </row>
    <row r="115" spans="1:18" ht="15.6" x14ac:dyDescent="0.3">
      <c r="A115" s="24">
        <f t="shared" si="0"/>
        <v>12</v>
      </c>
      <c r="B115" s="25" t="s">
        <v>150</v>
      </c>
      <c r="C115" s="25"/>
      <c r="D115" s="25"/>
      <c r="E115" s="25"/>
      <c r="F115" s="25"/>
      <c r="G115" s="25"/>
      <c r="H115" s="25"/>
      <c r="I115" s="25"/>
      <c r="J115" s="25"/>
      <c r="K115" s="25"/>
      <c r="L115" s="25"/>
      <c r="M115" s="25"/>
      <c r="N115" s="25"/>
      <c r="O115" s="25"/>
      <c r="P115" s="53">
        <f>-P98-SUM(P100:P114)</f>
        <v>-2179</v>
      </c>
      <c r="Q115" s="25"/>
      <c r="R115" s="5"/>
    </row>
    <row r="116" spans="1:18" ht="15.6" x14ac:dyDescent="0.3">
      <c r="A116" s="24"/>
      <c r="B116" s="118" t="s">
        <v>44</v>
      </c>
      <c r="C116" s="25"/>
      <c r="D116" s="25"/>
      <c r="E116" s="25"/>
      <c r="F116" s="25"/>
      <c r="G116" s="25"/>
      <c r="H116" s="25"/>
      <c r="I116" s="25"/>
      <c r="J116" s="25"/>
      <c r="K116" s="25"/>
      <c r="L116" s="25"/>
      <c r="M116" s="25"/>
      <c r="N116" s="25"/>
      <c r="O116" s="25"/>
      <c r="P116" s="59"/>
      <c r="Q116" s="25"/>
      <c r="R116" s="5"/>
    </row>
    <row r="117" spans="1:18" ht="15.6" x14ac:dyDescent="0.3">
      <c r="A117" s="24"/>
      <c r="B117" s="25" t="s">
        <v>45</v>
      </c>
      <c r="C117" s="25"/>
      <c r="D117" s="25"/>
      <c r="E117" s="25"/>
      <c r="F117" s="25"/>
      <c r="G117" s="25"/>
      <c r="H117" s="25"/>
      <c r="I117" s="25"/>
      <c r="J117" s="25"/>
      <c r="K117" s="25"/>
      <c r="L117" s="25"/>
      <c r="M117" s="25"/>
      <c r="N117" s="34">
        <v>-484</v>
      </c>
      <c r="O117" s="34"/>
      <c r="P117" s="53"/>
      <c r="Q117" s="25"/>
      <c r="R117" s="5"/>
    </row>
    <row r="118" spans="1:18" ht="15.6" x14ac:dyDescent="0.3">
      <c r="A118" s="24"/>
      <c r="B118" s="25" t="s">
        <v>46</v>
      </c>
      <c r="C118" s="25"/>
      <c r="D118" s="25"/>
      <c r="E118" s="25"/>
      <c r="F118" s="25"/>
      <c r="G118" s="25"/>
      <c r="H118" s="25"/>
      <c r="I118" s="25"/>
      <c r="J118" s="25"/>
      <c r="K118" s="25"/>
      <c r="L118" s="25"/>
      <c r="M118" s="25"/>
      <c r="N118" s="34">
        <f>-M165</f>
        <v>-4910</v>
      </c>
      <c r="O118" s="34"/>
      <c r="P118" s="53"/>
      <c r="Q118" s="25"/>
      <c r="R118" s="5"/>
    </row>
    <row r="119" spans="1:18" ht="15.6" x14ac:dyDescent="0.3">
      <c r="A119" s="24"/>
      <c r="B119" s="25" t="s">
        <v>199</v>
      </c>
      <c r="C119" s="25"/>
      <c r="D119" s="25"/>
      <c r="E119" s="25"/>
      <c r="F119" s="25"/>
      <c r="G119" s="25"/>
      <c r="H119" s="25"/>
      <c r="I119" s="25"/>
      <c r="J119" s="25"/>
      <c r="K119" s="25"/>
      <c r="L119" s="25"/>
      <c r="M119" s="25"/>
      <c r="N119" s="34">
        <v>-8682</v>
      </c>
      <c r="O119" s="34"/>
      <c r="P119" s="53"/>
      <c r="Q119" s="25"/>
      <c r="R119" s="5"/>
    </row>
    <row r="120" spans="1:18" ht="15.6" x14ac:dyDescent="0.3">
      <c r="A120" s="24"/>
      <c r="B120" s="25" t="s">
        <v>200</v>
      </c>
      <c r="C120" s="25"/>
      <c r="D120" s="25"/>
      <c r="E120" s="25"/>
      <c r="F120" s="25"/>
      <c r="G120" s="25"/>
      <c r="H120" s="25"/>
      <c r="I120" s="25"/>
      <c r="J120" s="25"/>
      <c r="K120" s="25"/>
      <c r="L120" s="25"/>
      <c r="M120" s="25"/>
      <c r="N120" s="34">
        <v>-7552</v>
      </c>
      <c r="O120" s="34"/>
      <c r="P120" s="53"/>
      <c r="Q120" s="25"/>
      <c r="R120" s="5"/>
    </row>
    <row r="121" spans="1:18" ht="15.6" x14ac:dyDescent="0.3">
      <c r="A121" s="24"/>
      <c r="B121" s="25" t="s">
        <v>201</v>
      </c>
      <c r="C121" s="25"/>
      <c r="D121" s="25"/>
      <c r="E121" s="25"/>
      <c r="F121" s="25"/>
      <c r="G121" s="25"/>
      <c r="H121" s="25"/>
      <c r="I121" s="25"/>
      <c r="J121" s="25"/>
      <c r="K121" s="25"/>
      <c r="L121" s="25"/>
      <c r="M121" s="25"/>
      <c r="N121" s="34">
        <v>-11583</v>
      </c>
      <c r="O121" s="34"/>
      <c r="P121" s="53"/>
      <c r="Q121" s="25"/>
      <c r="R121" s="5"/>
    </row>
    <row r="122" spans="1:18" ht="15.6" x14ac:dyDescent="0.3">
      <c r="A122" s="24"/>
      <c r="B122" s="25" t="s">
        <v>159</v>
      </c>
      <c r="C122" s="25"/>
      <c r="D122" s="25"/>
      <c r="E122" s="25"/>
      <c r="F122" s="25"/>
      <c r="G122" s="25"/>
      <c r="H122" s="25"/>
      <c r="I122" s="25"/>
      <c r="J122" s="25"/>
      <c r="K122" s="25"/>
      <c r="L122" s="25"/>
      <c r="M122" s="25"/>
      <c r="N122" s="34">
        <v>0</v>
      </c>
      <c r="O122" s="34"/>
      <c r="P122" s="53"/>
      <c r="Q122" s="25"/>
      <c r="R122" s="5"/>
    </row>
    <row r="123" spans="1:18" ht="15.6" x14ac:dyDescent="0.3">
      <c r="A123" s="24"/>
      <c r="B123" s="25" t="s">
        <v>214</v>
      </c>
      <c r="C123" s="25"/>
      <c r="D123" s="25"/>
      <c r="E123" s="25"/>
      <c r="F123" s="25"/>
      <c r="G123" s="25"/>
      <c r="H123" s="25"/>
      <c r="I123" s="25"/>
      <c r="J123" s="25"/>
      <c r="K123" s="25"/>
      <c r="L123" s="25"/>
      <c r="M123" s="25"/>
      <c r="N123" s="34">
        <v>0</v>
      </c>
      <c r="O123" s="34"/>
      <c r="P123" s="53"/>
      <c r="Q123" s="25"/>
      <c r="R123" s="5"/>
    </row>
    <row r="124" spans="1:18" ht="15.6" x14ac:dyDescent="0.3">
      <c r="A124" s="24"/>
      <c r="B124" s="25" t="s">
        <v>47</v>
      </c>
      <c r="C124" s="25"/>
      <c r="D124" s="25"/>
      <c r="E124" s="25"/>
      <c r="F124" s="25"/>
      <c r="G124" s="25"/>
      <c r="H124" s="25"/>
      <c r="I124" s="25"/>
      <c r="J124" s="25"/>
      <c r="K124" s="25"/>
      <c r="L124" s="25"/>
      <c r="M124" s="25"/>
      <c r="N124" s="34">
        <f>SUM(N117:N123)</f>
        <v>-33211</v>
      </c>
      <c r="O124" s="34"/>
      <c r="P124" s="34">
        <f>SUM(P99:P123)</f>
        <v>-12886</v>
      </c>
      <c r="Q124" s="25"/>
      <c r="R124" s="5"/>
    </row>
    <row r="125" spans="1:18" ht="15.6" x14ac:dyDescent="0.3">
      <c r="A125" s="24"/>
      <c r="B125" s="25" t="s">
        <v>48</v>
      </c>
      <c r="C125" s="25"/>
      <c r="D125" s="25"/>
      <c r="E125" s="25"/>
      <c r="F125" s="25"/>
      <c r="G125" s="25"/>
      <c r="H125" s="25"/>
      <c r="I125" s="25"/>
      <c r="J125" s="25"/>
      <c r="K125" s="25"/>
      <c r="L125" s="25"/>
      <c r="M125" s="25"/>
      <c r="N125" s="34">
        <f>N98+N124</f>
        <v>0</v>
      </c>
      <c r="O125" s="34"/>
      <c r="P125" s="34">
        <f>P98+P124</f>
        <v>0</v>
      </c>
      <c r="Q125" s="25"/>
      <c r="R125" s="5"/>
    </row>
    <row r="126" spans="1:18" ht="15.6" x14ac:dyDescent="0.3">
      <c r="A126" s="24"/>
      <c r="B126" s="25"/>
      <c r="C126" s="25"/>
      <c r="D126" s="25"/>
      <c r="E126" s="25"/>
      <c r="F126" s="25"/>
      <c r="G126" s="25"/>
      <c r="H126" s="25"/>
      <c r="I126" s="25"/>
      <c r="J126" s="25"/>
      <c r="K126" s="25"/>
      <c r="L126" s="25"/>
      <c r="M126" s="25"/>
      <c r="N126" s="34"/>
      <c r="O126" s="34"/>
      <c r="P126" s="34"/>
      <c r="Q126" s="25"/>
      <c r="R126" s="5"/>
    </row>
    <row r="127" spans="1:18" ht="15.6" x14ac:dyDescent="0.3">
      <c r="A127" s="6"/>
      <c r="B127" s="146"/>
      <c r="C127" s="146"/>
      <c r="D127" s="146"/>
      <c r="E127" s="146"/>
      <c r="F127" s="146"/>
      <c r="G127" s="146"/>
      <c r="H127" s="146"/>
      <c r="I127" s="146"/>
      <c r="J127" s="146"/>
      <c r="K127" s="146"/>
      <c r="L127" s="146"/>
      <c r="M127" s="146"/>
      <c r="N127" s="147"/>
      <c r="O127" s="147"/>
      <c r="P127" s="147"/>
      <c r="Q127" s="146"/>
      <c r="R127" s="5"/>
    </row>
    <row r="128" spans="1:18" ht="18" thickBot="1" x14ac:dyDescent="0.35">
      <c r="A128" s="101"/>
      <c r="B128" s="102" t="str">
        <f>B65</f>
        <v>PM7 INVESTOR REPORT QUARTER ENDING OCTOBER 2005</v>
      </c>
      <c r="C128" s="103"/>
      <c r="D128" s="103"/>
      <c r="E128" s="103"/>
      <c r="F128" s="103"/>
      <c r="G128" s="103"/>
      <c r="H128" s="103"/>
      <c r="I128" s="103"/>
      <c r="J128" s="103"/>
      <c r="K128" s="103"/>
      <c r="L128" s="103"/>
      <c r="M128" s="103"/>
      <c r="N128" s="103"/>
      <c r="O128" s="103"/>
      <c r="P128" s="106"/>
      <c r="Q128" s="105"/>
      <c r="R128" s="5"/>
    </row>
    <row r="129" spans="1:19" ht="15.6" x14ac:dyDescent="0.3">
      <c r="A129" s="2"/>
      <c r="B129" s="60" t="s">
        <v>49</v>
      </c>
      <c r="C129" s="4"/>
      <c r="D129" s="4"/>
      <c r="E129" s="4"/>
      <c r="F129" s="4"/>
      <c r="G129" s="4"/>
      <c r="H129" s="4"/>
      <c r="I129" s="4"/>
      <c r="J129" s="4"/>
      <c r="K129" s="4"/>
      <c r="L129" s="4"/>
      <c r="M129" s="4"/>
      <c r="N129" s="4"/>
      <c r="O129" s="4"/>
      <c r="P129" s="50"/>
      <c r="Q129" s="4"/>
      <c r="R129" s="5"/>
    </row>
    <row r="130" spans="1:19" ht="15.6" x14ac:dyDescent="0.3">
      <c r="A130" s="6"/>
      <c r="B130" s="21"/>
      <c r="C130" s="8"/>
      <c r="D130" s="8"/>
      <c r="E130" s="8"/>
      <c r="F130" s="8"/>
      <c r="G130" s="8"/>
      <c r="H130" s="8"/>
      <c r="I130" s="8"/>
      <c r="J130" s="8"/>
      <c r="K130" s="8"/>
      <c r="L130" s="8"/>
      <c r="M130" s="8"/>
      <c r="N130" s="8"/>
      <c r="O130" s="8"/>
      <c r="P130" s="52"/>
      <c r="Q130" s="8"/>
      <c r="R130" s="5"/>
    </row>
    <row r="131" spans="1:19" ht="15.6" x14ac:dyDescent="0.3">
      <c r="A131" s="6"/>
      <c r="B131" s="119" t="s">
        <v>50</v>
      </c>
      <c r="C131" s="8"/>
      <c r="D131" s="8"/>
      <c r="E131" s="8"/>
      <c r="F131" s="8"/>
      <c r="G131" s="8"/>
      <c r="H131" s="8"/>
      <c r="I131" s="8"/>
      <c r="J131" s="8"/>
      <c r="K131" s="8"/>
      <c r="L131" s="8"/>
      <c r="M131" s="8"/>
      <c r="N131" s="8"/>
      <c r="O131" s="8"/>
      <c r="P131" s="52"/>
      <c r="Q131" s="8"/>
      <c r="R131" s="5"/>
    </row>
    <row r="132" spans="1:19" ht="15.6" x14ac:dyDescent="0.3">
      <c r="A132" s="24"/>
      <c r="B132" s="25" t="s">
        <v>51</v>
      </c>
      <c r="C132" s="25"/>
      <c r="D132" s="25"/>
      <c r="E132" s="25"/>
      <c r="F132" s="25"/>
      <c r="G132" s="25"/>
      <c r="H132" s="25"/>
      <c r="I132" s="25"/>
      <c r="J132" s="25"/>
      <c r="K132" s="25"/>
      <c r="L132" s="25"/>
      <c r="M132" s="25"/>
      <c r="N132" s="25"/>
      <c r="O132" s="25"/>
      <c r="P132" s="53">
        <f>+P36*0.022</f>
        <v>19815.399999999998</v>
      </c>
      <c r="Q132" s="25"/>
      <c r="R132" s="5"/>
    </row>
    <row r="133" spans="1:19" ht="15.6" x14ac:dyDescent="0.3">
      <c r="A133" s="24"/>
      <c r="B133" s="25" t="s">
        <v>52</v>
      </c>
      <c r="C133" s="25"/>
      <c r="D133" s="25"/>
      <c r="E133" s="25"/>
      <c r="F133" s="25"/>
      <c r="G133" s="25"/>
      <c r="H133" s="25"/>
      <c r="I133" s="25"/>
      <c r="J133" s="25"/>
      <c r="K133" s="25"/>
      <c r="L133" s="25"/>
      <c r="M133" s="25"/>
      <c r="N133" s="25"/>
      <c r="O133" s="25"/>
      <c r="P133" s="53">
        <v>19815</v>
      </c>
      <c r="Q133" s="25"/>
      <c r="R133" s="5"/>
    </row>
    <row r="134" spans="1:19" ht="15.6" x14ac:dyDescent="0.3">
      <c r="A134" s="24"/>
      <c r="B134" s="25" t="s">
        <v>161</v>
      </c>
      <c r="C134" s="25"/>
      <c r="D134" s="25"/>
      <c r="E134" s="25"/>
      <c r="F134" s="25"/>
      <c r="G134" s="25"/>
      <c r="H134" s="25"/>
      <c r="I134" s="25"/>
      <c r="J134" s="25"/>
      <c r="K134" s="25"/>
      <c r="L134" s="25"/>
      <c r="M134" s="25"/>
      <c r="N134" s="25"/>
      <c r="O134" s="25"/>
      <c r="P134" s="53">
        <v>0</v>
      </c>
      <c r="Q134" s="25"/>
      <c r="R134" s="5"/>
    </row>
    <row r="135" spans="1:19" ht="15.6" x14ac:dyDescent="0.3">
      <c r="A135" s="24"/>
      <c r="B135" s="25" t="s">
        <v>144</v>
      </c>
      <c r="C135" s="25"/>
      <c r="D135" s="25"/>
      <c r="E135" s="25"/>
      <c r="F135" s="25"/>
      <c r="G135" s="25"/>
      <c r="H135" s="25"/>
      <c r="I135" s="25"/>
      <c r="J135" s="25"/>
      <c r="K135" s="25"/>
      <c r="L135" s="25"/>
      <c r="M135" s="25"/>
      <c r="N135" s="25"/>
      <c r="O135" s="25"/>
      <c r="P135" s="53">
        <v>0</v>
      </c>
      <c r="Q135" s="25"/>
      <c r="R135" s="5"/>
    </row>
    <row r="136" spans="1:19" ht="15.6" x14ac:dyDescent="0.3">
      <c r="A136" s="24"/>
      <c r="B136" s="25" t="s">
        <v>145</v>
      </c>
      <c r="C136" s="25"/>
      <c r="D136" s="25"/>
      <c r="E136" s="25"/>
      <c r="F136" s="25"/>
      <c r="G136" s="25"/>
      <c r="H136" s="25"/>
      <c r="I136" s="25"/>
      <c r="J136" s="25"/>
      <c r="K136" s="25"/>
      <c r="L136" s="25"/>
      <c r="M136" s="25"/>
      <c r="N136" s="25"/>
      <c r="O136" s="25"/>
      <c r="P136" s="53">
        <v>0</v>
      </c>
      <c r="Q136" s="25"/>
      <c r="R136" s="5"/>
    </row>
    <row r="137" spans="1:19" ht="15.6" x14ac:dyDescent="0.3">
      <c r="A137" s="24"/>
      <c r="B137" s="25" t="s">
        <v>53</v>
      </c>
      <c r="C137" s="25"/>
      <c r="D137" s="25"/>
      <c r="E137" s="25"/>
      <c r="F137" s="25"/>
      <c r="G137" s="25"/>
      <c r="H137" s="25"/>
      <c r="I137" s="25"/>
      <c r="J137" s="25"/>
      <c r="K137" s="25"/>
      <c r="L137" s="25"/>
      <c r="M137" s="25"/>
      <c r="N137" s="25"/>
      <c r="O137" s="25"/>
      <c r="P137" s="53">
        <v>0</v>
      </c>
      <c r="Q137" s="25"/>
      <c r="R137" s="5"/>
    </row>
    <row r="138" spans="1:19" ht="15.6" x14ac:dyDescent="0.3">
      <c r="A138" s="24"/>
      <c r="B138" s="25" t="s">
        <v>153</v>
      </c>
      <c r="C138" s="25"/>
      <c r="D138" s="25"/>
      <c r="E138" s="25"/>
      <c r="F138" s="25"/>
      <c r="G138" s="25"/>
      <c r="H138" s="25"/>
      <c r="I138" s="25"/>
      <c r="J138" s="25"/>
      <c r="K138" s="25"/>
      <c r="L138" s="25"/>
      <c r="M138" s="25"/>
      <c r="N138" s="25"/>
      <c r="O138" s="25"/>
      <c r="P138" s="53">
        <v>0</v>
      </c>
      <c r="Q138" s="25"/>
      <c r="R138" s="5"/>
    </row>
    <row r="139" spans="1:19" ht="15.6" x14ac:dyDescent="0.3">
      <c r="A139" s="24"/>
      <c r="B139" s="25" t="s">
        <v>202</v>
      </c>
      <c r="C139" s="25"/>
      <c r="D139" s="25"/>
      <c r="E139" s="25"/>
      <c r="F139" s="25"/>
      <c r="G139" s="25"/>
      <c r="H139" s="25"/>
      <c r="I139" s="25"/>
      <c r="J139" s="25"/>
      <c r="K139" s="25"/>
      <c r="L139" s="25"/>
      <c r="M139" s="25"/>
      <c r="N139" s="25"/>
      <c r="O139" s="25"/>
      <c r="P139" s="53">
        <v>0</v>
      </c>
      <c r="Q139" s="25"/>
      <c r="R139" s="5"/>
      <c r="S139" s="109"/>
    </row>
    <row r="140" spans="1:19" ht="15.6" x14ac:dyDescent="0.3">
      <c r="A140" s="24"/>
      <c r="B140" s="25" t="s">
        <v>54</v>
      </c>
      <c r="C140" s="25"/>
      <c r="D140" s="25"/>
      <c r="E140" s="25"/>
      <c r="F140" s="25"/>
      <c r="G140" s="25"/>
      <c r="H140" s="25"/>
      <c r="I140" s="25"/>
      <c r="J140" s="25"/>
      <c r="K140" s="25"/>
      <c r="L140" s="25"/>
      <c r="M140" s="25"/>
      <c r="N140" s="25"/>
      <c r="O140" s="25"/>
      <c r="P140" s="53">
        <f>SUM(P133:P139)</f>
        <v>19815</v>
      </c>
      <c r="Q140" s="25"/>
      <c r="R140" s="5"/>
    </row>
    <row r="141" spans="1:19" ht="15.6" x14ac:dyDescent="0.3">
      <c r="A141" s="24"/>
      <c r="B141" s="25"/>
      <c r="C141" s="25"/>
      <c r="D141" s="25"/>
      <c r="E141" s="25"/>
      <c r="F141" s="25"/>
      <c r="G141" s="25"/>
      <c r="H141" s="25"/>
      <c r="I141" s="25"/>
      <c r="J141" s="25"/>
      <c r="K141" s="25"/>
      <c r="L141" s="25"/>
      <c r="M141" s="25"/>
      <c r="N141" s="25"/>
      <c r="O141" s="25"/>
      <c r="P141" s="61"/>
      <c r="Q141" s="25"/>
      <c r="R141" s="5"/>
    </row>
    <row r="142" spans="1:19" ht="15.6" x14ac:dyDescent="0.3">
      <c r="A142" s="6"/>
      <c r="B142" s="119" t="s">
        <v>28</v>
      </c>
      <c r="C142" s="8"/>
      <c r="D142" s="8"/>
      <c r="E142" s="8"/>
      <c r="F142" s="8"/>
      <c r="G142" s="8"/>
      <c r="H142" s="8"/>
      <c r="I142" s="8"/>
      <c r="J142" s="8"/>
      <c r="K142" s="8"/>
      <c r="L142" s="8"/>
      <c r="M142" s="8"/>
      <c r="N142" s="8"/>
      <c r="O142" s="8"/>
      <c r="P142" s="52"/>
      <c r="Q142" s="8"/>
      <c r="R142" s="5"/>
    </row>
    <row r="143" spans="1:19" ht="15.6" x14ac:dyDescent="0.3">
      <c r="A143" s="24"/>
      <c r="B143" s="25" t="s">
        <v>55</v>
      </c>
      <c r="C143" s="25"/>
      <c r="D143" s="25"/>
      <c r="E143" s="25"/>
      <c r="F143" s="25"/>
      <c r="G143" s="25"/>
      <c r="H143" s="25"/>
      <c r="I143" s="25"/>
      <c r="J143" s="25"/>
      <c r="K143" s="25"/>
      <c r="L143" s="25"/>
      <c r="M143" s="25"/>
      <c r="N143" s="25"/>
      <c r="O143" s="25"/>
      <c r="P143" s="59" t="s">
        <v>137</v>
      </c>
      <c r="Q143" s="25"/>
      <c r="R143" s="5"/>
    </row>
    <row r="144" spans="1:19" ht="15.6" x14ac:dyDescent="0.3">
      <c r="A144" s="24"/>
      <c r="B144" s="25" t="s">
        <v>56</v>
      </c>
      <c r="C144" s="141"/>
      <c r="D144" s="141"/>
      <c r="E144" s="141"/>
      <c r="F144" s="141"/>
      <c r="G144" s="141"/>
      <c r="H144" s="141"/>
      <c r="I144" s="141"/>
      <c r="J144" s="141"/>
      <c r="K144" s="141"/>
      <c r="L144" s="141"/>
      <c r="M144" s="141"/>
      <c r="N144" s="141"/>
      <c r="O144" s="141"/>
      <c r="P144" s="59" t="s">
        <v>137</v>
      </c>
      <c r="Q144" s="25"/>
      <c r="R144" s="5"/>
    </row>
    <row r="145" spans="1:18" ht="15.6" x14ac:dyDescent="0.3">
      <c r="A145" s="24"/>
      <c r="B145" s="25" t="s">
        <v>57</v>
      </c>
      <c r="C145" s="25"/>
      <c r="D145" s="25"/>
      <c r="E145" s="25"/>
      <c r="F145" s="25"/>
      <c r="G145" s="25"/>
      <c r="H145" s="25"/>
      <c r="I145" s="25"/>
      <c r="J145" s="25"/>
      <c r="K145" s="25"/>
      <c r="L145" s="25"/>
      <c r="M145" s="25"/>
      <c r="N145" s="25"/>
      <c r="O145" s="25"/>
      <c r="P145" s="59" t="s">
        <v>137</v>
      </c>
      <c r="Q145" s="25"/>
      <c r="R145" s="5"/>
    </row>
    <row r="146" spans="1:18" ht="15.6" x14ac:dyDescent="0.3">
      <c r="A146" s="24"/>
      <c r="B146" s="25" t="s">
        <v>58</v>
      </c>
      <c r="C146" s="25"/>
      <c r="D146" s="25"/>
      <c r="E146" s="25"/>
      <c r="F146" s="25"/>
      <c r="G146" s="25"/>
      <c r="H146" s="25"/>
      <c r="I146" s="25"/>
      <c r="J146" s="25"/>
      <c r="K146" s="25"/>
      <c r="L146" s="25"/>
      <c r="M146" s="25"/>
      <c r="N146" s="25"/>
      <c r="O146" s="25"/>
      <c r="P146" s="59" t="s">
        <v>137</v>
      </c>
      <c r="Q146" s="25"/>
      <c r="R146" s="5"/>
    </row>
    <row r="147" spans="1:18" ht="15.6" x14ac:dyDescent="0.3">
      <c r="A147" s="24"/>
      <c r="B147" s="25"/>
      <c r="C147" s="25"/>
      <c r="D147" s="25"/>
      <c r="E147" s="25"/>
      <c r="F147" s="25"/>
      <c r="G147" s="25"/>
      <c r="H147" s="25"/>
      <c r="I147" s="25"/>
      <c r="J147" s="25"/>
      <c r="K147" s="25"/>
      <c r="L147" s="25"/>
      <c r="M147" s="25"/>
      <c r="N147" s="25"/>
      <c r="O147" s="25"/>
      <c r="P147" s="61"/>
      <c r="Q147" s="25"/>
      <c r="R147" s="5"/>
    </row>
    <row r="148" spans="1:18" ht="15.6" x14ac:dyDescent="0.3">
      <c r="A148" s="6"/>
      <c r="B148" s="119" t="s">
        <v>59</v>
      </c>
      <c r="C148" s="8"/>
      <c r="D148" s="8"/>
      <c r="E148" s="8"/>
      <c r="F148" s="8"/>
      <c r="G148" s="8"/>
      <c r="H148" s="8"/>
      <c r="I148" s="8"/>
      <c r="J148" s="8"/>
      <c r="K148" s="8"/>
      <c r="L148" s="8"/>
      <c r="M148" s="8"/>
      <c r="N148" s="8"/>
      <c r="O148" s="8"/>
      <c r="P148" s="63"/>
      <c r="Q148" s="8"/>
      <c r="R148" s="5"/>
    </row>
    <row r="149" spans="1:18" ht="15.6" x14ac:dyDescent="0.3">
      <c r="A149" s="24"/>
      <c r="B149" s="25" t="s">
        <v>60</v>
      </c>
      <c r="C149" s="25"/>
      <c r="D149" s="25"/>
      <c r="E149" s="25"/>
      <c r="F149" s="25"/>
      <c r="G149" s="25"/>
      <c r="H149" s="25"/>
      <c r="I149" s="25"/>
      <c r="J149" s="25"/>
      <c r="K149" s="25"/>
      <c r="L149" s="25"/>
      <c r="M149" s="25"/>
      <c r="N149" s="25"/>
      <c r="O149" s="25"/>
      <c r="P149" s="53">
        <v>0</v>
      </c>
      <c r="Q149" s="25"/>
      <c r="R149" s="5"/>
    </row>
    <row r="150" spans="1:18" ht="15.6" x14ac:dyDescent="0.3">
      <c r="A150" s="24"/>
      <c r="B150" s="25" t="s">
        <v>61</v>
      </c>
      <c r="C150" s="25"/>
      <c r="D150" s="25"/>
      <c r="E150" s="25"/>
      <c r="F150" s="25"/>
      <c r="G150" s="25"/>
      <c r="H150" s="25"/>
      <c r="I150" s="25"/>
      <c r="J150" s="25"/>
      <c r="K150" s="25"/>
      <c r="L150" s="25"/>
      <c r="M150" s="25"/>
      <c r="N150" s="25"/>
      <c r="O150" s="25"/>
      <c r="P150" s="53">
        <v>0</v>
      </c>
      <c r="Q150" s="25"/>
      <c r="R150" s="5"/>
    </row>
    <row r="151" spans="1:18" ht="15.6" x14ac:dyDescent="0.3">
      <c r="A151" s="24"/>
      <c r="B151" s="25" t="s">
        <v>62</v>
      </c>
      <c r="C151" s="25"/>
      <c r="D151" s="25"/>
      <c r="E151" s="25"/>
      <c r="F151" s="25"/>
      <c r="G151" s="25"/>
      <c r="H151" s="25"/>
      <c r="I151" s="25"/>
      <c r="J151" s="25"/>
      <c r="K151" s="25"/>
      <c r="L151" s="25"/>
      <c r="M151" s="25"/>
      <c r="N151" s="25"/>
      <c r="O151" s="25"/>
      <c r="P151" s="53">
        <f>P150+P149</f>
        <v>0</v>
      </c>
      <c r="Q151" s="25"/>
      <c r="R151" s="5"/>
    </row>
    <row r="152" spans="1:18" ht="15.6" x14ac:dyDescent="0.3">
      <c r="A152" s="24"/>
      <c r="B152" s="403" t="s">
        <v>297</v>
      </c>
      <c r="C152" s="25"/>
      <c r="D152" s="25"/>
      <c r="E152" s="25"/>
      <c r="F152" s="25"/>
      <c r="G152" s="25"/>
      <c r="H152" s="25"/>
      <c r="I152" s="25"/>
      <c r="J152" s="25"/>
      <c r="K152" s="25"/>
      <c r="L152" s="25"/>
      <c r="M152" s="25"/>
      <c r="N152" s="25"/>
      <c r="O152" s="25"/>
      <c r="P152" s="53">
        <f>P111</f>
        <v>0</v>
      </c>
      <c r="Q152" s="25"/>
      <c r="R152" s="5"/>
    </row>
    <row r="153" spans="1:18" ht="15.6" x14ac:dyDescent="0.3">
      <c r="A153" s="24"/>
      <c r="B153" s="25" t="s">
        <v>63</v>
      </c>
      <c r="C153" s="25"/>
      <c r="D153" s="25"/>
      <c r="E153" s="25"/>
      <c r="F153" s="25"/>
      <c r="G153" s="25"/>
      <c r="H153" s="25"/>
      <c r="I153" s="25"/>
      <c r="J153" s="25"/>
      <c r="K153" s="25"/>
      <c r="L153" s="25"/>
      <c r="M153" s="25"/>
      <c r="N153" s="25"/>
      <c r="O153" s="25"/>
      <c r="P153" s="53">
        <f>P151+P152</f>
        <v>0</v>
      </c>
      <c r="Q153" s="25"/>
      <c r="R153" s="5"/>
    </row>
    <row r="154" spans="1:18" ht="16.2" thickBot="1" x14ac:dyDescent="0.35">
      <c r="A154" s="24"/>
      <c r="B154" s="25"/>
      <c r="C154" s="25"/>
      <c r="D154" s="25"/>
      <c r="E154" s="25"/>
      <c r="F154" s="25"/>
      <c r="G154" s="25"/>
      <c r="H154" s="25"/>
      <c r="I154" s="25"/>
      <c r="J154" s="25"/>
      <c r="K154" s="25"/>
      <c r="L154" s="25"/>
      <c r="M154" s="25"/>
      <c r="N154" s="25"/>
      <c r="O154" s="25"/>
      <c r="P154" s="61"/>
      <c r="Q154" s="25"/>
      <c r="R154" s="5"/>
    </row>
    <row r="155" spans="1:18" ht="15.6" x14ac:dyDescent="0.3">
      <c r="A155" s="2"/>
      <c r="B155" s="4"/>
      <c r="C155" s="4"/>
      <c r="D155" s="4"/>
      <c r="E155" s="4"/>
      <c r="F155" s="4"/>
      <c r="G155" s="4"/>
      <c r="H155" s="4"/>
      <c r="I155" s="4"/>
      <c r="J155" s="4"/>
      <c r="K155" s="4"/>
      <c r="L155" s="4"/>
      <c r="M155" s="4"/>
      <c r="N155" s="4"/>
      <c r="O155" s="4"/>
      <c r="P155" s="50"/>
      <c r="Q155" s="4"/>
      <c r="R155" s="5"/>
    </row>
    <row r="156" spans="1:18" ht="15.6" x14ac:dyDescent="0.3">
      <c r="A156" s="6"/>
      <c r="B156" s="119" t="s">
        <v>64</v>
      </c>
      <c r="C156" s="8"/>
      <c r="D156" s="8"/>
      <c r="E156" s="8"/>
      <c r="F156" s="8"/>
      <c r="G156" s="8"/>
      <c r="H156" s="8"/>
      <c r="I156" s="8"/>
      <c r="J156" s="8"/>
      <c r="K156" s="8"/>
      <c r="L156" s="8"/>
      <c r="M156" s="8"/>
      <c r="N156" s="8"/>
      <c r="O156" s="8"/>
      <c r="P156" s="52"/>
      <c r="Q156" s="8"/>
      <c r="R156" s="5"/>
    </row>
    <row r="157" spans="1:18" ht="15.6" x14ac:dyDescent="0.3">
      <c r="A157" s="6"/>
      <c r="B157" s="21"/>
      <c r="C157" s="8"/>
      <c r="D157" s="8"/>
      <c r="E157" s="8"/>
      <c r="F157" s="8"/>
      <c r="G157" s="8"/>
      <c r="H157" s="8"/>
      <c r="I157" s="8"/>
      <c r="J157" s="8"/>
      <c r="K157" s="8"/>
      <c r="L157" s="8"/>
      <c r="M157" s="8"/>
      <c r="N157" s="8"/>
      <c r="O157" s="8"/>
      <c r="P157" s="52"/>
      <c r="Q157" s="8"/>
      <c r="R157" s="5"/>
    </row>
    <row r="158" spans="1:18" ht="15.6" x14ac:dyDescent="0.3">
      <c r="A158" s="24"/>
      <c r="B158" s="25" t="s">
        <v>221</v>
      </c>
      <c r="C158" s="25"/>
      <c r="D158" s="25"/>
      <c r="E158" s="25"/>
      <c r="F158" s="25"/>
      <c r="G158" s="25"/>
      <c r="H158" s="25"/>
      <c r="I158" s="25"/>
      <c r="J158" s="25"/>
      <c r="K158" s="25"/>
      <c r="L158" s="25"/>
      <c r="M158" s="25"/>
      <c r="N158" s="25"/>
      <c r="O158" s="25"/>
      <c r="P158" s="53">
        <f>P73</f>
        <v>765678</v>
      </c>
      <c r="Q158" s="25"/>
      <c r="R158" s="5"/>
    </row>
    <row r="159" spans="1:18" ht="15.6" x14ac:dyDescent="0.3">
      <c r="A159" s="24"/>
      <c r="B159" s="25" t="s">
        <v>65</v>
      </c>
      <c r="C159" s="25"/>
      <c r="D159" s="25"/>
      <c r="E159" s="25"/>
      <c r="F159" s="25"/>
      <c r="G159" s="25"/>
      <c r="H159" s="25"/>
      <c r="I159" s="25"/>
      <c r="J159" s="25"/>
      <c r="K159" s="25"/>
      <c r="L159" s="25"/>
      <c r="M159" s="25"/>
      <c r="N159" s="25"/>
      <c r="O159" s="25"/>
      <c r="P159" s="53">
        <f>P86</f>
        <v>765678</v>
      </c>
      <c r="Q159" s="25"/>
      <c r="R159" s="5"/>
    </row>
    <row r="160" spans="1:18" ht="16.2" thickBot="1" x14ac:dyDescent="0.35">
      <c r="A160" s="24"/>
      <c r="B160" s="25"/>
      <c r="C160" s="25"/>
      <c r="D160" s="25"/>
      <c r="E160" s="25"/>
      <c r="F160" s="25"/>
      <c r="G160" s="25"/>
      <c r="H160" s="25"/>
      <c r="I160" s="25"/>
      <c r="J160" s="25"/>
      <c r="K160" s="25"/>
      <c r="L160" s="25"/>
      <c r="M160" s="25"/>
      <c r="N160" s="25"/>
      <c r="O160" s="25"/>
      <c r="P160" s="61"/>
      <c r="Q160" s="25"/>
      <c r="R160" s="5"/>
    </row>
    <row r="161" spans="1:18" ht="15.6" x14ac:dyDescent="0.3">
      <c r="A161" s="2"/>
      <c r="B161" s="4"/>
      <c r="C161" s="4"/>
      <c r="D161" s="4"/>
      <c r="E161" s="4"/>
      <c r="F161" s="4"/>
      <c r="G161" s="4"/>
      <c r="H161" s="4"/>
      <c r="I161" s="4"/>
      <c r="J161" s="4"/>
      <c r="K161" s="4"/>
      <c r="L161" s="4"/>
      <c r="M161" s="4"/>
      <c r="N161" s="4"/>
      <c r="O161" s="4"/>
      <c r="P161" s="50"/>
      <c r="Q161" s="4"/>
      <c r="R161" s="5"/>
    </row>
    <row r="162" spans="1:18" ht="15.6" x14ac:dyDescent="0.3">
      <c r="A162" s="6"/>
      <c r="B162" s="119" t="s">
        <v>66</v>
      </c>
      <c r="C162" s="117"/>
      <c r="D162" s="117"/>
      <c r="E162" s="117"/>
      <c r="F162" s="120"/>
      <c r="G162" s="120"/>
      <c r="H162" s="120"/>
      <c r="I162" s="120"/>
      <c r="J162" s="120"/>
      <c r="K162" s="120"/>
      <c r="L162" s="120"/>
      <c r="M162" s="120" t="s">
        <v>112</v>
      </c>
      <c r="N162" s="120" t="s">
        <v>120</v>
      </c>
      <c r="O162" s="111"/>
      <c r="P162" s="121" t="s">
        <v>129</v>
      </c>
      <c r="Q162" s="10"/>
      <c r="R162" s="5"/>
    </row>
    <row r="163" spans="1:18" ht="15.6" x14ac:dyDescent="0.3">
      <c r="A163" s="24"/>
      <c r="B163" s="25" t="s">
        <v>67</v>
      </c>
      <c r="C163" s="25"/>
      <c r="D163" s="25"/>
      <c r="E163" s="25"/>
      <c r="F163" s="25"/>
      <c r="G163" s="25"/>
      <c r="H163" s="25"/>
      <c r="I163" s="25"/>
      <c r="J163" s="25"/>
      <c r="K163" s="25"/>
      <c r="L163" s="25"/>
      <c r="M163" s="53">
        <v>144000</v>
      </c>
      <c r="N163" s="40">
        <v>0</v>
      </c>
      <c r="O163" s="25"/>
      <c r="P163" s="53"/>
      <c r="Q163" s="25"/>
      <c r="R163" s="5"/>
    </row>
    <row r="164" spans="1:18" ht="15.6" x14ac:dyDescent="0.3">
      <c r="A164" s="24"/>
      <c r="B164" s="25" t="s">
        <v>68</v>
      </c>
      <c r="C164" s="25"/>
      <c r="D164" s="25"/>
      <c r="E164" s="25"/>
      <c r="F164" s="25"/>
      <c r="G164" s="25"/>
      <c r="H164" s="25"/>
      <c r="I164" s="25"/>
      <c r="J164" s="25"/>
      <c r="K164" s="25"/>
      <c r="L164" s="25"/>
      <c r="M164" s="53">
        <f>+'July 05'!M166</f>
        <v>32228</v>
      </c>
      <c r="N164" s="53">
        <f>'July 05'!N166</f>
        <v>8056</v>
      </c>
      <c r="O164" s="25"/>
      <c r="P164" s="53">
        <f>M164+N164</f>
        <v>40284</v>
      </c>
      <c r="Q164" s="25"/>
      <c r="R164" s="5"/>
    </row>
    <row r="165" spans="1:18" ht="15.6" x14ac:dyDescent="0.3">
      <c r="A165" s="24"/>
      <c r="B165" s="25" t="s">
        <v>69</v>
      </c>
      <c r="C165" s="25"/>
      <c r="D165" s="25"/>
      <c r="E165" s="25"/>
      <c r="F165" s="25"/>
      <c r="G165" s="25"/>
      <c r="H165" s="25"/>
      <c r="I165" s="25"/>
      <c r="J165" s="25"/>
      <c r="K165" s="25"/>
      <c r="L165" s="25"/>
      <c r="M165" s="34">
        <v>4910</v>
      </c>
      <c r="N165" s="34">
        <f>-N96-N117</f>
        <v>495</v>
      </c>
      <c r="O165" s="25"/>
      <c r="P165" s="53">
        <f>M165+N165</f>
        <v>5405</v>
      </c>
      <c r="Q165" s="25"/>
      <c r="R165" s="5"/>
    </row>
    <row r="166" spans="1:18" ht="15.6" x14ac:dyDescent="0.3">
      <c r="A166" s="24"/>
      <c r="B166" s="25" t="s">
        <v>70</v>
      </c>
      <c r="C166" s="25"/>
      <c r="D166" s="25"/>
      <c r="E166" s="25"/>
      <c r="F166" s="25"/>
      <c r="G166" s="25"/>
      <c r="H166" s="25"/>
      <c r="I166" s="25"/>
      <c r="J166" s="25"/>
      <c r="K166" s="25"/>
      <c r="L166" s="25"/>
      <c r="M166" s="53">
        <f>M164+M165</f>
        <v>37138</v>
      </c>
      <c r="N166" s="53">
        <f>N165+N164</f>
        <v>8551</v>
      </c>
      <c r="O166" s="25"/>
      <c r="P166" s="53">
        <f>M166+N166</f>
        <v>45689</v>
      </c>
      <c r="Q166" s="25"/>
      <c r="R166" s="5"/>
    </row>
    <row r="167" spans="1:18" ht="15.6" x14ac:dyDescent="0.3">
      <c r="A167" s="24"/>
      <c r="B167" s="25" t="s">
        <v>71</v>
      </c>
      <c r="C167" s="25"/>
      <c r="D167" s="25"/>
      <c r="E167" s="25"/>
      <c r="F167" s="25"/>
      <c r="G167" s="25"/>
      <c r="H167" s="25"/>
      <c r="I167" s="25"/>
      <c r="J167" s="25"/>
      <c r="K167" s="25"/>
      <c r="L167" s="25"/>
      <c r="M167" s="53">
        <f>M163-M166-N166</f>
        <v>98311</v>
      </c>
      <c r="N167" s="40"/>
      <c r="O167" s="25"/>
      <c r="P167" s="53"/>
      <c r="Q167" s="25"/>
      <c r="R167" s="5"/>
    </row>
    <row r="168" spans="1:18" ht="16.2" thickBot="1" x14ac:dyDescent="0.35">
      <c r="A168" s="24"/>
      <c r="B168" s="25"/>
      <c r="C168" s="25"/>
      <c r="D168" s="25"/>
      <c r="E168" s="25"/>
      <c r="F168" s="25"/>
      <c r="G168" s="25"/>
      <c r="H168" s="25"/>
      <c r="I168" s="25"/>
      <c r="J168" s="25"/>
      <c r="K168" s="25"/>
      <c r="L168" s="25"/>
      <c r="M168" s="25"/>
      <c r="N168" s="25"/>
      <c r="O168" s="25"/>
      <c r="P168" s="61"/>
      <c r="Q168" s="25"/>
      <c r="R168" s="5"/>
    </row>
    <row r="169" spans="1:18" ht="15.6" x14ac:dyDescent="0.3">
      <c r="A169" s="2"/>
      <c r="B169" s="4"/>
      <c r="C169" s="4"/>
      <c r="D169" s="4"/>
      <c r="E169" s="4"/>
      <c r="F169" s="4"/>
      <c r="G169" s="4"/>
      <c r="H169" s="4"/>
      <c r="I169" s="4"/>
      <c r="J169" s="4"/>
      <c r="K169" s="4"/>
      <c r="L169" s="4"/>
      <c r="M169" s="4"/>
      <c r="N169" s="4"/>
      <c r="O169" s="4"/>
      <c r="P169" s="50"/>
      <c r="Q169" s="4"/>
      <c r="R169" s="5"/>
    </row>
    <row r="170" spans="1:18" ht="15.6" x14ac:dyDescent="0.3">
      <c r="A170" s="6"/>
      <c r="B170" s="119" t="s">
        <v>72</v>
      </c>
      <c r="C170" s="8"/>
      <c r="D170" s="8"/>
      <c r="E170" s="8"/>
      <c r="F170" s="8"/>
      <c r="G170" s="8"/>
      <c r="H170" s="8"/>
      <c r="I170" s="8"/>
      <c r="J170" s="8"/>
      <c r="K170" s="8"/>
      <c r="L170" s="8"/>
      <c r="M170" s="8"/>
      <c r="N170" s="8"/>
      <c r="O170" s="8"/>
      <c r="P170" s="65"/>
      <c r="Q170" s="8"/>
      <c r="R170" s="5"/>
    </row>
    <row r="171" spans="1:18" ht="15.6" x14ac:dyDescent="0.3">
      <c r="A171" s="24"/>
      <c r="B171" s="25" t="s">
        <v>73</v>
      </c>
      <c r="C171" s="25"/>
      <c r="D171" s="25"/>
      <c r="E171" s="25"/>
      <c r="F171" s="25"/>
      <c r="G171" s="25"/>
      <c r="H171" s="25"/>
      <c r="I171" s="25"/>
      <c r="J171" s="25"/>
      <c r="K171" s="25"/>
      <c r="L171" s="25"/>
      <c r="M171" s="25"/>
      <c r="N171" s="25"/>
      <c r="O171" s="25"/>
      <c r="P171" s="66">
        <f>(P98+P100+P101+P102+P103)/-(P104+P105+P106)</f>
        <v>1.4460824143934996</v>
      </c>
      <c r="Q171" s="25" t="s">
        <v>130</v>
      </c>
      <c r="R171" s="5"/>
    </row>
    <row r="172" spans="1:18" ht="15.6" x14ac:dyDescent="0.3">
      <c r="A172" s="24"/>
      <c r="B172" s="25" t="s">
        <v>74</v>
      </c>
      <c r="C172" s="25"/>
      <c r="D172" s="25"/>
      <c r="E172" s="25"/>
      <c r="F172" s="25"/>
      <c r="G172" s="25"/>
      <c r="H172" s="25"/>
      <c r="I172" s="25"/>
      <c r="J172" s="25"/>
      <c r="K172" s="25"/>
      <c r="L172" s="25"/>
      <c r="M172" s="25"/>
      <c r="N172" s="25"/>
      <c r="O172" s="25"/>
      <c r="P172" s="66">
        <v>1.34</v>
      </c>
      <c r="Q172" s="25" t="s">
        <v>130</v>
      </c>
      <c r="R172" s="5"/>
    </row>
    <row r="173" spans="1:18" ht="15.6" x14ac:dyDescent="0.3">
      <c r="A173" s="24"/>
      <c r="B173" s="25" t="s">
        <v>75</v>
      </c>
      <c r="C173" s="25"/>
      <c r="D173" s="25"/>
      <c r="E173" s="25"/>
      <c r="F173" s="25"/>
      <c r="G173" s="25"/>
      <c r="H173" s="25"/>
      <c r="I173" s="25"/>
      <c r="J173" s="25"/>
      <c r="K173" s="25"/>
      <c r="L173" s="25"/>
      <c r="M173" s="25"/>
      <c r="N173" s="25"/>
      <c r="O173" s="25"/>
      <c r="P173" s="59">
        <f>(P98+P100+P101+P102+P103+P104+P105+P106)/-(P107+P108)</f>
        <v>3.069488817891374</v>
      </c>
      <c r="Q173" s="25" t="s">
        <v>130</v>
      </c>
      <c r="R173" s="5"/>
    </row>
    <row r="174" spans="1:18" ht="15.6" x14ac:dyDescent="0.3">
      <c r="A174" s="24"/>
      <c r="B174" s="25" t="s">
        <v>76</v>
      </c>
      <c r="C174" s="25"/>
      <c r="D174" s="25"/>
      <c r="E174" s="25"/>
      <c r="F174" s="25"/>
      <c r="G174" s="25"/>
      <c r="H174" s="25"/>
      <c r="I174" s="25"/>
      <c r="J174" s="25"/>
      <c r="K174" s="25"/>
      <c r="L174" s="25"/>
      <c r="M174" s="25"/>
      <c r="N174" s="25"/>
      <c r="O174" s="25"/>
      <c r="P174" s="66">
        <v>2.54</v>
      </c>
      <c r="Q174" s="25" t="s">
        <v>130</v>
      </c>
      <c r="R174" s="5"/>
    </row>
    <row r="175" spans="1:18" ht="15.6" x14ac:dyDescent="0.3">
      <c r="A175" s="24"/>
      <c r="B175" s="25"/>
      <c r="C175" s="25"/>
      <c r="D175" s="25"/>
      <c r="E175" s="25"/>
      <c r="F175" s="25"/>
      <c r="G175" s="25"/>
      <c r="H175" s="25"/>
      <c r="I175" s="25"/>
      <c r="J175" s="25"/>
      <c r="K175" s="25"/>
      <c r="L175" s="25"/>
      <c r="M175" s="25"/>
      <c r="N175" s="25"/>
      <c r="O175" s="25"/>
      <c r="P175" s="25"/>
      <c r="Q175" s="25"/>
      <c r="R175" s="5"/>
    </row>
    <row r="176" spans="1:18" ht="15.6" x14ac:dyDescent="0.3">
      <c r="A176" s="24"/>
      <c r="B176" s="25"/>
      <c r="C176" s="25"/>
      <c r="D176" s="25"/>
      <c r="E176" s="25"/>
      <c r="F176" s="25"/>
      <c r="G176" s="25"/>
      <c r="H176" s="25"/>
      <c r="I176" s="25"/>
      <c r="J176" s="25"/>
      <c r="K176" s="25"/>
      <c r="L176" s="25"/>
      <c r="M176" s="25"/>
      <c r="N176" s="25"/>
      <c r="O176" s="25"/>
      <c r="P176" s="25"/>
      <c r="Q176" s="25"/>
      <c r="R176" s="5"/>
    </row>
    <row r="177" spans="1:18" ht="15.6" x14ac:dyDescent="0.3">
      <c r="A177" s="6"/>
      <c r="B177" s="8"/>
      <c r="C177" s="8"/>
      <c r="D177" s="8"/>
      <c r="E177" s="8"/>
      <c r="F177" s="8"/>
      <c r="G177" s="8"/>
      <c r="H177" s="8"/>
      <c r="I177" s="8"/>
      <c r="J177" s="8"/>
      <c r="K177" s="8"/>
      <c r="L177" s="8"/>
      <c r="M177" s="8"/>
      <c r="N177" s="8"/>
      <c r="O177" s="8"/>
      <c r="P177" s="8"/>
      <c r="Q177" s="8"/>
      <c r="R177" s="5"/>
    </row>
    <row r="178" spans="1:18" ht="18" thickBot="1" x14ac:dyDescent="0.35">
      <c r="A178" s="101"/>
      <c r="B178" s="102" t="str">
        <f>B128</f>
        <v>PM7 INVESTOR REPORT QUARTER ENDING OCTOBER 2005</v>
      </c>
      <c r="C178" s="143"/>
      <c r="D178" s="143"/>
      <c r="E178" s="143"/>
      <c r="F178" s="143"/>
      <c r="G178" s="143"/>
      <c r="H178" s="143"/>
      <c r="I178" s="143"/>
      <c r="J178" s="143"/>
      <c r="K178" s="143"/>
      <c r="L178" s="143"/>
      <c r="M178" s="143"/>
      <c r="N178" s="143"/>
      <c r="O178" s="143"/>
      <c r="P178" s="143"/>
      <c r="Q178" s="144"/>
      <c r="R178" s="5"/>
    </row>
    <row r="179" spans="1:18" ht="15.6" x14ac:dyDescent="0.3">
      <c r="A179" s="67"/>
      <c r="B179" s="60" t="s">
        <v>77</v>
      </c>
      <c r="C179" s="68"/>
      <c r="D179" s="68"/>
      <c r="E179" s="69"/>
      <c r="F179" s="69"/>
      <c r="G179" s="69"/>
      <c r="H179" s="69"/>
      <c r="I179" s="69"/>
      <c r="J179" s="69"/>
      <c r="K179" s="69"/>
      <c r="L179" s="69"/>
      <c r="M179" s="69"/>
      <c r="N179" s="70">
        <f>H91</f>
        <v>38656</v>
      </c>
      <c r="O179" s="4"/>
      <c r="P179" s="4"/>
      <c r="Q179" s="4"/>
      <c r="R179" s="5"/>
    </row>
    <row r="180" spans="1:18" ht="15.6" x14ac:dyDescent="0.3">
      <c r="A180" s="71"/>
      <c r="B180" s="72"/>
      <c r="C180" s="73"/>
      <c r="D180" s="73"/>
      <c r="E180" s="74"/>
      <c r="F180" s="74"/>
      <c r="G180" s="74"/>
      <c r="H180" s="74"/>
      <c r="I180" s="74"/>
      <c r="J180" s="74"/>
      <c r="K180" s="74"/>
      <c r="L180" s="74"/>
      <c r="M180" s="74"/>
      <c r="N180" s="74"/>
      <c r="O180" s="8"/>
      <c r="P180" s="8"/>
      <c r="Q180" s="8"/>
      <c r="R180" s="5"/>
    </row>
    <row r="181" spans="1:18" ht="15.6" x14ac:dyDescent="0.3">
      <c r="A181" s="75"/>
      <c r="B181" s="76" t="s">
        <v>78</v>
      </c>
      <c r="C181" s="77"/>
      <c r="D181" s="77"/>
      <c r="E181" s="64"/>
      <c r="F181" s="64"/>
      <c r="G181" s="64"/>
      <c r="H181" s="64"/>
      <c r="I181" s="64"/>
      <c r="J181" s="64"/>
      <c r="K181" s="64"/>
      <c r="L181" s="64"/>
      <c r="M181" s="64"/>
      <c r="N181" s="78">
        <v>5.8069999999999997E-2</v>
      </c>
      <c r="O181" s="25"/>
      <c r="P181" s="25"/>
      <c r="Q181" s="25"/>
      <c r="R181" s="5"/>
    </row>
    <row r="182" spans="1:18" ht="15.6" x14ac:dyDescent="0.3">
      <c r="A182" s="75"/>
      <c r="B182" s="76" t="s">
        <v>219</v>
      </c>
      <c r="C182" s="77"/>
      <c r="D182" s="77"/>
      <c r="E182" s="64"/>
      <c r="F182" s="64"/>
      <c r="G182" s="64"/>
      <c r="H182" s="64"/>
      <c r="I182" s="64"/>
      <c r="J182" s="64"/>
      <c r="K182" s="64"/>
      <c r="L182" s="64"/>
      <c r="M182" s="64"/>
      <c r="N182" s="39">
        <v>5.1499999999999997E-2</v>
      </c>
      <c r="O182" s="25"/>
      <c r="P182" s="25"/>
      <c r="Q182" s="25"/>
      <c r="R182" s="5"/>
    </row>
    <row r="183" spans="1:18" ht="15.6" x14ac:dyDescent="0.3">
      <c r="A183" s="75"/>
      <c r="B183" s="76" t="s">
        <v>79</v>
      </c>
      <c r="C183" s="77"/>
      <c r="D183" s="77"/>
      <c r="E183" s="64"/>
      <c r="F183" s="64"/>
      <c r="G183" s="64"/>
      <c r="H183" s="64"/>
      <c r="I183" s="64"/>
      <c r="J183" s="64"/>
      <c r="K183" s="64"/>
      <c r="L183" s="64"/>
      <c r="M183" s="64"/>
      <c r="N183" s="78">
        <f>N181-N182</f>
        <v>6.5699999999999995E-3</v>
      </c>
      <c r="O183" s="25"/>
      <c r="P183" s="25"/>
      <c r="Q183" s="25"/>
      <c r="R183" s="5"/>
    </row>
    <row r="184" spans="1:18" ht="15.6" x14ac:dyDescent="0.3">
      <c r="A184" s="75"/>
      <c r="B184" s="76" t="s">
        <v>80</v>
      </c>
      <c r="C184" s="77"/>
      <c r="D184" s="77"/>
      <c r="E184" s="64"/>
      <c r="F184" s="64"/>
      <c r="G184" s="64"/>
      <c r="H184" s="64"/>
      <c r="I184" s="64"/>
      <c r="J184" s="64"/>
      <c r="K184" s="64"/>
      <c r="L184" s="64"/>
      <c r="M184" s="64"/>
      <c r="N184" s="78">
        <v>6.0879999999999997E-2</v>
      </c>
      <c r="O184" s="25"/>
      <c r="P184" s="25"/>
      <c r="Q184" s="25"/>
      <c r="R184" s="5"/>
    </row>
    <row r="185" spans="1:18" ht="15.6" x14ac:dyDescent="0.3">
      <c r="A185" s="75"/>
      <c r="B185" s="76" t="s">
        <v>241</v>
      </c>
      <c r="C185" s="77"/>
      <c r="D185" s="77"/>
      <c r="E185" s="64"/>
      <c r="F185" s="64"/>
      <c r="G185" s="64"/>
      <c r="H185" s="64"/>
      <c r="I185" s="64"/>
      <c r="J185" s="64"/>
      <c r="K185" s="64"/>
      <c r="L185" s="64"/>
      <c r="M185" s="64"/>
      <c r="N185" s="78">
        <f>+P45</f>
        <v>4.9333009169853698E-2</v>
      </c>
      <c r="O185" s="25"/>
      <c r="P185" s="25"/>
      <c r="Q185" s="25"/>
      <c r="R185" s="5"/>
    </row>
    <row r="186" spans="1:18" ht="15.6" x14ac:dyDescent="0.3">
      <c r="A186" s="75"/>
      <c r="B186" s="76" t="s">
        <v>81</v>
      </c>
      <c r="C186" s="77"/>
      <c r="D186" s="77"/>
      <c r="E186" s="64"/>
      <c r="F186" s="64"/>
      <c r="G186" s="64"/>
      <c r="H186" s="64"/>
      <c r="I186" s="64"/>
      <c r="J186" s="64"/>
      <c r="K186" s="64"/>
      <c r="L186" s="64"/>
      <c r="M186" s="64"/>
      <c r="N186" s="78">
        <f>N184-N185</f>
        <v>1.1546990830146299E-2</v>
      </c>
      <c r="O186" s="25"/>
      <c r="P186" s="25"/>
      <c r="Q186" s="25"/>
      <c r="R186" s="5"/>
    </row>
    <row r="187" spans="1:18" ht="15.6" x14ac:dyDescent="0.3">
      <c r="A187" s="75"/>
      <c r="B187" s="76" t="s">
        <v>257</v>
      </c>
      <c r="C187" s="77"/>
      <c r="D187" s="77"/>
      <c r="E187" s="64"/>
      <c r="F187" s="64"/>
      <c r="G187" s="64"/>
      <c r="H187" s="64"/>
      <c r="I187" s="64"/>
      <c r="J187" s="64"/>
      <c r="K187" s="64"/>
      <c r="L187" s="64"/>
      <c r="M187" s="64"/>
      <c r="N187" s="78">
        <f>+P98/H73</f>
        <v>1.62395478232377E-2</v>
      </c>
      <c r="O187" s="25"/>
      <c r="P187" s="25"/>
      <c r="Q187" s="25"/>
      <c r="R187" s="5"/>
    </row>
    <row r="188" spans="1:18" ht="15.6" x14ac:dyDescent="0.3">
      <c r="A188" s="75"/>
      <c r="B188" s="76" t="s">
        <v>170</v>
      </c>
      <c r="C188" s="77"/>
      <c r="D188" s="77"/>
      <c r="E188" s="64"/>
      <c r="F188" s="64"/>
      <c r="G188" s="64"/>
      <c r="H188" s="64"/>
      <c r="I188" s="64"/>
      <c r="J188" s="64"/>
      <c r="K188" s="64"/>
      <c r="L188" s="64"/>
      <c r="M188" s="64"/>
      <c r="N188" s="133">
        <v>49065</v>
      </c>
      <c r="O188" s="25"/>
      <c r="P188" s="25"/>
      <c r="Q188" s="25"/>
      <c r="R188" s="5"/>
    </row>
    <row r="189" spans="1:18" ht="15.6" x14ac:dyDescent="0.3">
      <c r="A189" s="75"/>
      <c r="B189" s="76" t="s">
        <v>171</v>
      </c>
      <c r="C189" s="77"/>
      <c r="D189" s="77"/>
      <c r="E189" s="64"/>
      <c r="F189" s="64"/>
      <c r="G189" s="64"/>
      <c r="H189" s="64"/>
      <c r="I189" s="64"/>
      <c r="J189" s="64"/>
      <c r="K189" s="64"/>
      <c r="L189" s="64"/>
      <c r="M189" s="64"/>
      <c r="N189" s="133">
        <v>49065</v>
      </c>
      <c r="O189" s="25"/>
      <c r="P189" s="25"/>
      <c r="Q189" s="25"/>
      <c r="R189" s="5"/>
    </row>
    <row r="190" spans="1:18" ht="15.6" x14ac:dyDescent="0.3">
      <c r="A190" s="75"/>
      <c r="B190" s="76" t="s">
        <v>172</v>
      </c>
      <c r="C190" s="77"/>
      <c r="D190" s="77"/>
      <c r="E190" s="64"/>
      <c r="F190" s="64"/>
      <c r="G190" s="64"/>
      <c r="H190" s="64"/>
      <c r="I190" s="64"/>
      <c r="J190" s="64"/>
      <c r="K190" s="64"/>
      <c r="L190" s="64"/>
      <c r="M190" s="64"/>
      <c r="N190" s="133">
        <v>49065</v>
      </c>
      <c r="O190" s="25"/>
      <c r="P190" s="25"/>
      <c r="Q190" s="25"/>
      <c r="R190" s="5"/>
    </row>
    <row r="191" spans="1:18" ht="15.6" x14ac:dyDescent="0.3">
      <c r="A191" s="75"/>
      <c r="B191" s="76" t="s">
        <v>138</v>
      </c>
      <c r="C191" s="77"/>
      <c r="D191" s="77"/>
      <c r="E191" s="64"/>
      <c r="F191" s="64"/>
      <c r="G191" s="64"/>
      <c r="H191" s="64"/>
      <c r="I191" s="64"/>
      <c r="J191" s="64"/>
      <c r="K191" s="64"/>
      <c r="L191" s="64"/>
      <c r="M191" s="64"/>
      <c r="N191" s="133">
        <v>52352</v>
      </c>
      <c r="O191" s="25"/>
      <c r="P191" s="25"/>
      <c r="Q191" s="25"/>
      <c r="R191" s="5"/>
    </row>
    <row r="192" spans="1:18" ht="15.6" x14ac:dyDescent="0.3">
      <c r="A192" s="75"/>
      <c r="B192" s="76" t="s">
        <v>139</v>
      </c>
      <c r="C192" s="77"/>
      <c r="D192" s="77"/>
      <c r="E192" s="64"/>
      <c r="F192" s="64"/>
      <c r="G192" s="64"/>
      <c r="H192" s="64"/>
      <c r="I192" s="64"/>
      <c r="J192" s="64"/>
      <c r="K192" s="64"/>
      <c r="L192" s="64"/>
      <c r="M192" s="64"/>
      <c r="N192" s="133">
        <v>52352</v>
      </c>
      <c r="O192" s="25"/>
      <c r="P192" s="25"/>
      <c r="Q192" s="25"/>
      <c r="R192" s="5"/>
    </row>
    <row r="193" spans="1:18" ht="15.6" x14ac:dyDescent="0.3">
      <c r="A193" s="75"/>
      <c r="B193" s="76" t="s">
        <v>82</v>
      </c>
      <c r="C193" s="77"/>
      <c r="D193" s="77"/>
      <c r="E193" s="64"/>
      <c r="F193" s="64"/>
      <c r="G193" s="64"/>
      <c r="H193" s="64"/>
      <c r="I193" s="64"/>
      <c r="J193" s="64"/>
      <c r="K193" s="64"/>
      <c r="L193" s="64"/>
      <c r="M193" s="64"/>
      <c r="N193" s="137">
        <v>20.45</v>
      </c>
      <c r="O193" s="25" t="s">
        <v>125</v>
      </c>
      <c r="P193" s="25"/>
      <c r="Q193" s="25"/>
      <c r="R193" s="5"/>
    </row>
    <row r="194" spans="1:18" ht="15.6" x14ac:dyDescent="0.3">
      <c r="A194" s="75"/>
      <c r="B194" s="76" t="s">
        <v>83</v>
      </c>
      <c r="C194" s="77"/>
      <c r="D194" s="77"/>
      <c r="E194" s="64"/>
      <c r="F194" s="64"/>
      <c r="G194" s="64"/>
      <c r="H194" s="64"/>
      <c r="I194" s="64"/>
      <c r="J194" s="64"/>
      <c r="K194" s="64"/>
      <c r="L194" s="64"/>
      <c r="M194" s="64"/>
      <c r="N194" s="137">
        <v>20.059999999999999</v>
      </c>
      <c r="O194" s="25" t="s">
        <v>125</v>
      </c>
      <c r="P194" s="25"/>
      <c r="Q194" s="25"/>
      <c r="R194" s="5"/>
    </row>
    <row r="195" spans="1:18" ht="15.6" x14ac:dyDescent="0.3">
      <c r="A195" s="75"/>
      <c r="B195" s="76" t="s">
        <v>84</v>
      </c>
      <c r="C195" s="77"/>
      <c r="D195" s="77"/>
      <c r="E195" s="64"/>
      <c r="F195" s="64"/>
      <c r="G195" s="64"/>
      <c r="H195" s="64"/>
      <c r="I195" s="64"/>
      <c r="J195" s="64"/>
      <c r="K195" s="64"/>
      <c r="L195" s="64"/>
      <c r="M195" s="64"/>
      <c r="N195" s="78">
        <f>+J73/H73</f>
        <v>4.1867938676362168E-2</v>
      </c>
      <c r="O195" s="25"/>
      <c r="P195" s="25"/>
      <c r="Q195" s="25"/>
      <c r="R195" s="5"/>
    </row>
    <row r="196" spans="1:18" ht="15.6" x14ac:dyDescent="0.3">
      <c r="A196" s="75"/>
      <c r="B196" s="76" t="s">
        <v>85</v>
      </c>
      <c r="C196" s="77"/>
      <c r="D196" s="77"/>
      <c r="E196" s="64"/>
      <c r="F196" s="64"/>
      <c r="G196" s="64"/>
      <c r="H196" s="64"/>
      <c r="I196" s="64"/>
      <c r="J196" s="64"/>
      <c r="K196" s="64"/>
      <c r="L196" s="64"/>
      <c r="M196" s="64"/>
      <c r="N196" s="78">
        <v>0.15179999999999999</v>
      </c>
      <c r="O196" s="25"/>
      <c r="P196" s="25"/>
      <c r="Q196" s="25"/>
      <c r="R196" s="5"/>
    </row>
    <row r="197" spans="1:18" ht="15.6" x14ac:dyDescent="0.3">
      <c r="A197" s="75"/>
      <c r="B197" s="76"/>
      <c r="C197" s="76"/>
      <c r="D197" s="76"/>
      <c r="E197" s="25"/>
      <c r="F197" s="25"/>
      <c r="G197" s="25"/>
      <c r="H197" s="25"/>
      <c r="I197" s="25"/>
      <c r="J197" s="25"/>
      <c r="K197" s="25"/>
      <c r="L197" s="25"/>
      <c r="M197" s="25"/>
      <c r="N197" s="61"/>
      <c r="O197" s="25"/>
      <c r="P197" s="79"/>
      <c r="Q197" s="25"/>
      <c r="R197" s="5"/>
    </row>
    <row r="198" spans="1:18" ht="15.6" x14ac:dyDescent="0.3">
      <c r="A198" s="80"/>
      <c r="B198" s="14" t="s">
        <v>86</v>
      </c>
      <c r="C198" s="81"/>
      <c r="D198" s="82"/>
      <c r="E198" s="81"/>
      <c r="F198" s="17"/>
      <c r="G198" s="17"/>
      <c r="H198" s="17"/>
      <c r="I198" s="17"/>
      <c r="J198" s="17"/>
      <c r="K198" s="17"/>
      <c r="L198" s="17"/>
      <c r="M198" s="17" t="s">
        <v>113</v>
      </c>
      <c r="N198" s="83" t="s">
        <v>121</v>
      </c>
      <c r="O198" s="8"/>
      <c r="P198" s="8"/>
      <c r="Q198" s="8"/>
      <c r="R198" s="5"/>
    </row>
    <row r="199" spans="1:18" ht="15.6" x14ac:dyDescent="0.3">
      <c r="A199" s="84"/>
      <c r="B199" s="76" t="s">
        <v>87</v>
      </c>
      <c r="C199" s="54"/>
      <c r="D199" s="25"/>
      <c r="E199" s="25"/>
      <c r="F199" s="30"/>
      <c r="G199" s="30"/>
      <c r="H199" s="30"/>
      <c r="I199" s="30"/>
      <c r="J199" s="30"/>
      <c r="K199" s="30"/>
      <c r="L199" s="30"/>
      <c r="M199" s="30">
        <v>13</v>
      </c>
      <c r="N199" s="85">
        <v>479</v>
      </c>
      <c r="O199" s="25"/>
      <c r="P199" s="79"/>
      <c r="Q199" s="86"/>
      <c r="R199" s="5"/>
    </row>
    <row r="200" spans="1:18" ht="15.6" x14ac:dyDescent="0.3">
      <c r="A200" s="84"/>
      <c r="B200" s="76" t="s">
        <v>203</v>
      </c>
      <c r="C200" s="54"/>
      <c r="D200" s="25"/>
      <c r="E200" s="25"/>
      <c r="F200" s="30"/>
      <c r="G200" s="30"/>
      <c r="H200" s="30"/>
      <c r="I200" s="30"/>
      <c r="J200" s="30"/>
      <c r="K200" s="30"/>
      <c r="L200" s="30"/>
      <c r="M200" s="151">
        <f>+L234</f>
        <v>55</v>
      </c>
      <c r="N200" s="85">
        <f>+N234</f>
        <v>6572</v>
      </c>
      <c r="O200" s="25"/>
      <c r="P200" s="79"/>
      <c r="Q200" s="86"/>
      <c r="R200" s="5"/>
    </row>
    <row r="201" spans="1:18" ht="15.6" x14ac:dyDescent="0.3">
      <c r="A201" s="84"/>
      <c r="B201" s="76" t="s">
        <v>88</v>
      </c>
      <c r="C201" s="54"/>
      <c r="D201" s="25"/>
      <c r="E201" s="25"/>
      <c r="F201" s="30"/>
      <c r="G201" s="30"/>
      <c r="H201" s="30"/>
      <c r="I201" s="30"/>
      <c r="J201" s="30"/>
      <c r="K201" s="30"/>
      <c r="L201" s="30"/>
      <c r="M201" s="151">
        <f>+L245</f>
        <v>0</v>
      </c>
      <c r="N201" s="85">
        <f>+N245</f>
        <v>0</v>
      </c>
      <c r="O201" s="25"/>
      <c r="P201" s="79"/>
      <c r="Q201" s="86"/>
      <c r="R201" s="5"/>
    </row>
    <row r="202" spans="1:18" ht="15.6" x14ac:dyDescent="0.3">
      <c r="A202" s="84"/>
      <c r="B202" s="122" t="s">
        <v>89</v>
      </c>
      <c r="C202" s="54"/>
      <c r="D202" s="25"/>
      <c r="E202" s="25"/>
      <c r="F202" s="25"/>
      <c r="G202" s="25"/>
      <c r="H202" s="25"/>
      <c r="I202" s="25"/>
      <c r="J202" s="25"/>
      <c r="K202" s="25"/>
      <c r="L202" s="25"/>
      <c r="M202" s="25"/>
      <c r="N202" s="85">
        <v>0</v>
      </c>
      <c r="O202" s="25"/>
      <c r="P202" s="79"/>
      <c r="Q202" s="86"/>
      <c r="R202" s="5"/>
    </row>
    <row r="203" spans="1:18" ht="15.6" x14ac:dyDescent="0.3">
      <c r="A203" s="84"/>
      <c r="B203" s="122" t="s">
        <v>90</v>
      </c>
      <c r="C203" s="54"/>
      <c r="D203" s="25"/>
      <c r="E203" s="25"/>
      <c r="F203" s="25"/>
      <c r="G203" s="25"/>
      <c r="H203" s="25"/>
      <c r="I203" s="25"/>
      <c r="J203" s="25"/>
      <c r="K203" s="25"/>
      <c r="L203" s="25"/>
      <c r="M203" s="25"/>
      <c r="N203" s="62" t="s">
        <v>122</v>
      </c>
      <c r="O203" s="25"/>
      <c r="P203" s="79"/>
      <c r="Q203" s="86"/>
      <c r="R203" s="5"/>
    </row>
    <row r="204" spans="1:18" ht="15.6" x14ac:dyDescent="0.3">
      <c r="A204" s="87"/>
      <c r="B204" s="122" t="s">
        <v>91</v>
      </c>
      <c r="C204" s="76"/>
      <c r="D204" s="76"/>
      <c r="E204" s="25"/>
      <c r="F204" s="25"/>
      <c r="G204" s="25"/>
      <c r="H204" s="25"/>
      <c r="I204" s="25"/>
      <c r="J204" s="167"/>
      <c r="K204" s="25"/>
      <c r="L204" s="25"/>
      <c r="M204" s="25"/>
      <c r="N204" s="85"/>
      <c r="O204" s="25"/>
      <c r="P204" s="79"/>
      <c r="Q204" s="88"/>
      <c r="R204" s="5"/>
    </row>
    <row r="205" spans="1:18" ht="15.6" x14ac:dyDescent="0.3">
      <c r="A205" s="87"/>
      <c r="B205" s="135" t="s">
        <v>92</v>
      </c>
      <c r="C205" s="76"/>
      <c r="D205" s="76"/>
      <c r="E205" s="25"/>
      <c r="F205" s="25"/>
      <c r="G205" s="25"/>
      <c r="H205" s="25"/>
      <c r="I205" s="25"/>
      <c r="J205" s="25"/>
      <c r="K205" s="25"/>
      <c r="L205" s="25"/>
      <c r="M205" s="25">
        <v>0</v>
      </c>
      <c r="N205" s="85">
        <f>P150</f>
        <v>0</v>
      </c>
      <c r="O205" s="25"/>
      <c r="P205" s="79"/>
      <c r="Q205" s="88"/>
      <c r="R205" s="5"/>
    </row>
    <row r="206" spans="1:18" ht="15.6" x14ac:dyDescent="0.3">
      <c r="A206" s="84"/>
      <c r="B206" s="76" t="s">
        <v>93</v>
      </c>
      <c r="C206" s="54"/>
      <c r="D206" s="54"/>
      <c r="E206" s="25"/>
      <c r="F206" s="25"/>
      <c r="G206" s="25"/>
      <c r="H206" s="25"/>
      <c r="I206" s="25"/>
      <c r="J206" s="25"/>
      <c r="K206" s="25"/>
      <c r="L206" s="25"/>
      <c r="M206" s="25">
        <v>0</v>
      </c>
      <c r="N206" s="85">
        <f>+N205</f>
        <v>0</v>
      </c>
      <c r="O206" s="25"/>
      <c r="P206" s="79"/>
      <c r="Q206" s="88"/>
      <c r="R206" s="5"/>
    </row>
    <row r="207" spans="1:18" ht="15.6" x14ac:dyDescent="0.3">
      <c r="A207" s="87"/>
      <c r="B207" s="122" t="s">
        <v>94</v>
      </c>
      <c r="C207" s="76"/>
      <c r="D207" s="76"/>
      <c r="E207" s="25"/>
      <c r="F207" s="25"/>
      <c r="G207" s="25"/>
      <c r="H207" s="25"/>
      <c r="I207" s="25"/>
      <c r="J207" s="25"/>
      <c r="K207" s="25"/>
      <c r="L207" s="25"/>
      <c r="M207" s="25"/>
      <c r="N207" s="85"/>
      <c r="O207" s="25"/>
      <c r="P207" s="79"/>
      <c r="Q207" s="88"/>
      <c r="R207" s="5"/>
    </row>
    <row r="208" spans="1:18" ht="15.6" x14ac:dyDescent="0.3">
      <c r="A208" s="87"/>
      <c r="B208" s="76" t="s">
        <v>276</v>
      </c>
      <c r="C208" s="76"/>
      <c r="D208" s="76"/>
      <c r="E208" s="25"/>
      <c r="F208" s="25"/>
      <c r="G208" s="25"/>
      <c r="H208" s="25"/>
      <c r="I208" s="25"/>
      <c r="J208" s="25"/>
      <c r="K208" s="25"/>
      <c r="L208" s="25"/>
      <c r="M208" s="25">
        <v>0</v>
      </c>
      <c r="N208" s="85">
        <v>0</v>
      </c>
      <c r="O208" s="25"/>
      <c r="P208" s="79"/>
      <c r="Q208" s="88"/>
      <c r="R208" s="5"/>
    </row>
    <row r="209" spans="1:18" ht="15.6" x14ac:dyDescent="0.3">
      <c r="A209" s="84"/>
      <c r="B209" s="76" t="s">
        <v>95</v>
      </c>
      <c r="C209" s="89"/>
      <c r="D209" s="90"/>
      <c r="E209" s="25"/>
      <c r="F209" s="25"/>
      <c r="G209" s="25"/>
      <c r="H209" s="25"/>
      <c r="I209" s="25"/>
      <c r="J209" s="25"/>
      <c r="K209" s="25"/>
      <c r="L209" s="25"/>
      <c r="M209" s="25"/>
      <c r="N209" s="62">
        <v>0</v>
      </c>
      <c r="O209" s="25"/>
      <c r="P209" s="79"/>
      <c r="Q209" s="88"/>
      <c r="R209" s="5"/>
    </row>
    <row r="210" spans="1:18" ht="15.6" x14ac:dyDescent="0.3">
      <c r="A210" s="84"/>
      <c r="B210" s="76" t="s">
        <v>96</v>
      </c>
      <c r="C210" s="89"/>
      <c r="D210" s="90"/>
      <c r="E210" s="25"/>
      <c r="F210" s="25"/>
      <c r="G210" s="25"/>
      <c r="H210" s="25"/>
      <c r="I210" s="25"/>
      <c r="J210" s="25"/>
      <c r="K210" s="25"/>
      <c r="L210" s="25"/>
      <c r="M210" s="25"/>
      <c r="N210" s="62">
        <v>6</v>
      </c>
      <c r="O210" s="25"/>
      <c r="P210" s="79"/>
      <c r="Q210" s="88"/>
      <c r="R210" s="5"/>
    </row>
    <row r="211" spans="1:18" ht="15.6" x14ac:dyDescent="0.3">
      <c r="A211" s="84"/>
      <c r="B211" s="76"/>
      <c r="C211" s="89"/>
      <c r="D211" s="90"/>
      <c r="E211" s="25"/>
      <c r="F211" s="25"/>
      <c r="G211" s="25"/>
      <c r="H211" s="25"/>
      <c r="I211" s="25"/>
      <c r="J211" s="25"/>
      <c r="K211" s="25"/>
      <c r="L211" s="25"/>
      <c r="M211" s="25"/>
      <c r="N211" s="91"/>
      <c r="O211" s="25"/>
      <c r="P211" s="79"/>
      <c r="Q211" s="88"/>
      <c r="R211" s="5"/>
    </row>
    <row r="212" spans="1:18" ht="17.399999999999999" x14ac:dyDescent="0.3">
      <c r="A212" s="84"/>
      <c r="B212" s="160" t="s">
        <v>244</v>
      </c>
      <c r="C212" s="161"/>
      <c r="D212" s="162"/>
      <c r="E212" s="163"/>
      <c r="F212" s="163"/>
      <c r="G212" s="163"/>
      <c r="H212" s="163"/>
      <c r="I212" s="166"/>
      <c r="J212" s="169" t="s">
        <v>243</v>
      </c>
      <c r="K212" s="163"/>
      <c r="L212" s="163"/>
      <c r="M212" s="25"/>
      <c r="N212" s="91"/>
      <c r="O212" s="25"/>
      <c r="P212" s="79"/>
      <c r="Q212" s="88"/>
      <c r="R212" s="5"/>
    </row>
    <row r="213" spans="1:18" ht="15.6" x14ac:dyDescent="0.3">
      <c r="A213" s="84"/>
      <c r="B213" s="156"/>
      <c r="C213" s="157"/>
      <c r="D213" s="158"/>
      <c r="E213" s="146"/>
      <c r="F213" s="146"/>
      <c r="G213" s="146"/>
      <c r="H213" s="146"/>
      <c r="I213" s="146"/>
      <c r="J213" s="146"/>
      <c r="K213" s="146"/>
      <c r="L213" s="146"/>
      <c r="M213" s="25"/>
      <c r="N213" s="91"/>
      <c r="O213" s="25"/>
      <c r="P213" s="79"/>
      <c r="Q213" s="88"/>
      <c r="R213" s="5"/>
    </row>
    <row r="214" spans="1:18" ht="15.6" x14ac:dyDescent="0.3">
      <c r="A214" s="6"/>
      <c r="B214" s="14" t="s">
        <v>236</v>
      </c>
      <c r="C214" s="81"/>
      <c r="D214" s="82"/>
      <c r="E214" s="81"/>
      <c r="F214" s="17"/>
      <c r="G214" s="17"/>
      <c r="H214" s="17"/>
      <c r="I214" s="17"/>
      <c r="J214" s="17"/>
      <c r="K214" s="17"/>
      <c r="L214" s="83" t="s">
        <v>113</v>
      </c>
      <c r="M214" s="17" t="s">
        <v>114</v>
      </c>
      <c r="N214" s="83" t="s">
        <v>123</v>
      </c>
      <c r="O214" s="17" t="s">
        <v>114</v>
      </c>
      <c r="P214" s="8"/>
      <c r="Q214" s="92"/>
      <c r="R214" s="5"/>
    </row>
    <row r="215" spans="1:18" ht="15.6" x14ac:dyDescent="0.3">
      <c r="A215" s="24"/>
      <c r="B215" s="54" t="s">
        <v>98</v>
      </c>
      <c r="C215" s="93"/>
      <c r="D215" s="25"/>
      <c r="E215" s="93"/>
      <c r="F215" s="93"/>
      <c r="G215" s="93"/>
      <c r="H215" s="93"/>
      <c r="I215" s="93"/>
      <c r="J215" s="93"/>
      <c r="K215" s="93"/>
      <c r="L215" s="54">
        <v>8004</v>
      </c>
      <c r="M215" s="94">
        <f t="shared" ref="M215:M222" si="1">L215/$L$223</f>
        <v>0.98961424332344217</v>
      </c>
      <c r="N215" s="53">
        <v>751888</v>
      </c>
      <c r="O215" s="136">
        <f t="shared" ref="O215:O222" si="2">N215/$N$223</f>
        <v>0.99049144651735066</v>
      </c>
      <c r="P215" s="79"/>
      <c r="Q215" s="88"/>
      <c r="R215" s="5"/>
    </row>
    <row r="216" spans="1:18" ht="15.6" x14ac:dyDescent="0.3">
      <c r="A216" s="24"/>
      <c r="B216" s="54" t="s">
        <v>99</v>
      </c>
      <c r="C216" s="93"/>
      <c r="D216" s="25"/>
      <c r="E216" s="94"/>
      <c r="F216" s="93"/>
      <c r="G216" s="93"/>
      <c r="H216" s="93"/>
      <c r="I216" s="93"/>
      <c r="J216" s="93"/>
      <c r="K216" s="93"/>
      <c r="L216" s="54">
        <v>34</v>
      </c>
      <c r="M216" s="94">
        <f t="shared" si="1"/>
        <v>4.2037586547972305E-3</v>
      </c>
      <c r="N216" s="53">
        <v>3073</v>
      </c>
      <c r="O216" s="136">
        <f t="shared" si="2"/>
        <v>4.0481829942063431E-3</v>
      </c>
      <c r="P216" s="79"/>
      <c r="Q216" s="88"/>
      <c r="R216" s="5"/>
    </row>
    <row r="217" spans="1:18" ht="15.6" x14ac:dyDescent="0.3">
      <c r="A217" s="24"/>
      <c r="B217" s="54" t="s">
        <v>100</v>
      </c>
      <c r="C217" s="93"/>
      <c r="D217" s="25"/>
      <c r="E217" s="94"/>
      <c r="F217" s="93"/>
      <c r="G217" s="93"/>
      <c r="H217" s="93"/>
      <c r="I217" s="93"/>
      <c r="J217" s="93"/>
      <c r="K217" s="93"/>
      <c r="L217" s="54">
        <v>22</v>
      </c>
      <c r="M217" s="94">
        <f t="shared" si="1"/>
        <v>2.7200791295746785E-3</v>
      </c>
      <c r="N217" s="53">
        <v>1982</v>
      </c>
      <c r="O217" s="136">
        <f t="shared" si="2"/>
        <v>2.6109660574412533E-3</v>
      </c>
      <c r="P217" s="79"/>
      <c r="Q217" s="88"/>
      <c r="R217" s="5"/>
    </row>
    <row r="218" spans="1:18" ht="15.6" x14ac:dyDescent="0.3">
      <c r="A218" s="24"/>
      <c r="B218" s="54" t="s">
        <v>227</v>
      </c>
      <c r="C218" s="93"/>
      <c r="D218" s="25"/>
      <c r="E218" s="94"/>
      <c r="F218" s="93"/>
      <c r="G218" s="93"/>
      <c r="H218" s="93"/>
      <c r="I218" s="93"/>
      <c r="J218" s="93"/>
      <c r="K218" s="93"/>
      <c r="L218" s="54">
        <v>6</v>
      </c>
      <c r="M218" s="94">
        <f t="shared" si="1"/>
        <v>7.4183976261127599E-4</v>
      </c>
      <c r="N218" s="53">
        <v>719</v>
      </c>
      <c r="O218" s="136">
        <f t="shared" si="2"/>
        <v>9.471667988396877E-4</v>
      </c>
      <c r="P218" s="79"/>
      <c r="Q218" s="88"/>
      <c r="R218" s="5"/>
    </row>
    <row r="219" spans="1:18" ht="15.6" x14ac:dyDescent="0.3">
      <c r="A219" s="24"/>
      <c r="B219" s="54" t="s">
        <v>228</v>
      </c>
      <c r="C219" s="93"/>
      <c r="D219" s="25"/>
      <c r="E219" s="94"/>
      <c r="F219" s="93"/>
      <c r="G219" s="93"/>
      <c r="H219" s="93"/>
      <c r="I219" s="93"/>
      <c r="J219" s="93"/>
      <c r="K219" s="93"/>
      <c r="L219" s="54">
        <v>10</v>
      </c>
      <c r="M219" s="94">
        <f t="shared" si="1"/>
        <v>1.2363996043521265E-3</v>
      </c>
      <c r="N219" s="53">
        <v>875</v>
      </c>
      <c r="O219" s="136">
        <f t="shared" si="2"/>
        <v>1.1526716953890498E-3</v>
      </c>
      <c r="P219" s="79"/>
      <c r="Q219" s="88"/>
      <c r="R219" s="5"/>
    </row>
    <row r="220" spans="1:18" ht="15.6" x14ac:dyDescent="0.3">
      <c r="A220" s="24"/>
      <c r="B220" s="54" t="s">
        <v>229</v>
      </c>
      <c r="C220" s="93"/>
      <c r="D220" s="25"/>
      <c r="E220" s="94"/>
      <c r="F220" s="93"/>
      <c r="G220" s="93"/>
      <c r="H220" s="93"/>
      <c r="I220" s="93"/>
      <c r="J220" s="93"/>
      <c r="K220" s="93"/>
      <c r="L220" s="54">
        <v>5</v>
      </c>
      <c r="M220" s="94">
        <f t="shared" si="1"/>
        <v>6.1819980217606325E-4</v>
      </c>
      <c r="N220" s="53">
        <v>306</v>
      </c>
      <c r="O220" s="136">
        <f t="shared" si="2"/>
        <v>4.0310575861605627E-4</v>
      </c>
      <c r="P220" s="79"/>
      <c r="Q220" s="88"/>
      <c r="R220" s="5"/>
    </row>
    <row r="221" spans="1:18" ht="15.6" x14ac:dyDescent="0.3">
      <c r="A221" s="24"/>
      <c r="B221" s="54" t="s">
        <v>230</v>
      </c>
      <c r="C221" s="93"/>
      <c r="D221" s="25"/>
      <c r="E221" s="94"/>
      <c r="F221" s="93"/>
      <c r="G221" s="93"/>
      <c r="H221" s="93"/>
      <c r="I221" s="93"/>
      <c r="J221" s="93"/>
      <c r="K221" s="93"/>
      <c r="L221" s="54">
        <v>7</v>
      </c>
      <c r="M221" s="94">
        <f t="shared" si="1"/>
        <v>8.6547972304648862E-4</v>
      </c>
      <c r="N221" s="53">
        <v>263</v>
      </c>
      <c r="O221" s="136">
        <f t="shared" si="2"/>
        <v>3.4646017815693721E-4</v>
      </c>
      <c r="P221" s="79"/>
      <c r="Q221" s="88"/>
      <c r="R221" s="5"/>
    </row>
    <row r="222" spans="1:18" ht="15.6" x14ac:dyDescent="0.3">
      <c r="A222" s="24"/>
      <c r="B222" s="54" t="s">
        <v>231</v>
      </c>
      <c r="C222" s="93"/>
      <c r="D222" s="25"/>
      <c r="E222" s="94"/>
      <c r="F222" s="93"/>
      <c r="G222" s="93"/>
      <c r="H222" s="93"/>
      <c r="I222" s="93"/>
      <c r="J222" s="93"/>
      <c r="K222" s="93"/>
      <c r="L222" s="54">
        <v>0</v>
      </c>
      <c r="M222" s="94">
        <f t="shared" si="1"/>
        <v>0</v>
      </c>
      <c r="N222" s="53">
        <v>0</v>
      </c>
      <c r="O222" s="136">
        <f t="shared" si="2"/>
        <v>0</v>
      </c>
      <c r="P222" s="79"/>
      <c r="Q222" s="88"/>
      <c r="R222" s="5"/>
    </row>
    <row r="223" spans="1:18" ht="15.6" x14ac:dyDescent="0.3">
      <c r="A223" s="24"/>
      <c r="B223" s="25" t="s">
        <v>129</v>
      </c>
      <c r="C223" s="25"/>
      <c r="D223" s="25"/>
      <c r="E223" s="25"/>
      <c r="F223" s="95"/>
      <c r="G223" s="95"/>
      <c r="H223" s="95"/>
      <c r="I223" s="95"/>
      <c r="J223" s="95"/>
      <c r="K223" s="95"/>
      <c r="L223" s="34">
        <f>SUM(L215:L222)</f>
        <v>8088</v>
      </c>
      <c r="M223" s="136">
        <f>SUM(M215:M222)</f>
        <v>1.0000000000000002</v>
      </c>
      <c r="N223" s="53">
        <f>SUM(N215:N222)</f>
        <v>759106</v>
      </c>
      <c r="O223" s="136">
        <f>SUM(O215:O222)</f>
        <v>1</v>
      </c>
      <c r="P223" s="25"/>
      <c r="Q223" s="25"/>
      <c r="R223" s="5"/>
    </row>
    <row r="224" spans="1:18" ht="15.6" x14ac:dyDescent="0.3">
      <c r="A224" s="24"/>
      <c r="B224" s="25"/>
      <c r="C224" s="25"/>
      <c r="D224" s="25"/>
      <c r="E224" s="25"/>
      <c r="F224" s="95"/>
      <c r="G224" s="95"/>
      <c r="H224" s="95"/>
      <c r="I224" s="95"/>
      <c r="J224" s="95"/>
      <c r="K224" s="95"/>
      <c r="L224" s="34"/>
      <c r="M224" s="136"/>
      <c r="N224" s="53"/>
      <c r="O224" s="136"/>
      <c r="P224" s="25"/>
      <c r="Q224" s="25"/>
      <c r="R224" s="5"/>
    </row>
    <row r="225" spans="1:18" ht="15.6" x14ac:dyDescent="0.3">
      <c r="A225" s="148"/>
      <c r="B225" s="14" t="s">
        <v>238</v>
      </c>
      <c r="C225" s="81"/>
      <c r="D225" s="82"/>
      <c r="E225" s="81"/>
      <c r="F225" s="17"/>
      <c r="G225" s="17"/>
      <c r="H225" s="17"/>
      <c r="I225" s="17"/>
      <c r="J225" s="17"/>
      <c r="K225" s="17"/>
      <c r="L225" s="83" t="s">
        <v>113</v>
      </c>
      <c r="M225" s="17" t="s">
        <v>114</v>
      </c>
      <c r="N225" s="83" t="s">
        <v>123</v>
      </c>
      <c r="O225" s="17" t="s">
        <v>114</v>
      </c>
      <c r="P225" s="8"/>
      <c r="Q225" s="149"/>
      <c r="R225" s="5"/>
    </row>
    <row r="226" spans="1:18" ht="15.6" x14ac:dyDescent="0.3">
      <c r="A226" s="24"/>
      <c r="B226" s="54" t="s">
        <v>98</v>
      </c>
      <c r="C226" s="93"/>
      <c r="D226" s="25"/>
      <c r="E226" s="93"/>
      <c r="F226" s="93"/>
      <c r="G226" s="93"/>
      <c r="H226" s="93"/>
      <c r="I226" s="93"/>
      <c r="J226" s="93"/>
      <c r="K226" s="93"/>
      <c r="L226" s="54">
        <v>4</v>
      </c>
      <c r="M226" s="94">
        <f t="shared" ref="M226:M233" si="3">L226/$L$234</f>
        <v>7.2727272727272724E-2</v>
      </c>
      <c r="N226" s="53">
        <v>58</v>
      </c>
      <c r="O226" s="136">
        <f t="shared" ref="O226:O233" si="4">N226/$N$234</f>
        <v>8.825319537431528E-3</v>
      </c>
      <c r="P226" s="79"/>
      <c r="Q226" s="25"/>
      <c r="R226" s="5"/>
    </row>
    <row r="227" spans="1:18" ht="15.6" x14ac:dyDescent="0.3">
      <c r="A227" s="24"/>
      <c r="B227" s="54" t="s">
        <v>99</v>
      </c>
      <c r="C227" s="93"/>
      <c r="D227" s="25"/>
      <c r="E227" s="94"/>
      <c r="F227" s="93"/>
      <c r="G227" s="93"/>
      <c r="H227" s="93"/>
      <c r="I227" s="93"/>
      <c r="J227" s="93"/>
      <c r="K227" s="93"/>
      <c r="L227" s="54">
        <v>2</v>
      </c>
      <c r="M227" s="94">
        <f t="shared" si="3"/>
        <v>3.6363636363636362E-2</v>
      </c>
      <c r="N227" s="53">
        <v>135</v>
      </c>
      <c r="O227" s="136">
        <f t="shared" si="4"/>
        <v>2.054169202678028E-2</v>
      </c>
      <c r="P227" s="79"/>
      <c r="Q227" s="25"/>
      <c r="R227" s="5"/>
    </row>
    <row r="228" spans="1:18" ht="15.6" x14ac:dyDescent="0.3">
      <c r="A228" s="24"/>
      <c r="B228" s="54" t="s">
        <v>100</v>
      </c>
      <c r="C228" s="93"/>
      <c r="D228" s="25"/>
      <c r="E228" s="94"/>
      <c r="F228" s="93"/>
      <c r="G228" s="93"/>
      <c r="H228" s="93"/>
      <c r="I228" s="93"/>
      <c r="J228" s="93"/>
      <c r="K228" s="93"/>
      <c r="L228" s="54">
        <v>1</v>
      </c>
      <c r="M228" s="94">
        <f t="shared" si="3"/>
        <v>1.8181818181818181E-2</v>
      </c>
      <c r="N228" s="53">
        <v>337</v>
      </c>
      <c r="O228" s="136">
        <f t="shared" si="4"/>
        <v>5.1278149726110771E-2</v>
      </c>
      <c r="P228" s="79"/>
      <c r="Q228" s="25"/>
      <c r="R228" s="5"/>
    </row>
    <row r="229" spans="1:18" ht="15.6" x14ac:dyDescent="0.3">
      <c r="A229" s="24"/>
      <c r="B229" s="54" t="s">
        <v>227</v>
      </c>
      <c r="C229" s="93"/>
      <c r="D229" s="25"/>
      <c r="E229" s="94"/>
      <c r="F229" s="93"/>
      <c r="G229" s="93"/>
      <c r="H229" s="93"/>
      <c r="I229" s="93"/>
      <c r="J229" s="93"/>
      <c r="K229" s="93"/>
      <c r="L229" s="54">
        <v>5</v>
      </c>
      <c r="M229" s="94">
        <f t="shared" si="3"/>
        <v>9.0909090909090912E-2</v>
      </c>
      <c r="N229" s="53">
        <v>1063</v>
      </c>
      <c r="O229" s="136">
        <f t="shared" si="4"/>
        <v>0.16174680462568472</v>
      </c>
      <c r="P229" s="79"/>
      <c r="Q229" s="25"/>
      <c r="R229" s="5"/>
    </row>
    <row r="230" spans="1:18" ht="15.6" x14ac:dyDescent="0.3">
      <c r="A230" s="24"/>
      <c r="B230" s="54" t="s">
        <v>228</v>
      </c>
      <c r="C230" s="93"/>
      <c r="D230" s="25"/>
      <c r="E230" s="94"/>
      <c r="F230" s="93"/>
      <c r="G230" s="93"/>
      <c r="H230" s="93"/>
      <c r="I230" s="93"/>
      <c r="J230" s="93"/>
      <c r="K230" s="93"/>
      <c r="L230" s="54">
        <v>5</v>
      </c>
      <c r="M230" s="94">
        <f t="shared" si="3"/>
        <v>9.0909090909090912E-2</v>
      </c>
      <c r="N230" s="53">
        <v>611</v>
      </c>
      <c r="O230" s="136">
        <f t="shared" si="4"/>
        <v>9.297017650639075E-2</v>
      </c>
      <c r="P230" s="79"/>
      <c r="Q230" s="25"/>
      <c r="R230" s="5"/>
    </row>
    <row r="231" spans="1:18" ht="15.6" x14ac:dyDescent="0.3">
      <c r="A231" s="24"/>
      <c r="B231" s="54" t="s">
        <v>229</v>
      </c>
      <c r="C231" s="93"/>
      <c r="D231" s="25"/>
      <c r="E231" s="94"/>
      <c r="F231" s="93"/>
      <c r="G231" s="93"/>
      <c r="H231" s="93"/>
      <c r="I231" s="93"/>
      <c r="J231" s="93"/>
      <c r="K231" s="93"/>
      <c r="L231" s="54">
        <v>14</v>
      </c>
      <c r="M231" s="94">
        <f t="shared" si="3"/>
        <v>0.25454545454545452</v>
      </c>
      <c r="N231" s="53">
        <v>1439</v>
      </c>
      <c r="O231" s="136">
        <f t="shared" si="4"/>
        <v>0.2189592209373098</v>
      </c>
      <c r="P231" s="79"/>
      <c r="Q231" s="25"/>
      <c r="R231" s="5"/>
    </row>
    <row r="232" spans="1:18" ht="15.6" x14ac:dyDescent="0.3">
      <c r="A232" s="24"/>
      <c r="B232" s="54" t="s">
        <v>230</v>
      </c>
      <c r="C232" s="93"/>
      <c r="D232" s="25"/>
      <c r="E232" s="94"/>
      <c r="F232" s="93"/>
      <c r="G232" s="93"/>
      <c r="H232" s="93"/>
      <c r="I232" s="93"/>
      <c r="J232" s="93"/>
      <c r="K232" s="93"/>
      <c r="L232" s="54">
        <v>17</v>
      </c>
      <c r="M232" s="94">
        <f t="shared" si="3"/>
        <v>0.30909090909090908</v>
      </c>
      <c r="N232" s="53">
        <v>2114</v>
      </c>
      <c r="O232" s="136">
        <f t="shared" si="4"/>
        <v>0.32166768107121119</v>
      </c>
      <c r="P232" s="79"/>
      <c r="Q232" s="25"/>
      <c r="R232" s="5"/>
    </row>
    <row r="233" spans="1:18" ht="15.6" x14ac:dyDescent="0.3">
      <c r="A233" s="24"/>
      <c r="B233" s="54" t="s">
        <v>231</v>
      </c>
      <c r="C233" s="93"/>
      <c r="D233" s="25"/>
      <c r="E233" s="94"/>
      <c r="F233" s="93"/>
      <c r="G233" s="93"/>
      <c r="H233" s="93"/>
      <c r="I233" s="93"/>
      <c r="J233" s="93"/>
      <c r="K233" s="93"/>
      <c r="L233" s="54">
        <v>7</v>
      </c>
      <c r="M233" s="94">
        <f t="shared" si="3"/>
        <v>0.12727272727272726</v>
      </c>
      <c r="N233" s="53">
        <v>815</v>
      </c>
      <c r="O233" s="136">
        <f t="shared" si="4"/>
        <v>0.12401095556908096</v>
      </c>
      <c r="P233" s="79"/>
      <c r="Q233" s="25"/>
      <c r="R233" s="5"/>
    </row>
    <row r="234" spans="1:18" ht="15.6" x14ac:dyDescent="0.3">
      <c r="A234" s="24"/>
      <c r="B234" s="25" t="s">
        <v>129</v>
      </c>
      <c r="C234" s="25"/>
      <c r="D234" s="25"/>
      <c r="E234" s="25"/>
      <c r="F234" s="95"/>
      <c r="G234" s="95"/>
      <c r="H234" s="95"/>
      <c r="I234" s="95"/>
      <c r="J234" s="95"/>
      <c r="K234" s="95"/>
      <c r="L234" s="34">
        <f>SUM(L226:L233)</f>
        <v>55</v>
      </c>
      <c r="M234" s="136">
        <f>SUM(M226:M233)</f>
        <v>1</v>
      </c>
      <c r="N234" s="53">
        <f>SUM(N226:N233)</f>
        <v>6572</v>
      </c>
      <c r="O234" s="136">
        <f>SUM(O226:O233)</f>
        <v>1</v>
      </c>
      <c r="P234" s="25"/>
      <c r="Q234" s="25"/>
      <c r="R234" s="5"/>
    </row>
    <row r="235" spans="1:18" ht="15.6" x14ac:dyDescent="0.3">
      <c r="A235" s="24"/>
      <c r="B235" s="25"/>
      <c r="C235" s="25"/>
      <c r="D235" s="25"/>
      <c r="E235" s="25"/>
      <c r="F235" s="95"/>
      <c r="G235" s="95"/>
      <c r="H235" s="95"/>
      <c r="I235" s="95"/>
      <c r="J235" s="95"/>
      <c r="K235" s="95"/>
      <c r="L235" s="34"/>
      <c r="M235" s="136"/>
      <c r="N235" s="53"/>
      <c r="O235" s="136"/>
      <c r="P235" s="25"/>
      <c r="Q235" s="25"/>
      <c r="R235" s="5"/>
    </row>
    <row r="236" spans="1:18" ht="15.6" x14ac:dyDescent="0.3">
      <c r="A236" s="148"/>
      <c r="B236" s="14" t="s">
        <v>239</v>
      </c>
      <c r="C236" s="81"/>
      <c r="D236" s="82"/>
      <c r="E236" s="81"/>
      <c r="F236" s="17"/>
      <c r="G236" s="17"/>
      <c r="H236" s="17"/>
      <c r="I236" s="17"/>
      <c r="J236" s="17"/>
      <c r="K236" s="17"/>
      <c r="L236" s="83" t="s">
        <v>113</v>
      </c>
      <c r="M236" s="17" t="s">
        <v>114</v>
      </c>
      <c r="N236" s="83" t="s">
        <v>123</v>
      </c>
      <c r="O236" s="17" t="s">
        <v>114</v>
      </c>
      <c r="P236" s="150"/>
      <c r="Q236" s="149"/>
      <c r="R236" s="5"/>
    </row>
    <row r="237" spans="1:18" ht="15.6" x14ac:dyDescent="0.3">
      <c r="A237" s="24"/>
      <c r="B237" s="54" t="s">
        <v>98</v>
      </c>
      <c r="C237" s="93"/>
      <c r="D237" s="25"/>
      <c r="E237" s="93"/>
      <c r="F237" s="93"/>
      <c r="G237" s="93"/>
      <c r="H237" s="93"/>
      <c r="I237" s="93"/>
      <c r="J237" s="93"/>
      <c r="K237" s="93"/>
      <c r="L237" s="54">
        <v>0</v>
      </c>
      <c r="M237" s="94">
        <v>0</v>
      </c>
      <c r="N237" s="53">
        <v>0</v>
      </c>
      <c r="O237" s="136">
        <v>0</v>
      </c>
      <c r="P237" s="25"/>
      <c r="Q237" s="25"/>
      <c r="R237" s="5"/>
    </row>
    <row r="238" spans="1:18" ht="15.6" x14ac:dyDescent="0.3">
      <c r="A238" s="24"/>
      <c r="B238" s="54" t="s">
        <v>99</v>
      </c>
      <c r="C238" s="93"/>
      <c r="D238" s="25"/>
      <c r="E238" s="94"/>
      <c r="F238" s="93"/>
      <c r="G238" s="93"/>
      <c r="H238" s="93"/>
      <c r="I238" s="93"/>
      <c r="J238" s="93"/>
      <c r="K238" s="93"/>
      <c r="L238" s="54">
        <v>0</v>
      </c>
      <c r="M238" s="94">
        <v>0</v>
      </c>
      <c r="N238" s="53">
        <v>0</v>
      </c>
      <c r="O238" s="136">
        <v>0</v>
      </c>
      <c r="P238" s="25"/>
      <c r="Q238" s="25"/>
      <c r="R238" s="5"/>
    </row>
    <row r="239" spans="1:18" ht="15.6" x14ac:dyDescent="0.3">
      <c r="A239" s="24"/>
      <c r="B239" s="54" t="s">
        <v>100</v>
      </c>
      <c r="C239" s="93"/>
      <c r="D239" s="25"/>
      <c r="E239" s="94"/>
      <c r="F239" s="93"/>
      <c r="G239" s="93"/>
      <c r="H239" s="93"/>
      <c r="I239" s="93"/>
      <c r="J239" s="93"/>
      <c r="K239" s="93"/>
      <c r="L239" s="54">
        <v>0</v>
      </c>
      <c r="M239" s="94">
        <v>0</v>
      </c>
      <c r="N239" s="53">
        <v>0</v>
      </c>
      <c r="O239" s="136">
        <v>0</v>
      </c>
      <c r="P239" s="25"/>
      <c r="Q239" s="25"/>
      <c r="R239" s="5"/>
    </row>
    <row r="240" spans="1:18" ht="15.6" x14ac:dyDescent="0.3">
      <c r="A240" s="24"/>
      <c r="B240" s="54" t="s">
        <v>227</v>
      </c>
      <c r="C240" s="93"/>
      <c r="D240" s="25"/>
      <c r="E240" s="94"/>
      <c r="F240" s="93"/>
      <c r="G240" s="93"/>
      <c r="H240" s="93"/>
      <c r="I240" s="93"/>
      <c r="J240" s="93"/>
      <c r="K240" s="93"/>
      <c r="L240" s="54">
        <v>0</v>
      </c>
      <c r="M240" s="94">
        <v>0</v>
      </c>
      <c r="N240" s="53">
        <v>0</v>
      </c>
      <c r="O240" s="136">
        <v>0</v>
      </c>
      <c r="P240" s="25"/>
      <c r="Q240" s="25"/>
      <c r="R240" s="5"/>
    </row>
    <row r="241" spans="1:18" ht="15.6" x14ac:dyDescent="0.3">
      <c r="A241" s="24"/>
      <c r="B241" s="54" t="s">
        <v>228</v>
      </c>
      <c r="C241" s="93"/>
      <c r="D241" s="25"/>
      <c r="E241" s="94"/>
      <c r="F241" s="93"/>
      <c r="G241" s="93"/>
      <c r="H241" s="93"/>
      <c r="I241" s="93"/>
      <c r="J241" s="93"/>
      <c r="K241" s="93"/>
      <c r="L241" s="54">
        <v>0</v>
      </c>
      <c r="M241" s="94">
        <v>0</v>
      </c>
      <c r="N241" s="53">
        <v>0</v>
      </c>
      <c r="O241" s="136">
        <v>0</v>
      </c>
      <c r="P241" s="25"/>
      <c r="Q241" s="25"/>
      <c r="R241" s="5"/>
    </row>
    <row r="242" spans="1:18" ht="15.6" x14ac:dyDescent="0.3">
      <c r="A242" s="24"/>
      <c r="B242" s="54" t="s">
        <v>229</v>
      </c>
      <c r="C242" s="93"/>
      <c r="D242" s="25"/>
      <c r="E242" s="94"/>
      <c r="F242" s="93"/>
      <c r="G242" s="93"/>
      <c r="H242" s="93"/>
      <c r="I242" s="93"/>
      <c r="J242" s="93"/>
      <c r="K242" s="93"/>
      <c r="L242" s="54">
        <v>0</v>
      </c>
      <c r="M242" s="94">
        <v>0</v>
      </c>
      <c r="N242" s="53">
        <v>0</v>
      </c>
      <c r="O242" s="136">
        <v>0</v>
      </c>
      <c r="P242" s="25"/>
      <c r="Q242" s="25"/>
      <c r="R242" s="5"/>
    </row>
    <row r="243" spans="1:18" ht="15.6" x14ac:dyDescent="0.3">
      <c r="A243" s="24"/>
      <c r="B243" s="54" t="s">
        <v>230</v>
      </c>
      <c r="C243" s="93"/>
      <c r="D243" s="25"/>
      <c r="E243" s="94"/>
      <c r="F243" s="93"/>
      <c r="G243" s="93"/>
      <c r="H243" s="93"/>
      <c r="I243" s="93"/>
      <c r="J243" s="93"/>
      <c r="K243" s="93"/>
      <c r="L243" s="54">
        <v>0</v>
      </c>
      <c r="M243" s="94">
        <v>0</v>
      </c>
      <c r="N243" s="53">
        <v>0</v>
      </c>
      <c r="O243" s="136">
        <v>0</v>
      </c>
      <c r="P243" s="25"/>
      <c r="Q243" s="25"/>
      <c r="R243" s="5"/>
    </row>
    <row r="244" spans="1:18" ht="15.6" x14ac:dyDescent="0.3">
      <c r="A244" s="24"/>
      <c r="B244" s="54" t="s">
        <v>231</v>
      </c>
      <c r="C244" s="93"/>
      <c r="D244" s="25"/>
      <c r="E244" s="94"/>
      <c r="F244" s="93"/>
      <c r="G244" s="93"/>
      <c r="H244" s="93"/>
      <c r="I244" s="93"/>
      <c r="J244" s="93"/>
      <c r="K244" s="93"/>
      <c r="L244" s="54">
        <v>0</v>
      </c>
      <c r="M244" s="94">
        <v>0</v>
      </c>
      <c r="N244" s="53">
        <v>0</v>
      </c>
      <c r="O244" s="136">
        <v>0</v>
      </c>
      <c r="P244" s="25"/>
      <c r="Q244" s="25"/>
      <c r="R244" s="5"/>
    </row>
    <row r="245" spans="1:18" ht="15.6" x14ac:dyDescent="0.3">
      <c r="A245" s="24"/>
      <c r="B245" s="25" t="s">
        <v>129</v>
      </c>
      <c r="C245" s="25"/>
      <c r="D245" s="25"/>
      <c r="E245" s="25"/>
      <c r="F245" s="95"/>
      <c r="G245" s="95"/>
      <c r="H245" s="95"/>
      <c r="I245" s="95"/>
      <c r="J245" s="95"/>
      <c r="K245" s="95"/>
      <c r="L245" s="34">
        <f>SUM(L237:L244)</f>
        <v>0</v>
      </c>
      <c r="M245" s="136">
        <v>0</v>
      </c>
      <c r="N245" s="53">
        <f>SUM(N237:N244)</f>
        <v>0</v>
      </c>
      <c r="O245" s="136">
        <v>0</v>
      </c>
      <c r="P245" s="25"/>
      <c r="Q245" s="25"/>
      <c r="R245" s="5"/>
    </row>
    <row r="246" spans="1:18" ht="15.6" x14ac:dyDescent="0.3">
      <c r="A246" s="24"/>
      <c r="B246" s="25"/>
      <c r="C246" s="25"/>
      <c r="D246" s="25"/>
      <c r="E246" s="25"/>
      <c r="F246" s="95"/>
      <c r="G246" s="95"/>
      <c r="H246" s="95"/>
      <c r="I246" s="95"/>
      <c r="J246" s="95"/>
      <c r="K246" s="95"/>
      <c r="L246" s="34"/>
      <c r="M246" s="136"/>
      <c r="N246" s="53"/>
      <c r="O246" s="136"/>
      <c r="P246" s="25"/>
      <c r="Q246" s="25"/>
      <c r="R246" s="5"/>
    </row>
    <row r="247" spans="1:18" ht="15.6" x14ac:dyDescent="0.3">
      <c r="A247" s="24"/>
      <c r="B247" s="152" t="s">
        <v>240</v>
      </c>
      <c r="C247" s="25"/>
      <c r="D247" s="25"/>
      <c r="E247" s="25"/>
      <c r="F247" s="95"/>
      <c r="G247" s="95"/>
      <c r="H247" s="95"/>
      <c r="I247" s="95"/>
      <c r="J247" s="95"/>
      <c r="K247" s="95"/>
      <c r="L247" s="173">
        <f>+L223+L234+L245</f>
        <v>8143</v>
      </c>
      <c r="M247" s="136"/>
      <c r="N247" s="153">
        <f>+N245+N234+N223</f>
        <v>765678</v>
      </c>
      <c r="O247" s="136"/>
      <c r="P247" s="25"/>
      <c r="Q247" s="25"/>
      <c r="R247" s="5"/>
    </row>
    <row r="248" spans="1:18" ht="15.6" x14ac:dyDescent="0.3">
      <c r="A248" s="24"/>
      <c r="B248" s="25"/>
      <c r="C248" s="25"/>
      <c r="D248" s="25"/>
      <c r="E248" s="25"/>
      <c r="F248" s="95"/>
      <c r="G248" s="95"/>
      <c r="H248" s="95"/>
      <c r="I248" s="95"/>
      <c r="J248" s="95"/>
      <c r="K248" s="95"/>
      <c r="L248" s="95"/>
      <c r="M248" s="95"/>
      <c r="N248" s="53"/>
      <c r="O248" s="95"/>
      <c r="P248" s="25"/>
      <c r="Q248" s="25"/>
      <c r="R248" s="5"/>
    </row>
    <row r="249" spans="1:18" ht="15.6" x14ac:dyDescent="0.3">
      <c r="A249" s="6"/>
      <c r="B249" s="8"/>
      <c r="C249" s="8"/>
      <c r="D249" s="8"/>
      <c r="E249" s="8"/>
      <c r="F249" s="96"/>
      <c r="G249" s="96"/>
      <c r="H249" s="96"/>
      <c r="I249" s="96"/>
      <c r="J249" s="96"/>
      <c r="K249" s="96"/>
      <c r="L249" s="96"/>
      <c r="M249" s="96"/>
      <c r="N249" s="97"/>
      <c r="O249" s="96"/>
      <c r="P249" s="8"/>
      <c r="Q249" s="8"/>
      <c r="R249" s="5"/>
    </row>
    <row r="250" spans="1:18" ht="15.6" x14ac:dyDescent="0.3">
      <c r="A250" s="145"/>
      <c r="B250" s="14" t="s">
        <v>234</v>
      </c>
      <c r="C250" s="15"/>
      <c r="D250" s="17"/>
      <c r="E250" s="15"/>
      <c r="F250" s="14"/>
      <c r="G250" s="140"/>
      <c r="H250" s="140"/>
      <c r="I250" s="140"/>
      <c r="J250" s="140"/>
      <c r="K250" s="140"/>
      <c r="L250" s="140"/>
      <c r="M250" s="140"/>
      <c r="N250" s="140"/>
      <c r="O250" s="140"/>
      <c r="P250" s="140"/>
      <c r="Q250" s="140"/>
      <c r="R250" s="5"/>
    </row>
    <row r="251" spans="1:18" ht="15.6" x14ac:dyDescent="0.3">
      <c r="A251" s="145"/>
      <c r="B251" s="140"/>
      <c r="C251" s="8"/>
      <c r="D251" s="8"/>
      <c r="E251" s="8"/>
      <c r="F251" s="8"/>
      <c r="G251" s="140"/>
      <c r="H251" s="140"/>
      <c r="I251" s="140"/>
      <c r="J251" s="140"/>
      <c r="K251" s="140"/>
      <c r="L251" s="140"/>
      <c r="M251" s="140"/>
      <c r="N251" s="140"/>
      <c r="O251" s="140"/>
      <c r="P251" s="140"/>
      <c r="Q251" s="140"/>
      <c r="R251" s="5"/>
    </row>
    <row r="252" spans="1:18" ht="15.6" x14ac:dyDescent="0.3">
      <c r="A252" s="145"/>
      <c r="B252" s="13" t="s">
        <v>232</v>
      </c>
      <c r="C252" s="13"/>
      <c r="D252" s="134"/>
      <c r="E252" s="13"/>
      <c r="F252" s="13"/>
      <c r="G252" s="140"/>
      <c r="H252" s="140"/>
      <c r="I252" s="140"/>
      <c r="J252" s="140"/>
      <c r="K252" s="140"/>
      <c r="L252" s="140"/>
      <c r="M252" s="140"/>
      <c r="N252" s="140"/>
      <c r="O252" s="140"/>
      <c r="P252" s="140"/>
      <c r="Q252" s="140"/>
      <c r="R252" s="5"/>
    </row>
    <row r="253" spans="1:18" ht="15.6" x14ac:dyDescent="0.3">
      <c r="A253" s="145"/>
      <c r="B253" s="13" t="s">
        <v>233</v>
      </c>
      <c r="C253" s="13"/>
      <c r="D253" s="134"/>
      <c r="E253" s="13"/>
      <c r="F253" s="13"/>
      <c r="G253" s="140"/>
      <c r="H253" s="140"/>
      <c r="I253" s="140"/>
      <c r="J253" s="140"/>
      <c r="K253" s="140"/>
      <c r="L253" s="140"/>
      <c r="M253" s="140"/>
      <c r="N253" s="140"/>
      <c r="O253" s="140"/>
      <c r="P253" s="140"/>
      <c r="Q253" s="140"/>
      <c r="R253" s="5"/>
    </row>
    <row r="254" spans="1:18" ht="15.6" x14ac:dyDescent="0.3">
      <c r="A254" s="145"/>
      <c r="B254" s="13"/>
      <c r="C254" s="13"/>
      <c r="D254" s="13"/>
      <c r="E254" s="99"/>
      <c r="F254" s="140"/>
      <c r="G254" s="140"/>
      <c r="H254" s="140"/>
      <c r="I254" s="140"/>
      <c r="J254" s="140"/>
      <c r="K254" s="140"/>
      <c r="L254" s="140"/>
      <c r="M254" s="140"/>
      <c r="N254" s="140"/>
      <c r="O254" s="140"/>
      <c r="P254" s="140"/>
      <c r="Q254" s="140"/>
      <c r="R254" s="5"/>
    </row>
    <row r="255" spans="1:18" ht="15.6" x14ac:dyDescent="0.3">
      <c r="A255" s="145"/>
      <c r="B255" s="13"/>
      <c r="C255" s="13"/>
      <c r="D255" s="13"/>
      <c r="E255" s="99"/>
      <c r="F255" s="140"/>
      <c r="G255" s="140"/>
      <c r="H255" s="140"/>
      <c r="I255" s="140"/>
      <c r="J255" s="140"/>
      <c r="K255" s="140"/>
      <c r="L255" s="140"/>
      <c r="M255" s="140"/>
      <c r="N255" s="140"/>
      <c r="O255" s="140"/>
      <c r="P255" s="140"/>
      <c r="Q255" s="140"/>
      <c r="R255" s="5"/>
    </row>
    <row r="256" spans="1:18" ht="18" thickBot="1" x14ac:dyDescent="0.35">
      <c r="A256" s="145"/>
      <c r="B256" s="49" t="str">
        <f>B178</f>
        <v>PM7 INVESTOR REPORT QUARTER ENDING OCTOBER 2005</v>
      </c>
      <c r="C256" s="13"/>
      <c r="D256" s="13"/>
      <c r="E256" s="99"/>
      <c r="F256" s="140"/>
      <c r="G256" s="140"/>
      <c r="H256" s="140"/>
      <c r="I256" s="140"/>
      <c r="J256" s="140"/>
      <c r="K256" s="140"/>
      <c r="L256" s="140"/>
      <c r="M256" s="140"/>
      <c r="N256" s="140"/>
      <c r="O256" s="140"/>
      <c r="P256" s="140"/>
      <c r="Q256" s="140"/>
      <c r="R256" s="5"/>
    </row>
    <row r="257" spans="1:17" x14ac:dyDescent="0.25">
      <c r="A257" s="100"/>
      <c r="B257" s="100"/>
      <c r="C257" s="100"/>
      <c r="D257" s="100"/>
      <c r="E257" s="100"/>
      <c r="F257" s="100"/>
      <c r="G257" s="100"/>
      <c r="H257" s="100"/>
      <c r="I257" s="100"/>
      <c r="J257" s="100"/>
      <c r="K257" s="100"/>
      <c r="L257" s="100"/>
      <c r="M257" s="100"/>
      <c r="N257" s="100"/>
      <c r="O257" s="100"/>
      <c r="P257" s="100"/>
      <c r="Q257" s="100"/>
    </row>
  </sheetData>
  <phoneticPr fontId="0" type="noConversion"/>
  <hyperlinks>
    <hyperlink ref="H9" r:id="rId1"/>
    <hyperlink ref="J212"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28" max="14" man="1"/>
    <brk id="178" max="14" man="1"/>
  </rowBreak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0.96360000000000001</v>
      </c>
      <c r="N17" s="246" t="s">
        <v>173</v>
      </c>
      <c r="O17" s="245">
        <v>3.6400000000000002E-2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42782</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323</v>
      </c>
      <c r="K27" s="392"/>
      <c r="L27" s="392" t="s">
        <v>323</v>
      </c>
      <c r="M27" s="392"/>
      <c r="N27" s="262"/>
      <c r="O27" s="263"/>
      <c r="P27" s="263"/>
      <c r="Q27" s="264"/>
      <c r="R27" s="5"/>
    </row>
    <row r="28" spans="1:19" ht="15.6" x14ac:dyDescent="0.3">
      <c r="A28" s="265"/>
      <c r="B28" s="266" t="s">
        <v>10</v>
      </c>
      <c r="C28" s="392"/>
      <c r="D28" s="392" t="s">
        <v>322</v>
      </c>
      <c r="E28" s="392"/>
      <c r="F28" s="392" t="s">
        <v>322</v>
      </c>
      <c r="G28" s="392"/>
      <c r="H28" s="392" t="s">
        <v>322</v>
      </c>
      <c r="I28" s="392"/>
      <c r="J28" s="392" t="s">
        <v>322</v>
      </c>
      <c r="K28" s="392"/>
      <c r="L28" s="392" t="s">
        <v>322</v>
      </c>
      <c r="M28" s="392"/>
      <c r="N28" s="262"/>
      <c r="O28" s="263"/>
      <c r="P28" s="263"/>
      <c r="Q28" s="264"/>
      <c r="R28" s="5"/>
    </row>
    <row r="29" spans="1:19" ht="15.6" x14ac:dyDescent="0.3">
      <c r="A29" s="265"/>
      <c r="B29" s="266" t="s">
        <v>136</v>
      </c>
      <c r="C29" s="392"/>
      <c r="D29" s="392" t="s">
        <v>177</v>
      </c>
      <c r="E29" s="392"/>
      <c r="F29" s="392" t="s">
        <v>177</v>
      </c>
      <c r="G29" s="392"/>
      <c r="H29" s="392" t="s">
        <v>177</v>
      </c>
      <c r="I29" s="392"/>
      <c r="J29" s="392" t="s">
        <v>178</v>
      </c>
      <c r="K29" s="392"/>
      <c r="L29" s="392" t="s">
        <v>178</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145977.16500000001</v>
      </c>
      <c r="E34" s="271"/>
      <c r="F34" s="272">
        <f>+F33*F40</f>
        <v>71346.176000000007</v>
      </c>
      <c r="G34" s="271"/>
      <c r="H34" s="273">
        <f>+H33*H40</f>
        <v>162206.85</v>
      </c>
      <c r="I34" s="271"/>
      <c r="J34" s="270">
        <f>J33*J40</f>
        <v>60229.661249999997</v>
      </c>
      <c r="K34" s="271"/>
      <c r="L34" s="273">
        <f>L33*L40</f>
        <v>47453.588000000003</v>
      </c>
      <c r="M34" s="271"/>
      <c r="N34" s="271"/>
      <c r="O34" s="274"/>
      <c r="P34" s="271"/>
      <c r="Q34" s="275"/>
      <c r="R34" s="5"/>
    </row>
    <row r="35" spans="1:19" ht="15.6" x14ac:dyDescent="0.3">
      <c r="A35" s="265"/>
      <c r="B35" s="266" t="s">
        <v>158</v>
      </c>
      <c r="C35" s="276"/>
      <c r="D35" s="277">
        <f>+D33*D39</f>
        <v>144795.64499999999</v>
      </c>
      <c r="E35" s="278"/>
      <c r="F35" s="279">
        <f>+F33*F39</f>
        <v>70768.72</v>
      </c>
      <c r="G35" s="278"/>
      <c r="H35" s="280">
        <f>+H33*H39</f>
        <v>160893.95000000001</v>
      </c>
      <c r="I35" s="278"/>
      <c r="J35" s="277">
        <f>J33*J39</f>
        <v>59742.168750000004</v>
      </c>
      <c r="K35" s="278"/>
      <c r="L35" s="280">
        <f>L33*L39</f>
        <v>47069.496500000001</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82055.741989881964</v>
      </c>
      <c r="E37" s="271"/>
      <c r="F37" s="271">
        <f>+F34</f>
        <v>71346.176000000007</v>
      </c>
      <c r="G37" s="271"/>
      <c r="H37" s="271">
        <f>+H34/1.481481</f>
        <v>109489.65933413929</v>
      </c>
      <c r="I37" s="271"/>
      <c r="J37" s="271">
        <f>J36*J40</f>
        <v>33855.640131</v>
      </c>
      <c r="K37" s="271"/>
      <c r="L37" s="271">
        <f>L36*L40</f>
        <v>32031.171900000001</v>
      </c>
      <c r="M37" s="271"/>
      <c r="N37" s="271"/>
      <c r="O37" s="274"/>
      <c r="P37" s="271">
        <f>SUM(C37:L37)+1</f>
        <v>328779.3893550213</v>
      </c>
      <c r="Q37" s="275"/>
      <c r="R37" s="5"/>
      <c r="S37" s="154"/>
    </row>
    <row r="38" spans="1:19" ht="15.6" x14ac:dyDescent="0.3">
      <c r="A38" s="265"/>
      <c r="B38" s="266" t="s">
        <v>281</v>
      </c>
      <c r="C38" s="276"/>
      <c r="D38" s="278">
        <f>D35/1.779</f>
        <v>81391.593591905563</v>
      </c>
      <c r="E38" s="278"/>
      <c r="F38" s="278">
        <f>+F35</f>
        <v>70768.72</v>
      </c>
      <c r="G38" s="278"/>
      <c r="H38" s="278">
        <f>H35/1.481481</f>
        <v>108603.45154612175</v>
      </c>
      <c r="I38" s="278"/>
      <c r="J38" s="278">
        <f>J36*J39</f>
        <v>33581.616164999999</v>
      </c>
      <c r="K38" s="278"/>
      <c r="L38" s="278">
        <f>L36*L39</f>
        <v>31771.910137499999</v>
      </c>
      <c r="M38" s="278"/>
      <c r="N38" s="278"/>
      <c r="O38" s="281"/>
      <c r="P38" s="278">
        <f>SUM(D38:L38)+1</f>
        <v>326118.2914405273</v>
      </c>
      <c r="Q38" s="275"/>
      <c r="R38" s="5"/>
      <c r="S38" s="176"/>
    </row>
    <row r="39" spans="1:19" ht="15.6" x14ac:dyDescent="0.3">
      <c r="A39" s="265"/>
      <c r="B39" s="282" t="s">
        <v>154</v>
      </c>
      <c r="C39" s="283"/>
      <c r="D39" s="284">
        <v>0.3217681</v>
      </c>
      <c r="E39" s="284"/>
      <c r="F39" s="284">
        <v>0.32167600000000002</v>
      </c>
      <c r="G39" s="284"/>
      <c r="H39" s="284">
        <v>0.32178790000000002</v>
      </c>
      <c r="I39" s="284"/>
      <c r="J39" s="284">
        <v>0.72414750000000006</v>
      </c>
      <c r="K39" s="284"/>
      <c r="L39" s="284">
        <v>0.72414610000000001</v>
      </c>
      <c r="M39" s="285"/>
      <c r="N39" s="285"/>
      <c r="O39" s="286"/>
      <c r="P39" s="285"/>
      <c r="Q39" s="287"/>
      <c r="R39" s="5"/>
    </row>
    <row r="40" spans="1:19" ht="15.6" x14ac:dyDescent="0.3">
      <c r="A40" s="265"/>
      <c r="B40" s="282" t="s">
        <v>155</v>
      </c>
      <c r="C40" s="283"/>
      <c r="D40" s="284">
        <v>0.32439370000000001</v>
      </c>
      <c r="E40" s="284"/>
      <c r="F40" s="284">
        <v>0.3243008</v>
      </c>
      <c r="G40" s="284"/>
      <c r="H40" s="284">
        <v>0.32441370000000003</v>
      </c>
      <c r="I40" s="284"/>
      <c r="J40" s="284">
        <v>0.7300565</v>
      </c>
      <c r="K40" s="284"/>
      <c r="L40" s="284">
        <v>0.73005520000000002</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1.32567E-2</v>
      </c>
      <c r="E42" s="290"/>
      <c r="F42" s="289">
        <v>8.1775000000000007E-3</v>
      </c>
      <c r="G42" s="290"/>
      <c r="H42" s="289">
        <v>1.08E-3</v>
      </c>
      <c r="I42" s="290"/>
      <c r="J42" s="289">
        <v>2.40567E-2</v>
      </c>
      <c r="K42" s="290"/>
      <c r="L42" s="289">
        <v>1.188E-2</v>
      </c>
      <c r="M42" s="290"/>
      <c r="N42" s="289"/>
      <c r="O42" s="263"/>
      <c r="P42" s="290"/>
      <c r="Q42" s="264"/>
      <c r="R42" s="5"/>
    </row>
    <row r="43" spans="1:19" ht="15.6" x14ac:dyDescent="0.3">
      <c r="A43" s="260"/>
      <c r="B43" s="261" t="s">
        <v>14</v>
      </c>
      <c r="C43" s="261"/>
      <c r="D43" s="289">
        <v>1.2370000000000001E-2</v>
      </c>
      <c r="E43" s="290"/>
      <c r="F43" s="289">
        <v>8.0563000000000006E-3</v>
      </c>
      <c r="G43" s="290"/>
      <c r="H43" s="289">
        <v>1.2099999999999999E-3</v>
      </c>
      <c r="I43" s="290"/>
      <c r="J43" s="289">
        <v>2.317E-2</v>
      </c>
      <c r="K43" s="290"/>
      <c r="L43" s="289">
        <v>1.201E-2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1.00675E-2</v>
      </c>
      <c r="E45" s="290"/>
      <c r="F45" s="289">
        <f>+F42</f>
        <v>8.1775000000000007E-3</v>
      </c>
      <c r="G45" s="290"/>
      <c r="H45" s="289">
        <v>9.8274999999999994E-3</v>
      </c>
      <c r="I45" s="290"/>
      <c r="J45" s="289">
        <v>2.23275E-2</v>
      </c>
      <c r="K45" s="290"/>
      <c r="L45" s="289">
        <v>2.23275E-2</v>
      </c>
      <c r="M45" s="290"/>
      <c r="N45" s="289"/>
      <c r="O45" s="263"/>
      <c r="P45" s="290">
        <f>SUMPRODUCT(D45:L45,D37:L37)/P37</f>
        <v>1.2034291344154525E-2</v>
      </c>
      <c r="Q45" s="264"/>
      <c r="R45" s="5"/>
    </row>
    <row r="46" spans="1:19" ht="15.6" x14ac:dyDescent="0.3">
      <c r="A46" s="260"/>
      <c r="B46" s="261" t="s">
        <v>283</v>
      </c>
      <c r="C46" s="261"/>
      <c r="D46" s="289">
        <v>9.9462999999999999E-3</v>
      </c>
      <c r="E46" s="290"/>
      <c r="F46" s="289">
        <f>+F43</f>
        <v>8.0563000000000006E-3</v>
      </c>
      <c r="G46" s="290"/>
      <c r="H46" s="289">
        <v>9.7062999999999993E-3</v>
      </c>
      <c r="I46" s="290"/>
      <c r="J46" s="289">
        <v>2.2206300000000002E-2</v>
      </c>
      <c r="K46" s="290"/>
      <c r="L46" s="289">
        <v>2.2206300000000002E-2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0.25062349543813006</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42781</v>
      </c>
      <c r="Q57" s="264"/>
      <c r="R57" s="5"/>
    </row>
    <row r="58" spans="1:18" ht="15.6" x14ac:dyDescent="0.3">
      <c r="A58" s="260"/>
      <c r="B58" s="261" t="s">
        <v>142</v>
      </c>
      <c r="C58" s="261"/>
      <c r="D58" s="261"/>
      <c r="E58" s="261"/>
      <c r="F58" s="297"/>
      <c r="G58" s="297"/>
      <c r="H58" s="297"/>
      <c r="I58" s="297"/>
      <c r="J58" s="297"/>
      <c r="K58" s="297"/>
      <c r="L58" s="261">
        <f>+P58-N58+1</f>
        <v>92</v>
      </c>
      <c r="M58" s="297"/>
      <c r="N58" s="298">
        <v>42597</v>
      </c>
      <c r="O58" s="299"/>
      <c r="P58" s="298">
        <v>42688</v>
      </c>
      <c r="Q58" s="264"/>
      <c r="R58" s="5"/>
    </row>
    <row r="59" spans="1:18" ht="15.6" x14ac:dyDescent="0.3">
      <c r="A59" s="260"/>
      <c r="B59" s="261" t="s">
        <v>143</v>
      </c>
      <c r="C59" s="261"/>
      <c r="D59" s="261"/>
      <c r="E59" s="261"/>
      <c r="F59" s="261"/>
      <c r="G59" s="261"/>
      <c r="H59" s="261"/>
      <c r="I59" s="261"/>
      <c r="J59" s="261"/>
      <c r="K59" s="261"/>
      <c r="L59" s="261">
        <f>+P59-N59+1</f>
        <v>92</v>
      </c>
      <c r="M59" s="261"/>
      <c r="N59" s="298">
        <v>42689</v>
      </c>
      <c r="O59" s="299"/>
      <c r="P59" s="298">
        <v>42780</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42767</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329</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328779</v>
      </c>
      <c r="I69" s="330"/>
      <c r="J69" s="330">
        <f>2661+122</f>
        <v>2783</v>
      </c>
      <c r="K69" s="330"/>
      <c r="L69" s="330">
        <v>122</v>
      </c>
      <c r="M69" s="330"/>
      <c r="N69" s="330">
        <v>0</v>
      </c>
      <c r="O69" s="330"/>
      <c r="P69" s="331">
        <f>+H69-J69+L69-N69</f>
        <v>326118</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328779</v>
      </c>
      <c r="I72" s="330"/>
      <c r="J72" s="330">
        <f>SUM(J69:J71)</f>
        <v>2783</v>
      </c>
      <c r="K72" s="330"/>
      <c r="L72" s="330">
        <f>SUM(L69:L71)</f>
        <v>122</v>
      </c>
      <c r="M72" s="330"/>
      <c r="N72" s="330">
        <f>SUM(N69:N71)</f>
        <v>0</v>
      </c>
      <c r="O72" s="330"/>
      <c r="P72" s="330">
        <f>SUM(P69:P71)</f>
        <v>326118</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328779</v>
      </c>
      <c r="I86" s="330"/>
      <c r="J86" s="330">
        <f>SUM(J72:J85)</f>
        <v>2783</v>
      </c>
      <c r="K86" s="330"/>
      <c r="L86" s="330">
        <f>SUM(L72:L85)</f>
        <v>122</v>
      </c>
      <c r="M86" s="330"/>
      <c r="N86" s="330"/>
      <c r="O86" s="330"/>
      <c r="P86" s="330">
        <f>SUM(P72:P85)</f>
        <v>326118</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42766</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2783-42</f>
        <v>2741</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2218+98-704-34</f>
        <v>1578</v>
      </c>
      <c r="Q92" s="264"/>
      <c r="R92" s="5"/>
    </row>
    <row r="93" spans="1:18" ht="15.6" x14ac:dyDescent="0.3">
      <c r="A93" s="260"/>
      <c r="B93" s="261" t="s">
        <v>249</v>
      </c>
      <c r="C93" s="261"/>
      <c r="D93" s="261"/>
      <c r="E93" s="261"/>
      <c r="F93" s="292"/>
      <c r="G93" s="332"/>
      <c r="H93" s="333"/>
      <c r="I93" s="261"/>
      <c r="J93" s="261"/>
      <c r="K93" s="261"/>
      <c r="L93" s="261"/>
      <c r="M93" s="261"/>
      <c r="N93" s="330"/>
      <c r="O93" s="261"/>
      <c r="P93" s="331">
        <v>33</v>
      </c>
      <c r="Q93" s="264"/>
      <c r="R93" s="5"/>
    </row>
    <row r="94" spans="1:18" ht="15.6" x14ac:dyDescent="0.3">
      <c r="A94" s="260"/>
      <c r="B94" s="261" t="s">
        <v>250</v>
      </c>
      <c r="C94" s="261"/>
      <c r="D94" s="261"/>
      <c r="E94" s="261"/>
      <c r="F94" s="292"/>
      <c r="G94" s="332"/>
      <c r="H94" s="333"/>
      <c r="I94" s="261"/>
      <c r="J94" s="261"/>
      <c r="K94" s="261"/>
      <c r="L94" s="261"/>
      <c r="M94" s="261"/>
      <c r="N94" s="330"/>
      <c r="O94" s="261"/>
      <c r="P94" s="331">
        <v>17</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195</v>
      </c>
      <c r="Q97" s="264"/>
      <c r="R97" s="5"/>
    </row>
    <row r="98" spans="1:19" ht="15.6" x14ac:dyDescent="0.3">
      <c r="A98" s="260"/>
      <c r="B98" s="261" t="s">
        <v>35</v>
      </c>
      <c r="C98" s="261"/>
      <c r="D98" s="261"/>
      <c r="E98" s="261"/>
      <c r="F98" s="261"/>
      <c r="G98" s="261"/>
      <c r="H98" s="261"/>
      <c r="I98" s="261"/>
      <c r="J98" s="261"/>
      <c r="K98" s="261"/>
      <c r="L98" s="261"/>
      <c r="M98" s="261"/>
      <c r="N98" s="330">
        <f>SUM(N90:N97)</f>
        <v>2741</v>
      </c>
      <c r="O98" s="261"/>
      <c r="P98" s="330">
        <f>SUM(P92:P97)</f>
        <v>1823</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-10</v>
      </c>
      <c r="Q101" s="264"/>
      <c r="R101" s="5"/>
    </row>
    <row r="102" spans="1:19" ht="15.6" x14ac:dyDescent="0.3">
      <c r="A102" s="260"/>
      <c r="B102" s="261" t="s">
        <v>37</v>
      </c>
      <c r="C102" s="261"/>
      <c r="D102" s="261"/>
      <c r="E102" s="261"/>
      <c r="F102" s="261"/>
      <c r="G102" s="261"/>
      <c r="H102" s="261"/>
      <c r="I102" s="261"/>
      <c r="J102" s="261"/>
      <c r="K102" s="261"/>
      <c r="L102" s="261"/>
      <c r="M102" s="261"/>
      <c r="N102" s="330">
        <f>N98+N100+N99</f>
        <v>2741</v>
      </c>
      <c r="O102" s="261"/>
      <c r="P102" s="330">
        <f>P98+P100+P99+P101</f>
        <v>1813</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-84-43-5</f>
        <v>-132</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-208</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-147</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-271</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-191</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-180</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42</v>
      </c>
      <c r="O115" s="261"/>
      <c r="P115" s="331">
        <v>-42</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-170</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-462</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-122</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-664</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-578</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-886</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-274</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-259</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-2783</v>
      </c>
      <c r="O129" s="330"/>
      <c r="P129" s="330">
        <f>SUM(P103:P128)</f>
        <v>-1813</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JANUARY 2017</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42</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42</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-42</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f>-P101</f>
        <v>10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326118</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326118.2914405273</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+'Oct 16'!M173</f>
        <v>91910</v>
      </c>
      <c r="N171" s="331">
        <f>+'Oct 16'!N173</f>
        <v>10233</v>
      </c>
      <c r="O171" s="261"/>
      <c r="P171" s="331">
        <f>M171+N171</f>
        <v>102143</v>
      </c>
      <c r="Q171" s="264"/>
      <c r="R171" s="5"/>
    </row>
    <row r="172" spans="1:19" ht="15.6" x14ac:dyDescent="0.3">
      <c r="A172" s="260"/>
      <c r="B172" s="261" t="s">
        <v>69</v>
      </c>
      <c r="C172" s="261"/>
      <c r="D172" s="261"/>
      <c r="E172" s="261"/>
      <c r="F172" s="261"/>
      <c r="G172" s="261"/>
      <c r="H172" s="261"/>
      <c r="I172" s="261"/>
      <c r="J172" s="261"/>
      <c r="K172" s="261"/>
      <c r="L172" s="261"/>
      <c r="M172" s="330">
        <v>122</v>
      </c>
      <c r="N172" s="330">
        <f>-N99-N122</f>
        <v>0</v>
      </c>
      <c r="O172" s="261"/>
      <c r="P172" s="331">
        <f>M172+N172</f>
        <v>122</v>
      </c>
      <c r="Q172" s="264"/>
      <c r="R172" s="5"/>
    </row>
    <row r="173" spans="1:19" ht="15.6" x14ac:dyDescent="0.3">
      <c r="A173" s="260"/>
      <c r="B173" s="261" t="s">
        <v>70</v>
      </c>
      <c r="C173" s="261"/>
      <c r="D173" s="261"/>
      <c r="E173" s="261"/>
      <c r="F173" s="261"/>
      <c r="G173" s="261"/>
      <c r="H173" s="261"/>
      <c r="I173" s="261"/>
      <c r="J173" s="261"/>
      <c r="K173" s="261"/>
      <c r="L173" s="261"/>
      <c r="M173" s="331">
        <f>M171+M172</f>
        <v>92032</v>
      </c>
      <c r="N173" s="331">
        <f>N172+N171</f>
        <v>10233</v>
      </c>
      <c r="O173" s="261"/>
      <c r="P173" s="331">
        <f>M173+N173</f>
        <v>102265</v>
      </c>
      <c r="Q173" s="264"/>
      <c r="R173" s="5"/>
    </row>
    <row r="174" spans="1:19" ht="15.6" x14ac:dyDescent="0.3">
      <c r="A174" s="260"/>
      <c r="B174" s="261" t="s">
        <v>71</v>
      </c>
      <c r="C174" s="261"/>
      <c r="D174" s="261"/>
      <c r="E174" s="261"/>
      <c r="F174" s="261"/>
      <c r="G174" s="261"/>
      <c r="H174" s="261"/>
      <c r="I174" s="261"/>
      <c r="J174" s="261"/>
      <c r="K174" s="261"/>
      <c r="L174" s="261"/>
      <c r="M174" s="331">
        <f>M170-M173-N173</f>
        <v>41735</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2.6821086261980831</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1.6</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2.8382749326145551</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2.62</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JANUARY 2017</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42766</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2.1299999999999999E-2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1.2034291344154525E-2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9.2657086558454744E-3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5.5143424610452612E-3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10.1</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8.4646525477600452E-3</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8.9499999999999996E-2</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0</v>
      </c>
      <c r="N206" s="305">
        <v>0</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22</v>
      </c>
      <c r="N207" s="353">
        <f>+N255</f>
        <v>3286</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42</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'Oct 16'!N213+'Jan 17'!N212</f>
        <v>6681</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2</v>
      </c>
      <c r="N219" s="353">
        <v>255</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1.32</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2757</v>
      </c>
      <c r="M225" s="382">
        <f t="shared" ref="M225:M232" si="2">L225/$L$233</f>
        <v>0.99423007573025601</v>
      </c>
      <c r="N225" s="331">
        <f t="shared" ref="N225:N230" si="3">+N236+N247+N258</f>
        <v>324439</v>
      </c>
      <c r="O225" s="382">
        <f t="shared" ref="O225:O232" si="4">N225/$N$233</f>
        <v>0.99485155679845949</v>
      </c>
      <c r="P225" s="306"/>
      <c r="Q225" s="417"/>
      <c r="R225" s="5"/>
    </row>
    <row r="226" spans="1:18" ht="15.6" x14ac:dyDescent="0.3">
      <c r="A226" s="260"/>
      <c r="B226" s="330" t="s">
        <v>99</v>
      </c>
      <c r="C226" s="381"/>
      <c r="D226" s="261"/>
      <c r="E226" s="382"/>
      <c r="F226" s="381"/>
      <c r="G226" s="381"/>
      <c r="H226" s="381"/>
      <c r="I226" s="381"/>
      <c r="J226" s="381"/>
      <c r="K226" s="381"/>
      <c r="L226" s="330">
        <f t="shared" si="1"/>
        <v>5</v>
      </c>
      <c r="M226" s="382">
        <f t="shared" si="2"/>
        <v>1.8031013342949874E-3</v>
      </c>
      <c r="N226" s="331">
        <f t="shared" si="3"/>
        <v>690</v>
      </c>
      <c r="O226" s="382">
        <f t="shared" si="4"/>
        <v>2.1157985759755671E-3</v>
      </c>
      <c r="P226" s="354"/>
      <c r="Q226" s="373"/>
      <c r="R226" s="5"/>
    </row>
    <row r="227" spans="1:18" ht="15.6" x14ac:dyDescent="0.3">
      <c r="A227" s="260"/>
      <c r="B227" s="330" t="s">
        <v>100</v>
      </c>
      <c r="C227" s="381"/>
      <c r="D227" s="261"/>
      <c r="E227" s="382"/>
      <c r="F227" s="381"/>
      <c r="G227" s="381"/>
      <c r="H227" s="381"/>
      <c r="I227" s="381"/>
      <c r="J227" s="381"/>
      <c r="K227" s="381"/>
      <c r="L227" s="330">
        <f t="shared" si="1"/>
        <v>0</v>
      </c>
      <c r="M227" s="382">
        <f t="shared" si="2"/>
        <v>0</v>
      </c>
      <c r="N227" s="331">
        <f t="shared" si="3"/>
        <v>0</v>
      </c>
      <c r="O227" s="382">
        <f t="shared" si="4"/>
        <v>0</v>
      </c>
      <c r="P227" s="354"/>
      <c r="Q227" s="373"/>
      <c r="R227" s="5"/>
    </row>
    <row r="228" spans="1:18" ht="15.6" x14ac:dyDescent="0.3">
      <c r="A228" s="260"/>
      <c r="B228" s="330" t="s">
        <v>227</v>
      </c>
      <c r="C228" s="381"/>
      <c r="D228" s="261"/>
      <c r="E228" s="382"/>
      <c r="F228" s="381"/>
      <c r="G228" s="381"/>
      <c r="H228" s="381"/>
      <c r="I228" s="381"/>
      <c r="J228" s="381"/>
      <c r="K228" s="381"/>
      <c r="L228" s="330">
        <f t="shared" si="1"/>
        <v>7</v>
      </c>
      <c r="M228" s="382">
        <f t="shared" si="2"/>
        <v>2.5243418680129825E-3</v>
      </c>
      <c r="N228" s="331">
        <f t="shared" si="3"/>
        <v>443</v>
      </c>
      <c r="O228" s="382">
        <f t="shared" si="4"/>
        <v>1.3584040132712698E-3</v>
      </c>
      <c r="P228" s="354"/>
      <c r="Q228" s="373"/>
      <c r="R228" s="5"/>
    </row>
    <row r="229" spans="1:18" ht="15.6" x14ac:dyDescent="0.3">
      <c r="A229" s="260"/>
      <c r="B229" s="330" t="s">
        <v>228</v>
      </c>
      <c r="C229" s="381"/>
      <c r="D229" s="261"/>
      <c r="E229" s="382"/>
      <c r="F229" s="381"/>
      <c r="G229" s="381"/>
      <c r="H229" s="381"/>
      <c r="I229" s="381"/>
      <c r="J229" s="381"/>
      <c r="K229" s="381"/>
      <c r="L229" s="330">
        <f t="shared" si="1"/>
        <v>1</v>
      </c>
      <c r="M229" s="382">
        <f t="shared" si="2"/>
        <v>3.6062026685899749E-4</v>
      </c>
      <c r="N229" s="331">
        <f t="shared" si="3"/>
        <v>221</v>
      </c>
      <c r="O229" s="382">
        <f t="shared" si="4"/>
        <v>6.7766881926173959E-4</v>
      </c>
      <c r="P229" s="354"/>
      <c r="Q229" s="373"/>
      <c r="R229" s="5"/>
    </row>
    <row r="230" spans="1:18" ht="15.6" x14ac:dyDescent="0.3">
      <c r="A230" s="260"/>
      <c r="B230" s="330" t="s">
        <v>229</v>
      </c>
      <c r="C230" s="381"/>
      <c r="D230" s="261"/>
      <c r="E230" s="382"/>
      <c r="F230" s="381"/>
      <c r="G230" s="381"/>
      <c r="H230" s="381"/>
      <c r="I230" s="381"/>
      <c r="J230" s="381"/>
      <c r="K230" s="381"/>
      <c r="L230" s="330">
        <f t="shared" si="1"/>
        <v>0</v>
      </c>
      <c r="M230" s="382">
        <f t="shared" si="2"/>
        <v>0</v>
      </c>
      <c r="N230" s="331">
        <f t="shared" si="3"/>
        <v>0</v>
      </c>
      <c r="O230" s="382">
        <f t="shared" si="4"/>
        <v>0</v>
      </c>
      <c r="P230" s="354"/>
      <c r="Q230" s="373"/>
      <c r="R230" s="5"/>
    </row>
    <row r="231" spans="1:18" ht="15.6" x14ac:dyDescent="0.3">
      <c r="A231" s="260"/>
      <c r="B231" s="330" t="s">
        <v>230</v>
      </c>
      <c r="C231" s="381"/>
      <c r="D231" s="261"/>
      <c r="E231" s="382"/>
      <c r="F231" s="381"/>
      <c r="G231" s="381"/>
      <c r="H231" s="381"/>
      <c r="I231" s="381"/>
      <c r="J231" s="381"/>
      <c r="K231" s="381"/>
      <c r="L231" s="330">
        <f t="shared" si="1"/>
        <v>3</v>
      </c>
      <c r="M231" s="382">
        <f t="shared" si="2"/>
        <v>1.0818608005769925E-3</v>
      </c>
      <c r="N231" s="331">
        <f>+N242+N253+N264</f>
        <v>325</v>
      </c>
      <c r="O231" s="382">
        <f t="shared" si="4"/>
        <v>9.9657179303197009E-4</v>
      </c>
      <c r="P231" s="354"/>
      <c r="Q231" s="373"/>
      <c r="R231" s="5"/>
    </row>
    <row r="232" spans="1:18" ht="15.6" x14ac:dyDescent="0.3">
      <c r="A232" s="260"/>
      <c r="B232" s="330" t="s">
        <v>231</v>
      </c>
      <c r="C232" s="381"/>
      <c r="D232" s="261"/>
      <c r="E232" s="382"/>
      <c r="F232" s="381"/>
      <c r="G232" s="381"/>
      <c r="H232" s="381"/>
      <c r="I232" s="381"/>
      <c r="J232" s="381"/>
      <c r="K232" s="381"/>
      <c r="L232" s="330">
        <f t="shared" si="1"/>
        <v>0</v>
      </c>
      <c r="M232" s="382">
        <f t="shared" si="2"/>
        <v>0</v>
      </c>
      <c r="N232" s="331">
        <f>+N243+N254+N265</f>
        <v>0</v>
      </c>
      <c r="O232" s="382">
        <f t="shared" si="4"/>
        <v>0</v>
      </c>
      <c r="P232" s="354"/>
      <c r="Q232" s="373"/>
      <c r="R232" s="5"/>
    </row>
    <row r="233" spans="1:18" ht="15.6" x14ac:dyDescent="0.3">
      <c r="A233" s="260"/>
      <c r="B233" s="261" t="s">
        <v>129</v>
      </c>
      <c r="C233" s="261"/>
      <c r="D233" s="261"/>
      <c r="E233" s="261"/>
      <c r="F233" s="383"/>
      <c r="G233" s="383"/>
      <c r="H233" s="383"/>
      <c r="I233" s="383"/>
      <c r="J233" s="383"/>
      <c r="K233" s="383"/>
      <c r="L233" s="330">
        <f>SUM(L225:L232)</f>
        <v>2773</v>
      </c>
      <c r="M233" s="382">
        <f>SUM(M225:M232)</f>
        <v>1</v>
      </c>
      <c r="N233" s="330">
        <f>SUM(N225:N232)</f>
        <v>326118</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2744</v>
      </c>
      <c r="M236" s="310">
        <f t="shared" ref="M236:M243" si="5">L236/$L$244</f>
        <v>0.99745547073791352</v>
      </c>
      <c r="N236" s="300">
        <v>322127</v>
      </c>
      <c r="O236" s="310">
        <f t="shared" ref="O236:O243" si="6">N236/$N$244</f>
        <v>0.99781620161570106</v>
      </c>
      <c r="P236" s="306"/>
      <c r="Q236" s="417"/>
      <c r="R236" s="5"/>
    </row>
    <row r="237" spans="1:18" ht="15.6" x14ac:dyDescent="0.3">
      <c r="A237" s="260"/>
      <c r="B237" s="330" t="s">
        <v>99</v>
      </c>
      <c r="C237" s="381"/>
      <c r="D237" s="261"/>
      <c r="E237" s="382"/>
      <c r="F237" s="381"/>
      <c r="G237" s="381"/>
      <c r="H237" s="381"/>
      <c r="I237" s="381"/>
      <c r="J237" s="381"/>
      <c r="K237" s="381"/>
      <c r="L237" s="330">
        <v>4</v>
      </c>
      <c r="M237" s="382">
        <f t="shared" si="5"/>
        <v>1.4540167211922936E-3</v>
      </c>
      <c r="N237" s="331">
        <v>621</v>
      </c>
      <c r="O237" s="382">
        <f t="shared" si="6"/>
        <v>1.9236011299995045E-3</v>
      </c>
      <c r="P237" s="354"/>
      <c r="Q237" s="373"/>
      <c r="R237" s="5"/>
    </row>
    <row r="238" spans="1:18" ht="15.6" x14ac:dyDescent="0.3">
      <c r="A238" s="260"/>
      <c r="B238" s="330" t="s">
        <v>100</v>
      </c>
      <c r="C238" s="381"/>
      <c r="D238" s="261"/>
      <c r="E238" s="382"/>
      <c r="F238" s="381"/>
      <c r="G238" s="381"/>
      <c r="H238" s="381"/>
      <c r="I238" s="381"/>
      <c r="J238" s="381"/>
      <c r="K238" s="381"/>
      <c r="L238" s="330">
        <v>0</v>
      </c>
      <c r="M238" s="382">
        <f t="shared" si="5"/>
        <v>0</v>
      </c>
      <c r="N238" s="331">
        <v>0</v>
      </c>
      <c r="O238" s="382">
        <f t="shared" si="6"/>
        <v>0</v>
      </c>
      <c r="P238" s="354"/>
      <c r="Q238" s="373"/>
      <c r="R238" s="5"/>
    </row>
    <row r="239" spans="1:18" ht="15.6" x14ac:dyDescent="0.3">
      <c r="A239" s="260"/>
      <c r="B239" s="330" t="s">
        <v>227</v>
      </c>
      <c r="C239" s="381"/>
      <c r="D239" s="261"/>
      <c r="E239" s="382"/>
      <c r="F239" s="381"/>
      <c r="G239" s="381"/>
      <c r="H239" s="381"/>
      <c r="I239" s="381"/>
      <c r="J239" s="381"/>
      <c r="K239" s="381"/>
      <c r="L239" s="330">
        <v>2</v>
      </c>
      <c r="M239" s="382">
        <f t="shared" si="5"/>
        <v>7.2700836059614682E-4</v>
      </c>
      <c r="N239" s="331">
        <v>75</v>
      </c>
      <c r="O239" s="382">
        <f t="shared" si="6"/>
        <v>2.3231897705308023E-4</v>
      </c>
      <c r="P239" s="354"/>
      <c r="Q239" s="373"/>
      <c r="R239" s="5"/>
    </row>
    <row r="240" spans="1:18" ht="15.6" x14ac:dyDescent="0.3">
      <c r="A240" s="260"/>
      <c r="B240" s="330" t="s">
        <v>228</v>
      </c>
      <c r="C240" s="381"/>
      <c r="D240" s="261"/>
      <c r="E240" s="382"/>
      <c r="F240" s="381"/>
      <c r="G240" s="381"/>
      <c r="H240" s="381"/>
      <c r="I240" s="381"/>
      <c r="J240" s="381"/>
      <c r="K240" s="381"/>
      <c r="L240" s="330">
        <v>0</v>
      </c>
      <c r="M240" s="382">
        <f t="shared" si="5"/>
        <v>0</v>
      </c>
      <c r="N240" s="331">
        <v>0</v>
      </c>
      <c r="O240" s="382">
        <f t="shared" si="6"/>
        <v>0</v>
      </c>
      <c r="P240" s="354"/>
      <c r="Q240" s="373"/>
      <c r="R240" s="5"/>
    </row>
    <row r="241" spans="1:18" ht="15.6" x14ac:dyDescent="0.3">
      <c r="A241" s="260"/>
      <c r="B241" s="330" t="s">
        <v>229</v>
      </c>
      <c r="C241" s="381"/>
      <c r="D241" s="261"/>
      <c r="E241" s="382"/>
      <c r="F241" s="381"/>
      <c r="G241" s="381"/>
      <c r="H241" s="381"/>
      <c r="I241" s="381"/>
      <c r="J241" s="381"/>
      <c r="K241" s="381"/>
      <c r="L241" s="330">
        <v>0</v>
      </c>
      <c r="M241" s="382">
        <f t="shared" si="5"/>
        <v>0</v>
      </c>
      <c r="N241" s="331">
        <v>0</v>
      </c>
      <c r="O241" s="382">
        <f t="shared" si="6"/>
        <v>0</v>
      </c>
      <c r="P241" s="354"/>
      <c r="Q241" s="373"/>
      <c r="R241" s="5"/>
    </row>
    <row r="242" spans="1:18" ht="15.6" x14ac:dyDescent="0.3">
      <c r="A242" s="260"/>
      <c r="B242" s="330" t="s">
        <v>230</v>
      </c>
      <c r="C242" s="381"/>
      <c r="D242" s="261"/>
      <c r="E242" s="382"/>
      <c r="F242" s="381"/>
      <c r="G242" s="381"/>
      <c r="H242" s="381"/>
      <c r="I242" s="381"/>
      <c r="J242" s="381"/>
      <c r="K242" s="381"/>
      <c r="L242" s="330">
        <v>1</v>
      </c>
      <c r="M242" s="382">
        <f t="shared" si="5"/>
        <v>3.6350418029807341E-4</v>
      </c>
      <c r="N242" s="331">
        <v>9</v>
      </c>
      <c r="O242" s="382">
        <f t="shared" si="6"/>
        <v>2.787827724636963E-5</v>
      </c>
      <c r="P242" s="354"/>
      <c r="Q242" s="373"/>
      <c r="R242" s="5"/>
    </row>
    <row r="243" spans="1:18" ht="15.6" x14ac:dyDescent="0.3">
      <c r="A243" s="260"/>
      <c r="B243" s="330" t="s">
        <v>231</v>
      </c>
      <c r="C243" s="381"/>
      <c r="D243" s="261"/>
      <c r="E243" s="382"/>
      <c r="F243" s="381"/>
      <c r="G243" s="381"/>
      <c r="H243" s="381"/>
      <c r="I243" s="381"/>
      <c r="J243" s="381"/>
      <c r="K243" s="381"/>
      <c r="L243" s="330">
        <v>0</v>
      </c>
      <c r="M243" s="382">
        <f t="shared" si="5"/>
        <v>0</v>
      </c>
      <c r="N243" s="331">
        <v>0</v>
      </c>
      <c r="O243" s="382">
        <f t="shared" si="6"/>
        <v>0</v>
      </c>
      <c r="P243" s="354"/>
      <c r="Q243" s="373"/>
      <c r="R243" s="5"/>
    </row>
    <row r="244" spans="1:18" ht="15.6" x14ac:dyDescent="0.3">
      <c r="A244" s="260"/>
      <c r="B244" s="261" t="s">
        <v>129</v>
      </c>
      <c r="C244" s="261"/>
      <c r="D244" s="261"/>
      <c r="E244" s="261"/>
      <c r="F244" s="383"/>
      <c r="G244" s="383"/>
      <c r="H244" s="383"/>
      <c r="I244" s="383"/>
      <c r="J244" s="383"/>
      <c r="K244" s="383"/>
      <c r="L244" s="330">
        <f>SUM(L236:L243)</f>
        <v>2751</v>
      </c>
      <c r="M244" s="382">
        <f>SUM(M236:M243)</f>
        <v>1</v>
      </c>
      <c r="N244" s="331">
        <f>SUM(N236:N243)</f>
        <v>322832</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13</v>
      </c>
      <c r="M247" s="310">
        <f t="shared" ref="M247:M254" si="7">L247/$L$255</f>
        <v>0.59090909090909094</v>
      </c>
      <c r="N247" s="300">
        <v>2312</v>
      </c>
      <c r="O247" s="310">
        <f t="shared" ref="O247:O254" si="8">N247/$N$255</f>
        <v>0.70359099208764453</v>
      </c>
      <c r="P247" s="306"/>
      <c r="Q247" s="408"/>
      <c r="R247" s="5"/>
    </row>
    <row r="248" spans="1:18" ht="15.6" x14ac:dyDescent="0.3">
      <c r="A248" s="260"/>
      <c r="B248" s="330" t="s">
        <v>99</v>
      </c>
      <c r="C248" s="381"/>
      <c r="D248" s="261"/>
      <c r="E248" s="382"/>
      <c r="F248" s="381"/>
      <c r="G248" s="381"/>
      <c r="H248" s="381"/>
      <c r="I248" s="381"/>
      <c r="J248" s="381"/>
      <c r="K248" s="381"/>
      <c r="L248" s="330">
        <v>1</v>
      </c>
      <c r="M248" s="382">
        <f t="shared" si="7"/>
        <v>4.5454545454545456E-2</v>
      </c>
      <c r="N248" s="331">
        <v>69</v>
      </c>
      <c r="O248" s="382">
        <f t="shared" si="8"/>
        <v>2.0998174071819843E-2</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5</v>
      </c>
      <c r="M250" s="382">
        <f t="shared" si="7"/>
        <v>0.22727272727272727</v>
      </c>
      <c r="N250" s="331">
        <v>368</v>
      </c>
      <c r="O250" s="382">
        <f t="shared" si="8"/>
        <v>0.11199026171637248</v>
      </c>
      <c r="P250" s="354"/>
      <c r="Q250" s="264"/>
      <c r="R250" s="5"/>
    </row>
    <row r="251" spans="1:18" ht="15.6" x14ac:dyDescent="0.3">
      <c r="A251" s="260"/>
      <c r="B251" s="330" t="s">
        <v>228</v>
      </c>
      <c r="C251" s="381"/>
      <c r="D251" s="261"/>
      <c r="E251" s="382"/>
      <c r="F251" s="381"/>
      <c r="G251" s="381"/>
      <c r="H251" s="381"/>
      <c r="I251" s="381"/>
      <c r="J251" s="381"/>
      <c r="K251" s="381"/>
      <c r="L251" s="330">
        <v>1</v>
      </c>
      <c r="M251" s="382">
        <f t="shared" si="7"/>
        <v>4.5454545454545456E-2</v>
      </c>
      <c r="N251" s="331">
        <v>221</v>
      </c>
      <c r="O251" s="382">
        <f t="shared" si="8"/>
        <v>6.725502130249543E-2</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2</v>
      </c>
      <c r="M253" s="382">
        <f t="shared" si="7"/>
        <v>9.0909090909090912E-2</v>
      </c>
      <c r="N253" s="331">
        <v>316</v>
      </c>
      <c r="O253" s="382">
        <f t="shared" si="8"/>
        <v>9.6165550821667681E-2</v>
      </c>
      <c r="P253" s="354"/>
      <c r="Q253" s="264"/>
      <c r="R253" s="5"/>
    </row>
    <row r="254" spans="1:18" ht="15.6" x14ac:dyDescent="0.3">
      <c r="A254" s="260"/>
      <c r="B254" s="330" t="s">
        <v>231</v>
      </c>
      <c r="C254" s="381"/>
      <c r="D254" s="261"/>
      <c r="E254" s="382"/>
      <c r="F254" s="381"/>
      <c r="G254" s="381"/>
      <c r="H254" s="381"/>
      <c r="I254" s="381"/>
      <c r="J254" s="381"/>
      <c r="K254" s="381"/>
      <c r="L254" s="330">
        <v>0</v>
      </c>
      <c r="M254" s="382">
        <f t="shared" si="7"/>
        <v>0</v>
      </c>
      <c r="N254" s="331">
        <v>0</v>
      </c>
      <c r="O254" s="382">
        <f t="shared" si="8"/>
        <v>0</v>
      </c>
      <c r="P254" s="354"/>
      <c r="Q254" s="264"/>
      <c r="R254" s="5"/>
    </row>
    <row r="255" spans="1:18" ht="15.6" x14ac:dyDescent="0.3">
      <c r="A255" s="260"/>
      <c r="B255" s="261" t="s">
        <v>129</v>
      </c>
      <c r="C255" s="261"/>
      <c r="D255" s="261"/>
      <c r="E255" s="261"/>
      <c r="F255" s="383"/>
      <c r="G255" s="383"/>
      <c r="H255" s="383"/>
      <c r="I255" s="383"/>
      <c r="J255" s="383"/>
      <c r="K255" s="383"/>
      <c r="L255" s="330">
        <f>SUM(L247:L254)</f>
        <v>22</v>
      </c>
      <c r="M255" s="382">
        <f>SUM(M247:M254)</f>
        <v>1</v>
      </c>
      <c r="N255" s="331">
        <f>SUM(N247:N254)</f>
        <v>3286</v>
      </c>
      <c r="O255" s="382">
        <f>SUM(O247:O254)</f>
        <v>0.99999999999999989</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f>SUM(M258:M265)</f>
        <v>0</v>
      </c>
      <c r="N266" s="331">
        <f>SUM(N258:N265)</f>
        <v>0</v>
      </c>
      <c r="O266" s="382">
        <f>SUM(O258:O265)</f>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2773</v>
      </c>
      <c r="M268" s="382"/>
      <c r="N268" s="386">
        <f>+N266+N255+N244</f>
        <v>326118</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310</v>
      </c>
      <c r="C273" s="228"/>
      <c r="D273" s="228"/>
      <c r="E273" s="228"/>
      <c r="F273" s="313" t="s">
        <v>264</v>
      </c>
      <c r="G273" s="228"/>
      <c r="H273" s="228" t="s">
        <v>265</v>
      </c>
      <c r="I273" s="249"/>
      <c r="J273" s="249"/>
      <c r="K273" s="249"/>
      <c r="L273" s="249"/>
      <c r="M273" s="249"/>
      <c r="N273" s="249"/>
      <c r="O273" s="249"/>
      <c r="P273" s="249"/>
      <c r="Q273" s="418"/>
      <c r="R273" s="5"/>
    </row>
    <row r="274" spans="1:18" ht="15.6" x14ac:dyDescent="0.3">
      <c r="A274" s="225"/>
      <c r="B274" s="228" t="s">
        <v>311</v>
      </c>
      <c r="C274" s="228"/>
      <c r="D274" s="228"/>
      <c r="E274" s="228"/>
      <c r="F274" s="313" t="s">
        <v>211</v>
      </c>
      <c r="G274" s="228"/>
      <c r="H274" s="228" t="s">
        <v>223</v>
      </c>
      <c r="I274" s="249"/>
      <c r="J274" s="249"/>
      <c r="K274" s="249"/>
      <c r="L274" s="249"/>
      <c r="M274" s="249"/>
      <c r="N274" s="249"/>
      <c r="O274" s="249"/>
      <c r="P274" s="249"/>
      <c r="Q274" s="418"/>
      <c r="R274" s="5"/>
    </row>
    <row r="275" spans="1:18" ht="15.6" x14ac:dyDescent="0.3">
      <c r="A275" s="225"/>
      <c r="B275" s="228"/>
      <c r="C275" s="228"/>
      <c r="D275" s="228"/>
      <c r="E275" s="314"/>
      <c r="F275" s="249"/>
      <c r="G275" s="249"/>
      <c r="H275" s="249"/>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8" thickBot="1" x14ac:dyDescent="0.35">
      <c r="A277" s="225"/>
      <c r="B277" s="315" t="str">
        <f>B185</f>
        <v>PM7 INVESTOR REPORT QUARTER ENDING JANUARY 2017</v>
      </c>
      <c r="C277" s="228"/>
      <c r="D277" s="228"/>
      <c r="E277" s="314"/>
      <c r="F277" s="249"/>
      <c r="G277" s="249"/>
      <c r="H277" s="249"/>
      <c r="I277" s="249"/>
      <c r="J277" s="249"/>
      <c r="K277" s="249"/>
      <c r="L277" s="249"/>
      <c r="M277" s="249"/>
      <c r="N277" s="249"/>
      <c r="O277" s="249"/>
      <c r="P277" s="249"/>
      <c r="Q277" s="41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40" orientation="landscape" r:id="rId3"/>
  <headerFooter alignWithMargins="0"/>
  <rowBreaks count="4" manualBreakCount="4">
    <brk id="65" max="16" man="1"/>
    <brk id="133" max="16" man="1"/>
    <brk id="185" max="16" man="1"/>
    <brk id="277" max="16" man="1"/>
  </rowBreak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S278"/>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0.96440000000000003</v>
      </c>
      <c r="N17" s="246" t="s">
        <v>173</v>
      </c>
      <c r="O17" s="245">
        <v>3.56E-2</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42873</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315</v>
      </c>
      <c r="E27" s="392"/>
      <c r="F27" s="392" t="s">
        <v>315</v>
      </c>
      <c r="G27" s="392"/>
      <c r="H27" s="392" t="s">
        <v>315</v>
      </c>
      <c r="I27" s="392"/>
      <c r="J27" s="392" t="s">
        <v>323</v>
      </c>
      <c r="K27" s="392"/>
      <c r="L27" s="392" t="s">
        <v>323</v>
      </c>
      <c r="M27" s="392"/>
      <c r="N27" s="262"/>
      <c r="O27" s="263"/>
      <c r="P27" s="263"/>
      <c r="Q27" s="264"/>
      <c r="R27" s="5"/>
    </row>
    <row r="28" spans="1:19" ht="15.6" x14ac:dyDescent="0.3">
      <c r="A28" s="265"/>
      <c r="B28" s="266" t="s">
        <v>10</v>
      </c>
      <c r="C28" s="392"/>
      <c r="D28" s="392" t="s">
        <v>322</v>
      </c>
      <c r="E28" s="392"/>
      <c r="F28" s="392" t="s">
        <v>322</v>
      </c>
      <c r="G28" s="392"/>
      <c r="H28" s="392" t="s">
        <v>322</v>
      </c>
      <c r="I28" s="392"/>
      <c r="J28" s="392" t="s">
        <v>322</v>
      </c>
      <c r="K28" s="392"/>
      <c r="L28" s="392" t="s">
        <v>322</v>
      </c>
      <c r="M28" s="392"/>
      <c r="N28" s="262"/>
      <c r="O28" s="263"/>
      <c r="P28" s="263"/>
      <c r="Q28" s="264"/>
      <c r="R28" s="5"/>
    </row>
    <row r="29" spans="1:19" ht="15.6" x14ac:dyDescent="0.3">
      <c r="A29" s="265"/>
      <c r="B29" s="266" t="s">
        <v>136</v>
      </c>
      <c r="C29" s="392"/>
      <c r="D29" s="392" t="s">
        <v>331</v>
      </c>
      <c r="E29" s="392"/>
      <c r="F29" s="392" t="s">
        <v>331</v>
      </c>
      <c r="G29" s="392"/>
      <c r="H29" s="392" t="s">
        <v>331</v>
      </c>
      <c r="I29" s="392"/>
      <c r="J29" s="392" t="s">
        <v>332</v>
      </c>
      <c r="K29" s="392"/>
      <c r="L29" s="392" t="s">
        <v>332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144795.64499999999</v>
      </c>
      <c r="E34" s="271"/>
      <c r="F34" s="272">
        <f>+F33*F40</f>
        <v>70768.72</v>
      </c>
      <c r="G34" s="271"/>
      <c r="H34" s="273">
        <f>+H33*H40</f>
        <v>160893.95000000001</v>
      </c>
      <c r="I34" s="271"/>
      <c r="J34" s="270">
        <f>J33*J40</f>
        <v>59742.168750000004</v>
      </c>
      <c r="K34" s="271"/>
      <c r="L34" s="273">
        <f>L33*L40</f>
        <v>47069.496500000001</v>
      </c>
      <c r="M34" s="271"/>
      <c r="N34" s="271"/>
      <c r="O34" s="274"/>
      <c r="P34" s="271"/>
      <c r="Q34" s="275"/>
      <c r="R34" s="5"/>
    </row>
    <row r="35" spans="1:19" ht="15.6" x14ac:dyDescent="0.3">
      <c r="A35" s="265"/>
      <c r="B35" s="266" t="s">
        <v>158</v>
      </c>
      <c r="C35" s="276"/>
      <c r="D35" s="277">
        <f>+D33*D39</f>
        <v>142576.155</v>
      </c>
      <c r="E35" s="278"/>
      <c r="F35" s="279">
        <f>+F33*F39</f>
        <v>69683.987999999998</v>
      </c>
      <c r="G35" s="278"/>
      <c r="H35" s="280">
        <f>+H33*H39</f>
        <v>158427.70000000001</v>
      </c>
      <c r="I35" s="278"/>
      <c r="J35" s="277">
        <f>J33*J39</f>
        <v>58826.410499999998</v>
      </c>
      <c r="K35" s="278"/>
      <c r="L35" s="280">
        <f>L33*L39</f>
        <v>46347.99</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81391.593591905563</v>
      </c>
      <c r="E37" s="271"/>
      <c r="F37" s="271">
        <f>+F34</f>
        <v>70768.72</v>
      </c>
      <c r="G37" s="271"/>
      <c r="H37" s="271">
        <f>+H34/1.481481</f>
        <v>108603.45154612175</v>
      </c>
      <c r="I37" s="271"/>
      <c r="J37" s="271">
        <f>J36*J40</f>
        <v>33581.616164999999</v>
      </c>
      <c r="K37" s="271"/>
      <c r="L37" s="271">
        <f>L36*L40</f>
        <v>31771.910137499999</v>
      </c>
      <c r="M37" s="271"/>
      <c r="N37" s="271"/>
      <c r="O37" s="274"/>
      <c r="P37" s="271">
        <f>SUM(C37:L37)+1</f>
        <v>326118.2914405273</v>
      </c>
      <c r="Q37" s="275"/>
      <c r="R37" s="5"/>
      <c r="S37" s="154"/>
    </row>
    <row r="38" spans="1:19" ht="15.6" x14ac:dyDescent="0.3">
      <c r="A38" s="265"/>
      <c r="B38" s="266" t="s">
        <v>281</v>
      </c>
      <c r="C38" s="276"/>
      <c r="D38" s="278">
        <f>D35/1.779</f>
        <v>80143.988195615515</v>
      </c>
      <c r="E38" s="278"/>
      <c r="F38" s="278">
        <f>+F35</f>
        <v>69683.987999999998</v>
      </c>
      <c r="G38" s="278"/>
      <c r="H38" s="278">
        <f>H35/1.481481</f>
        <v>106938.73225508799</v>
      </c>
      <c r="I38" s="278"/>
      <c r="J38" s="278">
        <f>J36*J39</f>
        <v>33066.860127599997</v>
      </c>
      <c r="K38" s="278"/>
      <c r="L38" s="278">
        <f>L36*L39</f>
        <v>31284.893249999997</v>
      </c>
      <c r="M38" s="278"/>
      <c r="N38" s="278"/>
      <c r="O38" s="281"/>
      <c r="P38" s="278">
        <f>SUM(D38:L38)+1</f>
        <v>321119.46182830352</v>
      </c>
      <c r="Q38" s="275"/>
      <c r="R38" s="5"/>
      <c r="S38" s="176"/>
    </row>
    <row r="39" spans="1:19" ht="15.6" x14ac:dyDescent="0.3">
      <c r="A39" s="265"/>
      <c r="B39" s="282" t="s">
        <v>154</v>
      </c>
      <c r="C39" s="283"/>
      <c r="D39" s="284">
        <v>0.3168359</v>
      </c>
      <c r="E39" s="284"/>
      <c r="F39" s="284">
        <v>0.31674540000000001</v>
      </c>
      <c r="G39" s="284"/>
      <c r="H39" s="284">
        <v>0.31685540000000001</v>
      </c>
      <c r="I39" s="284"/>
      <c r="J39" s="284">
        <v>0.7130474</v>
      </c>
      <c r="K39" s="284"/>
      <c r="L39" s="284">
        <v>0.71304599999999996</v>
      </c>
      <c r="M39" s="285"/>
      <c r="N39" s="285"/>
      <c r="O39" s="286"/>
      <c r="P39" s="285"/>
      <c r="Q39" s="287"/>
      <c r="R39" s="5"/>
    </row>
    <row r="40" spans="1:19" ht="15.6" x14ac:dyDescent="0.3">
      <c r="A40" s="265"/>
      <c r="B40" s="282" t="s">
        <v>155</v>
      </c>
      <c r="C40" s="283"/>
      <c r="D40" s="284">
        <v>0.3217681</v>
      </c>
      <c r="E40" s="284"/>
      <c r="F40" s="284">
        <v>0.32167600000000002</v>
      </c>
      <c r="G40" s="284"/>
      <c r="H40" s="284">
        <v>0.32178790000000002</v>
      </c>
      <c r="I40" s="284"/>
      <c r="J40" s="284">
        <v>0.72414750000000006</v>
      </c>
      <c r="K40" s="284"/>
      <c r="L40" s="284">
        <v>0.72414610000000001</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1.4590000000000001E-2</v>
      </c>
      <c r="E42" s="290"/>
      <c r="F42" s="289">
        <v>7.7806000000000004E-3</v>
      </c>
      <c r="G42" s="290"/>
      <c r="H42" s="289">
        <v>9.1E-4</v>
      </c>
      <c r="I42" s="290"/>
      <c r="J42" s="289">
        <v>2.5389999999999999E-2</v>
      </c>
      <c r="K42" s="290"/>
      <c r="L42" s="289">
        <v>1.171E-2</v>
      </c>
      <c r="M42" s="290"/>
      <c r="N42" s="289"/>
      <c r="O42" s="263"/>
      <c r="P42" s="290"/>
      <c r="Q42" s="264"/>
      <c r="R42" s="5"/>
    </row>
    <row r="43" spans="1:19" ht="15.6" x14ac:dyDescent="0.3">
      <c r="A43" s="260"/>
      <c r="B43" s="261" t="s">
        <v>14</v>
      </c>
      <c r="C43" s="261"/>
      <c r="D43" s="289">
        <v>1.32567E-2</v>
      </c>
      <c r="E43" s="290"/>
      <c r="F43" s="289">
        <v>8.1775000000000007E-3</v>
      </c>
      <c r="G43" s="290"/>
      <c r="H43" s="289">
        <v>1.08E-3</v>
      </c>
      <c r="I43" s="290"/>
      <c r="J43" s="289">
        <v>2.40567E-2</v>
      </c>
      <c r="K43" s="290"/>
      <c r="L43" s="289">
        <v>1.188E-2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9.6705999999999997E-3</v>
      </c>
      <c r="E45" s="290"/>
      <c r="F45" s="289">
        <f>+F42</f>
        <v>7.7806000000000004E-3</v>
      </c>
      <c r="G45" s="290"/>
      <c r="H45" s="289">
        <v>9.4306000000000008E-3</v>
      </c>
      <c r="I45" s="290"/>
      <c r="J45" s="289">
        <v>2.1930600000000001E-2</v>
      </c>
      <c r="K45" s="290"/>
      <c r="L45" s="289">
        <v>2.1930600000000001E-2</v>
      </c>
      <c r="M45" s="290"/>
      <c r="N45" s="289"/>
      <c r="O45" s="263"/>
      <c r="P45" s="290">
        <f>SUMPRODUCT(D45:L45,D37:L37)/P37</f>
        <v>1.1637392018516851E-2</v>
      </c>
      <c r="Q45" s="264"/>
      <c r="R45" s="5"/>
    </row>
    <row r="46" spans="1:19" ht="15.6" x14ac:dyDescent="0.3">
      <c r="A46" s="260"/>
      <c r="B46" s="261" t="s">
        <v>283</v>
      </c>
      <c r="C46" s="261"/>
      <c r="D46" s="289">
        <v>1.00675E-2</v>
      </c>
      <c r="E46" s="290"/>
      <c r="F46" s="289">
        <f>+F43</f>
        <v>8.1775000000000007E-3</v>
      </c>
      <c r="G46" s="290"/>
      <c r="H46" s="289">
        <v>9.8274999999999994E-3</v>
      </c>
      <c r="I46" s="290"/>
      <c r="J46" s="289">
        <v>2.23275E-2</v>
      </c>
      <c r="K46" s="290"/>
      <c r="L46" s="289">
        <v>2.23275E-2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f>SUM(J38:L38)/SUM(D38:H38)</f>
        <v>0.25062343076285082</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42870</v>
      </c>
      <c r="Q57" s="264"/>
      <c r="R57" s="5"/>
    </row>
    <row r="58" spans="1:18" ht="15.6" x14ac:dyDescent="0.3">
      <c r="A58" s="260"/>
      <c r="B58" s="261" t="s">
        <v>142</v>
      </c>
      <c r="C58" s="261"/>
      <c r="D58" s="261"/>
      <c r="E58" s="261"/>
      <c r="F58" s="297"/>
      <c r="G58" s="297"/>
      <c r="H58" s="297"/>
      <c r="I58" s="297"/>
      <c r="J58" s="297"/>
      <c r="K58" s="297"/>
      <c r="L58" s="261">
        <f>+P58-N58+1</f>
        <v>92</v>
      </c>
      <c r="M58" s="297"/>
      <c r="N58" s="298">
        <v>42689</v>
      </c>
      <c r="O58" s="299"/>
      <c r="P58" s="298">
        <v>42780</v>
      </c>
      <c r="Q58" s="264"/>
      <c r="R58" s="5"/>
    </row>
    <row r="59" spans="1:18" ht="15.6" x14ac:dyDescent="0.3">
      <c r="A59" s="260"/>
      <c r="B59" s="261" t="s">
        <v>143</v>
      </c>
      <c r="C59" s="261"/>
      <c r="D59" s="261"/>
      <c r="E59" s="261"/>
      <c r="F59" s="261"/>
      <c r="G59" s="261"/>
      <c r="H59" s="261"/>
      <c r="I59" s="261"/>
      <c r="J59" s="261"/>
      <c r="K59" s="261"/>
      <c r="L59" s="261">
        <f>+P59-N59+1</f>
        <v>89</v>
      </c>
      <c r="M59" s="261"/>
      <c r="N59" s="298">
        <v>42781</v>
      </c>
      <c r="O59" s="299"/>
      <c r="P59" s="298">
        <v>42869</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42857</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330</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326118</v>
      </c>
      <c r="I69" s="330"/>
      <c r="J69" s="330">
        <f>4999+461</f>
        <v>5460</v>
      </c>
      <c r="K69" s="330"/>
      <c r="L69" s="330">
        <v>461</v>
      </c>
      <c r="M69" s="330"/>
      <c r="N69" s="330">
        <v>0</v>
      </c>
      <c r="O69" s="330"/>
      <c r="P69" s="331">
        <f>+H69-J69+L69-N69</f>
        <v>321119</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326118</v>
      </c>
      <c r="I72" s="330"/>
      <c r="J72" s="330">
        <f>SUM(J69:J71)</f>
        <v>5460</v>
      </c>
      <c r="K72" s="330"/>
      <c r="L72" s="330">
        <f>SUM(L69:L71)</f>
        <v>461</v>
      </c>
      <c r="M72" s="330"/>
      <c r="N72" s="330">
        <f>SUM(N69:N71)</f>
        <v>0</v>
      </c>
      <c r="O72" s="330"/>
      <c r="P72" s="330">
        <f>SUM(P69:P71)</f>
        <v>321119</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+N130</f>
        <v>0</v>
      </c>
      <c r="Q85" s="264"/>
      <c r="R85" s="5"/>
    </row>
    <row r="86" spans="1:18" ht="15.6" x14ac:dyDescent="0.3">
      <c r="A86" s="260"/>
      <c r="B86" s="261" t="s">
        <v>30</v>
      </c>
      <c r="C86" s="330"/>
      <c r="D86" s="330"/>
      <c r="E86" s="330"/>
      <c r="F86" s="330">
        <f>SUM(F72:F85)</f>
        <v>900700</v>
      </c>
      <c r="G86" s="330"/>
      <c r="H86" s="330">
        <f>SUM(H72:H85)</f>
        <v>326118</v>
      </c>
      <c r="I86" s="330"/>
      <c r="J86" s="330">
        <f>SUM(J72:J85)</f>
        <v>5460</v>
      </c>
      <c r="K86" s="330"/>
      <c r="L86" s="330">
        <f>SUM(L72:L85)</f>
        <v>461</v>
      </c>
      <c r="M86" s="330"/>
      <c r="N86" s="330"/>
      <c r="O86" s="330"/>
      <c r="P86" s="330">
        <f>SUM(P72:P85)</f>
        <v>321119</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+N186</f>
        <v>42853</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5460+83</f>
        <v>5543</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2753+100-857-40</f>
        <v>1956</v>
      </c>
      <c r="Q92" s="264"/>
      <c r="R92" s="5"/>
    </row>
    <row r="93" spans="1:18" ht="15.6" x14ac:dyDescent="0.3">
      <c r="A93" s="260"/>
      <c r="B93" s="261" t="s">
        <v>249</v>
      </c>
      <c r="C93" s="261"/>
      <c r="D93" s="261"/>
      <c r="E93" s="261"/>
      <c r="F93" s="292"/>
      <c r="G93" s="332"/>
      <c r="H93" s="333"/>
      <c r="I93" s="261"/>
      <c r="J93" s="261"/>
      <c r="K93" s="261"/>
      <c r="L93" s="261"/>
      <c r="M93" s="261"/>
      <c r="N93" s="330"/>
      <c r="O93" s="261"/>
      <c r="P93" s="331">
        <v>52</v>
      </c>
      <c r="Q93" s="264"/>
      <c r="R93" s="5"/>
    </row>
    <row r="94" spans="1:18" ht="15.6" x14ac:dyDescent="0.3">
      <c r="A94" s="260"/>
      <c r="B94" s="261" t="s">
        <v>250</v>
      </c>
      <c r="C94" s="261"/>
      <c r="D94" s="261"/>
      <c r="E94" s="261"/>
      <c r="F94" s="292"/>
      <c r="G94" s="332"/>
      <c r="H94" s="333"/>
      <c r="I94" s="261"/>
      <c r="J94" s="261"/>
      <c r="K94" s="261"/>
      <c r="L94" s="261"/>
      <c r="M94" s="261"/>
      <c r="N94" s="330"/>
      <c r="O94" s="261"/>
      <c r="P94" s="331">
        <v>18</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162</v>
      </c>
      <c r="Q97" s="264"/>
      <c r="R97" s="5"/>
    </row>
    <row r="98" spans="1:19" ht="15.6" x14ac:dyDescent="0.3">
      <c r="A98" s="260"/>
      <c r="B98" s="261" t="s">
        <v>35</v>
      </c>
      <c r="C98" s="261"/>
      <c r="D98" s="261"/>
      <c r="E98" s="261"/>
      <c r="F98" s="261"/>
      <c r="G98" s="261"/>
      <c r="H98" s="261"/>
      <c r="I98" s="261"/>
      <c r="J98" s="261"/>
      <c r="K98" s="261"/>
      <c r="L98" s="261"/>
      <c r="M98" s="261"/>
      <c r="N98" s="330">
        <f>SUM(N90:N97)</f>
        <v>5543</v>
      </c>
      <c r="O98" s="261"/>
      <c r="P98" s="330">
        <f>SUM(P92:P97)</f>
        <v>2188</v>
      </c>
      <c r="Q98" s="264"/>
      <c r="R98" s="5"/>
    </row>
    <row r="99" spans="1:19" ht="15.6" x14ac:dyDescent="0.3">
      <c r="A99" s="260"/>
      <c r="B99" s="261" t="s">
        <v>237</v>
      </c>
      <c r="C99" s="261"/>
      <c r="D99" s="261"/>
      <c r="E99" s="261"/>
      <c r="F99" s="261"/>
      <c r="G99" s="261"/>
      <c r="H99" s="261"/>
      <c r="I99" s="261"/>
      <c r="J99" s="261"/>
      <c r="K99" s="261"/>
      <c r="L99" s="261"/>
      <c r="M99" s="261"/>
      <c r="N99" s="330">
        <v>0</v>
      </c>
      <c r="O99" s="261"/>
      <c r="P99" s="330">
        <f>-N99</f>
        <v>0</v>
      </c>
      <c r="Q99" s="264"/>
      <c r="R99" s="5"/>
    </row>
    <row r="100" spans="1:19" ht="15.6" x14ac:dyDescent="0.3">
      <c r="A100" s="260"/>
      <c r="B100" s="261" t="s">
        <v>36</v>
      </c>
      <c r="C100" s="261"/>
      <c r="D100" s="261"/>
      <c r="E100" s="261"/>
      <c r="F100" s="261"/>
      <c r="G100" s="261"/>
      <c r="H100" s="261"/>
      <c r="I100" s="261"/>
      <c r="J100" s="261"/>
      <c r="K100" s="261"/>
      <c r="L100" s="261"/>
      <c r="M100" s="261"/>
      <c r="N100" s="330">
        <f>-P100</f>
        <v>0</v>
      </c>
      <c r="O100" s="261"/>
      <c r="P100" s="331">
        <v>0</v>
      </c>
      <c r="Q100" s="264"/>
      <c r="R100" s="5"/>
    </row>
    <row r="101" spans="1:19" ht="15.6" x14ac:dyDescent="0.3">
      <c r="A101" s="260"/>
      <c r="B101" s="261" t="s">
        <v>268</v>
      </c>
      <c r="C101" s="261"/>
      <c r="D101" s="261"/>
      <c r="E101" s="261"/>
      <c r="F101" s="261"/>
      <c r="G101" s="261"/>
      <c r="H101" s="261"/>
      <c r="I101" s="261"/>
      <c r="J101" s="261"/>
      <c r="K101" s="261"/>
      <c r="L101" s="261"/>
      <c r="M101" s="261"/>
      <c r="N101" s="330"/>
      <c r="O101" s="261"/>
      <c r="P101" s="331">
        <v>10</v>
      </c>
      <c r="Q101" s="264"/>
      <c r="R101" s="5"/>
    </row>
    <row r="102" spans="1:19" ht="15.6" x14ac:dyDescent="0.3">
      <c r="A102" s="260"/>
      <c r="B102" s="261" t="s">
        <v>37</v>
      </c>
      <c r="C102" s="261"/>
      <c r="D102" s="261"/>
      <c r="E102" s="261"/>
      <c r="F102" s="261"/>
      <c r="G102" s="261"/>
      <c r="H102" s="261"/>
      <c r="I102" s="261"/>
      <c r="J102" s="261"/>
      <c r="K102" s="261"/>
      <c r="L102" s="261"/>
      <c r="M102" s="261"/>
      <c r="N102" s="330">
        <f>N98+N100+N99</f>
        <v>5543</v>
      </c>
      <c r="O102" s="261"/>
      <c r="P102" s="330">
        <f>P98+P100+P99+P101</f>
        <v>2198</v>
      </c>
      <c r="Q102" s="264"/>
      <c r="R102" s="5"/>
      <c r="S102" s="154"/>
    </row>
    <row r="103" spans="1:19" ht="15.6" x14ac:dyDescent="0.3">
      <c r="A103" s="260"/>
      <c r="B103" s="334" t="s">
        <v>38</v>
      </c>
      <c r="C103" s="335"/>
      <c r="D103" s="335"/>
      <c r="E103" s="335"/>
      <c r="F103" s="335"/>
      <c r="G103" s="335"/>
      <c r="H103" s="335"/>
      <c r="I103" s="335"/>
      <c r="J103" s="335"/>
      <c r="K103" s="335"/>
      <c r="L103" s="335"/>
      <c r="M103" s="335"/>
      <c r="N103" s="336"/>
      <c r="O103" s="335"/>
      <c r="P103" s="337"/>
      <c r="Q103" s="338"/>
      <c r="R103" s="5"/>
    </row>
    <row r="104" spans="1:19" ht="15.6" x14ac:dyDescent="0.3">
      <c r="A104" s="339">
        <v>1</v>
      </c>
      <c r="B104" s="261" t="s">
        <v>39</v>
      </c>
      <c r="C104" s="261"/>
      <c r="D104" s="261"/>
      <c r="E104" s="261"/>
      <c r="F104" s="261"/>
      <c r="G104" s="261"/>
      <c r="H104" s="261"/>
      <c r="I104" s="261"/>
      <c r="J104" s="261"/>
      <c r="K104" s="261"/>
      <c r="L104" s="261"/>
      <c r="M104" s="261"/>
      <c r="N104" s="261"/>
      <c r="O104" s="261"/>
      <c r="P104" s="331">
        <v>0</v>
      </c>
      <c r="Q104" s="264"/>
      <c r="R104" s="5"/>
    </row>
    <row r="105" spans="1:19" ht="15.6" x14ac:dyDescent="0.3">
      <c r="A105" s="339">
        <f>+A104+1</f>
        <v>2</v>
      </c>
      <c r="B105" s="261" t="s">
        <v>304</v>
      </c>
      <c r="C105" s="261"/>
      <c r="D105" s="261"/>
      <c r="E105" s="261"/>
      <c r="F105" s="261"/>
      <c r="G105" s="261"/>
      <c r="H105" s="261"/>
      <c r="I105" s="261"/>
      <c r="J105" s="261"/>
      <c r="K105" s="261"/>
      <c r="L105" s="261"/>
      <c r="M105" s="261"/>
      <c r="N105" s="261"/>
      <c r="O105" s="261"/>
      <c r="P105" s="331">
        <v>-2</v>
      </c>
      <c r="Q105" s="264"/>
      <c r="R105" s="5"/>
    </row>
    <row r="106" spans="1:19" ht="15.6" x14ac:dyDescent="0.3">
      <c r="A106" s="339">
        <f>+A105+1</f>
        <v>3</v>
      </c>
      <c r="B106" s="261" t="s">
        <v>306</v>
      </c>
      <c r="C106" s="261"/>
      <c r="D106" s="261"/>
      <c r="E106" s="261"/>
      <c r="F106" s="261"/>
      <c r="G106" s="261"/>
      <c r="H106" s="261"/>
      <c r="I106" s="261"/>
      <c r="J106" s="261"/>
      <c r="K106" s="261"/>
      <c r="L106" s="261"/>
      <c r="M106" s="261"/>
      <c r="N106" s="261"/>
      <c r="O106" s="261"/>
      <c r="P106" s="331">
        <f>-80-18-5</f>
        <v>-103</v>
      </c>
      <c r="Q106" s="264"/>
      <c r="R106" s="5"/>
    </row>
    <row r="107" spans="1:19" ht="15.6" x14ac:dyDescent="0.3">
      <c r="A107" s="339" t="s">
        <v>151</v>
      </c>
      <c r="B107" s="261" t="s">
        <v>131</v>
      </c>
      <c r="C107" s="261"/>
      <c r="D107" s="261"/>
      <c r="E107" s="261"/>
      <c r="F107" s="261"/>
      <c r="G107" s="261"/>
      <c r="H107" s="261"/>
      <c r="I107" s="261"/>
      <c r="J107" s="261"/>
      <c r="K107" s="261"/>
      <c r="L107" s="261"/>
      <c r="M107" s="261"/>
      <c r="N107" s="261"/>
      <c r="O107" s="261"/>
      <c r="P107" s="331">
        <v>0</v>
      </c>
      <c r="Q107" s="264"/>
      <c r="R107" s="5"/>
    </row>
    <row r="108" spans="1:19" ht="15.6" x14ac:dyDescent="0.3">
      <c r="A108" s="339" t="s">
        <v>152</v>
      </c>
      <c r="B108" s="261" t="s">
        <v>195</v>
      </c>
      <c r="C108" s="261"/>
      <c r="D108" s="261"/>
      <c r="E108" s="261"/>
      <c r="F108" s="261"/>
      <c r="G108" s="261"/>
      <c r="H108" s="261"/>
      <c r="I108" s="261"/>
      <c r="J108" s="261"/>
      <c r="K108" s="261"/>
      <c r="L108" s="261"/>
      <c r="M108" s="261"/>
      <c r="N108" s="261"/>
      <c r="O108" s="261"/>
      <c r="P108" s="331">
        <v>-192</v>
      </c>
      <c r="Q108" s="264"/>
      <c r="R108" s="5"/>
      <c r="S108" s="109"/>
    </row>
    <row r="109" spans="1:19" ht="15.6" x14ac:dyDescent="0.3">
      <c r="A109" s="339" t="s">
        <v>217</v>
      </c>
      <c r="B109" s="261" t="s">
        <v>196</v>
      </c>
      <c r="C109" s="261"/>
      <c r="D109" s="261"/>
      <c r="E109" s="261"/>
      <c r="F109" s="261"/>
      <c r="G109" s="261"/>
      <c r="H109" s="261"/>
      <c r="I109" s="261"/>
      <c r="J109" s="261"/>
      <c r="K109" s="261"/>
      <c r="L109" s="261"/>
      <c r="M109" s="261"/>
      <c r="N109" s="261"/>
      <c r="O109" s="261"/>
      <c r="P109" s="331">
        <v>-134</v>
      </c>
      <c r="Q109" s="264"/>
      <c r="R109" s="5"/>
      <c r="S109" s="109"/>
    </row>
    <row r="110" spans="1:19" ht="15.6" x14ac:dyDescent="0.3">
      <c r="A110" s="339" t="s">
        <v>218</v>
      </c>
      <c r="B110" s="261" t="s">
        <v>197</v>
      </c>
      <c r="C110" s="261"/>
      <c r="D110" s="261"/>
      <c r="E110" s="261"/>
      <c r="F110" s="261"/>
      <c r="G110" s="261"/>
      <c r="H110" s="261"/>
      <c r="I110" s="261"/>
      <c r="J110" s="261"/>
      <c r="K110" s="261"/>
      <c r="L110" s="261"/>
      <c r="M110" s="261"/>
      <c r="N110" s="261"/>
      <c r="O110" s="261"/>
      <c r="P110" s="331">
        <v>-250</v>
      </c>
      <c r="Q110" s="264"/>
      <c r="R110" s="5"/>
      <c r="S110" s="109"/>
    </row>
    <row r="111" spans="1:19" ht="15.6" x14ac:dyDescent="0.3">
      <c r="A111" s="339" t="s">
        <v>147</v>
      </c>
      <c r="B111" s="261" t="s">
        <v>146</v>
      </c>
      <c r="C111" s="261"/>
      <c r="D111" s="261"/>
      <c r="E111" s="261"/>
      <c r="F111" s="261"/>
      <c r="G111" s="261"/>
      <c r="H111" s="261"/>
      <c r="I111" s="261"/>
      <c r="J111" s="261"/>
      <c r="K111" s="261"/>
      <c r="L111" s="261"/>
      <c r="M111" s="261"/>
      <c r="N111" s="261"/>
      <c r="O111" s="261"/>
      <c r="P111" s="331">
        <v>-180</v>
      </c>
      <c r="Q111" s="264"/>
      <c r="R111" s="5"/>
      <c r="S111" s="109"/>
    </row>
    <row r="112" spans="1:19" ht="15.6" x14ac:dyDescent="0.3">
      <c r="A112" s="339" t="s">
        <v>148</v>
      </c>
      <c r="B112" s="261" t="s">
        <v>198</v>
      </c>
      <c r="C112" s="261"/>
      <c r="D112" s="261"/>
      <c r="E112" s="261"/>
      <c r="F112" s="261"/>
      <c r="G112" s="261"/>
      <c r="H112" s="261"/>
      <c r="I112" s="261"/>
      <c r="J112" s="261"/>
      <c r="K112" s="261"/>
      <c r="L112" s="261"/>
      <c r="M112" s="261"/>
      <c r="N112" s="261"/>
      <c r="O112" s="261"/>
      <c r="P112" s="331">
        <v>-169</v>
      </c>
      <c r="Q112" s="264"/>
      <c r="R112" s="5"/>
      <c r="S112" s="109"/>
    </row>
    <row r="113" spans="1:19" ht="15.6" x14ac:dyDescent="0.3">
      <c r="A113" s="339">
        <v>6</v>
      </c>
      <c r="B113" s="261" t="s">
        <v>305</v>
      </c>
      <c r="C113" s="261"/>
      <c r="D113" s="261"/>
      <c r="E113" s="261"/>
      <c r="F113" s="261"/>
      <c r="G113" s="261"/>
      <c r="H113" s="261"/>
      <c r="I113" s="261"/>
      <c r="J113" s="261"/>
      <c r="K113" s="261"/>
      <c r="L113" s="261"/>
      <c r="M113" s="261"/>
      <c r="N113" s="261"/>
      <c r="O113" s="261"/>
      <c r="P113" s="331">
        <v>0</v>
      </c>
      <c r="Q113" s="264"/>
      <c r="R113" s="5"/>
      <c r="S113" s="109"/>
    </row>
    <row r="114" spans="1:19" ht="15.6" x14ac:dyDescent="0.3">
      <c r="A114" s="339">
        <v>7</v>
      </c>
      <c r="B114" s="261" t="s">
        <v>41</v>
      </c>
      <c r="C114" s="261"/>
      <c r="D114" s="261"/>
      <c r="E114" s="261"/>
      <c r="F114" s="261"/>
      <c r="G114" s="261"/>
      <c r="H114" s="261"/>
      <c r="I114" s="261"/>
      <c r="J114" s="261"/>
      <c r="K114" s="261"/>
      <c r="L114" s="261"/>
      <c r="M114" s="261"/>
      <c r="N114" s="261"/>
      <c r="O114" s="261"/>
      <c r="P114" s="331">
        <v>-8</v>
      </c>
      <c r="Q114" s="264"/>
      <c r="R114" s="5"/>
    </row>
    <row r="115" spans="1:19" ht="15.6" x14ac:dyDescent="0.3">
      <c r="A115" s="339">
        <f t="shared" ref="A115:A120" si="0">+A114+1</f>
        <v>8</v>
      </c>
      <c r="B115" s="261" t="s">
        <v>53</v>
      </c>
      <c r="C115" s="261"/>
      <c r="D115" s="261"/>
      <c r="E115" s="261"/>
      <c r="F115" s="261"/>
      <c r="G115" s="261"/>
      <c r="H115" s="261"/>
      <c r="I115" s="261"/>
      <c r="J115" s="261"/>
      <c r="K115" s="261"/>
      <c r="L115" s="261"/>
      <c r="M115" s="261"/>
      <c r="N115" s="330">
        <f>-P115</f>
        <v>-83</v>
      </c>
      <c r="O115" s="261"/>
      <c r="P115" s="331">
        <v>83</v>
      </c>
      <c r="Q115" s="264"/>
      <c r="R115" s="5"/>
    </row>
    <row r="116" spans="1:19" ht="15.6" x14ac:dyDescent="0.3">
      <c r="A116" s="339">
        <f t="shared" si="0"/>
        <v>9</v>
      </c>
      <c r="B116" s="261" t="s">
        <v>149</v>
      </c>
      <c r="C116" s="261"/>
      <c r="D116" s="261"/>
      <c r="E116" s="261"/>
      <c r="F116" s="261"/>
      <c r="G116" s="261"/>
      <c r="H116" s="261"/>
      <c r="I116" s="261"/>
      <c r="J116" s="261"/>
      <c r="K116" s="261"/>
      <c r="L116" s="261"/>
      <c r="M116" s="261"/>
      <c r="N116" s="261"/>
      <c r="O116" s="261"/>
      <c r="P116" s="331">
        <v>0</v>
      </c>
      <c r="Q116" s="264"/>
      <c r="R116" s="5"/>
    </row>
    <row r="117" spans="1:19" ht="15.6" x14ac:dyDescent="0.3">
      <c r="A117" s="339">
        <f t="shared" si="0"/>
        <v>10</v>
      </c>
      <c r="B117" s="261" t="s">
        <v>42</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11</v>
      </c>
      <c r="B118" s="261" t="s">
        <v>43</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12</v>
      </c>
      <c r="B119" s="261" t="s">
        <v>215</v>
      </c>
      <c r="C119" s="261"/>
      <c r="D119" s="261"/>
      <c r="E119" s="261"/>
      <c r="F119" s="261"/>
      <c r="G119" s="261"/>
      <c r="H119" s="261"/>
      <c r="I119" s="261"/>
      <c r="J119" s="261"/>
      <c r="K119" s="261"/>
      <c r="L119" s="261"/>
      <c r="M119" s="261"/>
      <c r="N119" s="261"/>
      <c r="O119" s="261"/>
      <c r="P119" s="331">
        <v>-163</v>
      </c>
      <c r="Q119" s="264"/>
      <c r="R119" s="5"/>
    </row>
    <row r="120" spans="1:19" ht="15.6" x14ac:dyDescent="0.3">
      <c r="A120" s="339">
        <f t="shared" si="0"/>
        <v>13</v>
      </c>
      <c r="B120" s="261" t="s">
        <v>150</v>
      </c>
      <c r="C120" s="261"/>
      <c r="D120" s="261"/>
      <c r="E120" s="261"/>
      <c r="F120" s="261"/>
      <c r="G120" s="261"/>
      <c r="H120" s="261"/>
      <c r="I120" s="261"/>
      <c r="J120" s="261"/>
      <c r="K120" s="261"/>
      <c r="L120" s="261"/>
      <c r="M120" s="261"/>
      <c r="N120" s="261"/>
      <c r="O120" s="261"/>
      <c r="P120" s="331">
        <f>-P102-SUM(P104:P119)</f>
        <v>-1080</v>
      </c>
      <c r="Q120" s="264"/>
      <c r="R120" s="5"/>
    </row>
    <row r="121" spans="1:19" ht="15.6" x14ac:dyDescent="0.3">
      <c r="A121" s="260"/>
      <c r="B121" s="334" t="s">
        <v>44</v>
      </c>
      <c r="C121" s="335"/>
      <c r="D121" s="335"/>
      <c r="E121" s="335"/>
      <c r="F121" s="335"/>
      <c r="G121" s="335"/>
      <c r="H121" s="335"/>
      <c r="I121" s="335"/>
      <c r="J121" s="335"/>
      <c r="K121" s="335"/>
      <c r="L121" s="335"/>
      <c r="M121" s="335"/>
      <c r="N121" s="335"/>
      <c r="O121" s="335"/>
      <c r="P121" s="340"/>
      <c r="Q121" s="338"/>
      <c r="R121" s="5"/>
    </row>
    <row r="122" spans="1:19" ht="15.6" x14ac:dyDescent="0.3">
      <c r="A122" s="339"/>
      <c r="B122" s="261" t="s">
        <v>45</v>
      </c>
      <c r="C122" s="261"/>
      <c r="D122" s="261"/>
      <c r="E122" s="261"/>
      <c r="F122" s="261"/>
      <c r="G122" s="261"/>
      <c r="H122" s="261"/>
      <c r="I122" s="261"/>
      <c r="J122" s="261"/>
      <c r="K122" s="261"/>
      <c r="L122" s="261"/>
      <c r="M122" s="261"/>
      <c r="N122" s="330">
        <v>0</v>
      </c>
      <c r="O122" s="330"/>
      <c r="P122" s="331"/>
      <c r="Q122" s="264"/>
      <c r="R122" s="5"/>
    </row>
    <row r="123" spans="1:19" ht="15.6" x14ac:dyDescent="0.3">
      <c r="A123" s="339"/>
      <c r="B123" s="261" t="s">
        <v>46</v>
      </c>
      <c r="C123" s="261"/>
      <c r="D123" s="261"/>
      <c r="E123" s="261"/>
      <c r="F123" s="261"/>
      <c r="G123" s="261"/>
      <c r="H123" s="261"/>
      <c r="I123" s="261"/>
      <c r="J123" s="261"/>
      <c r="K123" s="261"/>
      <c r="L123" s="261"/>
      <c r="M123" s="261"/>
      <c r="N123" s="330">
        <f>-M172</f>
        <v>-461</v>
      </c>
      <c r="O123" s="330"/>
      <c r="P123" s="331"/>
      <c r="Q123" s="264"/>
      <c r="R123" s="5"/>
    </row>
    <row r="124" spans="1:19" ht="15.6" x14ac:dyDescent="0.3">
      <c r="A124" s="339"/>
      <c r="B124" s="261" t="s">
        <v>199</v>
      </c>
      <c r="C124" s="261"/>
      <c r="D124" s="261"/>
      <c r="E124" s="261"/>
      <c r="F124" s="261"/>
      <c r="G124" s="261"/>
      <c r="H124" s="261"/>
      <c r="I124" s="261"/>
      <c r="J124" s="261"/>
      <c r="K124" s="261"/>
      <c r="L124" s="261"/>
      <c r="M124" s="261"/>
      <c r="N124" s="330">
        <v>-1248</v>
      </c>
      <c r="O124" s="330"/>
      <c r="P124" s="331"/>
      <c r="Q124" s="264"/>
      <c r="R124" s="5"/>
    </row>
    <row r="125" spans="1:19" ht="15.6" x14ac:dyDescent="0.3">
      <c r="A125" s="339"/>
      <c r="B125" s="261" t="s">
        <v>200</v>
      </c>
      <c r="C125" s="261"/>
      <c r="D125" s="261"/>
      <c r="E125" s="261"/>
      <c r="F125" s="261"/>
      <c r="G125" s="261"/>
      <c r="H125" s="261"/>
      <c r="I125" s="261"/>
      <c r="J125" s="261"/>
      <c r="K125" s="261"/>
      <c r="L125" s="261"/>
      <c r="M125" s="261"/>
      <c r="N125" s="330">
        <v>-1085</v>
      </c>
      <c r="O125" s="330"/>
      <c r="P125" s="331"/>
      <c r="Q125" s="264"/>
      <c r="R125" s="5"/>
    </row>
    <row r="126" spans="1:19" ht="15.6" x14ac:dyDescent="0.3">
      <c r="A126" s="339"/>
      <c r="B126" s="261" t="s">
        <v>201</v>
      </c>
      <c r="C126" s="261"/>
      <c r="D126" s="261"/>
      <c r="E126" s="261"/>
      <c r="F126" s="261"/>
      <c r="G126" s="261"/>
      <c r="H126" s="261"/>
      <c r="I126" s="261"/>
      <c r="J126" s="261"/>
      <c r="K126" s="261"/>
      <c r="L126" s="261"/>
      <c r="M126" s="261"/>
      <c r="N126" s="330">
        <v>-1665</v>
      </c>
      <c r="O126" s="330"/>
      <c r="P126" s="331"/>
      <c r="Q126" s="264"/>
      <c r="R126" s="5"/>
    </row>
    <row r="127" spans="1:19" ht="15.6" x14ac:dyDescent="0.3">
      <c r="A127" s="339"/>
      <c r="B127" s="261" t="s">
        <v>159</v>
      </c>
      <c r="C127" s="261"/>
      <c r="D127" s="261"/>
      <c r="E127" s="261"/>
      <c r="F127" s="261"/>
      <c r="G127" s="261"/>
      <c r="H127" s="261"/>
      <c r="I127" s="261"/>
      <c r="J127" s="261"/>
      <c r="K127" s="261"/>
      <c r="L127" s="261"/>
      <c r="M127" s="261"/>
      <c r="N127" s="330">
        <v>-514</v>
      </c>
      <c r="O127" s="330"/>
      <c r="P127" s="331"/>
      <c r="Q127" s="264"/>
      <c r="R127" s="5"/>
    </row>
    <row r="128" spans="1:19" ht="15.6" x14ac:dyDescent="0.3">
      <c r="A128" s="339"/>
      <c r="B128" s="261" t="s">
        <v>214</v>
      </c>
      <c r="C128" s="261"/>
      <c r="D128" s="261"/>
      <c r="E128" s="261"/>
      <c r="F128" s="261"/>
      <c r="G128" s="261"/>
      <c r="H128" s="261"/>
      <c r="I128" s="261"/>
      <c r="J128" s="261"/>
      <c r="K128" s="261"/>
      <c r="L128" s="261"/>
      <c r="M128" s="261"/>
      <c r="N128" s="330">
        <v>-487</v>
      </c>
      <c r="O128" s="330"/>
      <c r="P128" s="331"/>
      <c r="Q128" s="264"/>
      <c r="R128" s="5"/>
    </row>
    <row r="129" spans="1:19" ht="15.6" x14ac:dyDescent="0.3">
      <c r="A129" s="339"/>
      <c r="B129" s="261" t="s">
        <v>47</v>
      </c>
      <c r="C129" s="261"/>
      <c r="D129" s="261"/>
      <c r="E129" s="261"/>
      <c r="F129" s="261"/>
      <c r="G129" s="261"/>
      <c r="H129" s="261"/>
      <c r="I129" s="261"/>
      <c r="J129" s="261"/>
      <c r="K129" s="261"/>
      <c r="L129" s="261"/>
      <c r="M129" s="261"/>
      <c r="N129" s="330">
        <f>SUM(N122:N128)</f>
        <v>-5460</v>
      </c>
      <c r="O129" s="330"/>
      <c r="P129" s="330">
        <f>SUM(P103:P128)</f>
        <v>-2198</v>
      </c>
      <c r="Q129" s="264"/>
      <c r="R129" s="5"/>
    </row>
    <row r="130" spans="1:19" ht="15.6" x14ac:dyDescent="0.3">
      <c r="A130" s="339"/>
      <c r="B130" s="261" t="s">
        <v>48</v>
      </c>
      <c r="C130" s="261"/>
      <c r="D130" s="261"/>
      <c r="E130" s="261"/>
      <c r="F130" s="261"/>
      <c r="G130" s="261"/>
      <c r="H130" s="261"/>
      <c r="I130" s="261"/>
      <c r="J130" s="261"/>
      <c r="K130" s="261"/>
      <c r="L130" s="261"/>
      <c r="M130" s="261"/>
      <c r="N130" s="330">
        <f>N102+N129+N115</f>
        <v>0</v>
      </c>
      <c r="O130" s="330"/>
      <c r="P130" s="330">
        <f>P102+P129</f>
        <v>0</v>
      </c>
      <c r="Q130" s="264"/>
      <c r="R130" s="5"/>
    </row>
    <row r="131" spans="1:19" ht="15.6" x14ac:dyDescent="0.3">
      <c r="A131" s="301"/>
      <c r="B131" s="257"/>
      <c r="C131" s="257"/>
      <c r="D131" s="257"/>
      <c r="E131" s="257"/>
      <c r="F131" s="257"/>
      <c r="G131" s="257"/>
      <c r="H131" s="257"/>
      <c r="I131" s="257"/>
      <c r="J131" s="257"/>
      <c r="K131" s="257"/>
      <c r="L131" s="257"/>
      <c r="M131" s="257"/>
      <c r="N131" s="302"/>
      <c r="O131" s="302"/>
      <c r="P131" s="302"/>
      <c r="Q131" s="409"/>
      <c r="R131" s="5"/>
    </row>
    <row r="132" spans="1:19" ht="15.6" x14ac:dyDescent="0.3">
      <c r="A132" s="301"/>
      <c r="B132" s="257"/>
      <c r="C132" s="257"/>
      <c r="D132" s="257"/>
      <c r="E132" s="257"/>
      <c r="F132" s="257"/>
      <c r="G132" s="257"/>
      <c r="H132" s="257"/>
      <c r="I132" s="257"/>
      <c r="J132" s="257"/>
      <c r="K132" s="257"/>
      <c r="L132" s="257"/>
      <c r="M132" s="257"/>
      <c r="N132" s="302"/>
      <c r="O132" s="302"/>
      <c r="P132" s="302"/>
      <c r="Q132" s="409"/>
      <c r="R132" s="5"/>
    </row>
    <row r="133" spans="1:19" ht="18" thickBot="1" x14ac:dyDescent="0.35">
      <c r="A133" s="303"/>
      <c r="B133" s="239" t="str">
        <f>B65</f>
        <v>PM7 INVESTOR REPORT QUARTER ENDING APRIL 2017</v>
      </c>
      <c r="C133" s="240"/>
      <c r="D133" s="240"/>
      <c r="E133" s="240"/>
      <c r="F133" s="240"/>
      <c r="G133" s="240"/>
      <c r="H133" s="240"/>
      <c r="I133" s="240"/>
      <c r="J133" s="240"/>
      <c r="K133" s="240"/>
      <c r="L133" s="240"/>
      <c r="M133" s="240"/>
      <c r="N133" s="240"/>
      <c r="O133" s="240"/>
      <c r="P133" s="304"/>
      <c r="Q133" s="242"/>
      <c r="R133" s="5"/>
    </row>
    <row r="134" spans="1:19" ht="15.6" x14ac:dyDescent="0.3">
      <c r="A134" s="323"/>
      <c r="B134" s="397" t="s">
        <v>49</v>
      </c>
      <c r="C134" s="326"/>
      <c r="D134" s="326"/>
      <c r="E134" s="326"/>
      <c r="F134" s="326"/>
      <c r="G134" s="326"/>
      <c r="H134" s="326"/>
      <c r="I134" s="326"/>
      <c r="J134" s="326"/>
      <c r="K134" s="326"/>
      <c r="L134" s="326"/>
      <c r="M134" s="326"/>
      <c r="N134" s="326"/>
      <c r="O134" s="326"/>
      <c r="P134" s="328"/>
      <c r="Q134" s="412"/>
      <c r="R134" s="5"/>
    </row>
    <row r="135" spans="1:19" ht="15.6" x14ac:dyDescent="0.3">
      <c r="A135" s="183"/>
      <c r="B135" s="196"/>
      <c r="C135" s="185"/>
      <c r="D135" s="185"/>
      <c r="E135" s="185"/>
      <c r="F135" s="185"/>
      <c r="G135" s="185"/>
      <c r="H135" s="185"/>
      <c r="I135" s="185"/>
      <c r="J135" s="185"/>
      <c r="K135" s="185"/>
      <c r="L135" s="185"/>
      <c r="M135" s="185"/>
      <c r="N135" s="185"/>
      <c r="O135" s="185"/>
      <c r="P135" s="201"/>
      <c r="Q135" s="404"/>
      <c r="R135" s="5"/>
    </row>
    <row r="136" spans="1:19" ht="15.6" x14ac:dyDescent="0.3">
      <c r="A136" s="183"/>
      <c r="B136" s="209" t="s">
        <v>50</v>
      </c>
      <c r="C136" s="185"/>
      <c r="D136" s="185"/>
      <c r="E136" s="185"/>
      <c r="F136" s="185"/>
      <c r="G136" s="185"/>
      <c r="H136" s="185"/>
      <c r="I136" s="185"/>
      <c r="J136" s="185"/>
      <c r="K136" s="185"/>
      <c r="L136" s="185"/>
      <c r="M136" s="185"/>
      <c r="N136" s="185"/>
      <c r="O136" s="185"/>
      <c r="P136" s="201"/>
      <c r="Q136" s="404"/>
      <c r="R136" s="5"/>
    </row>
    <row r="137" spans="1:19" ht="15.6" x14ac:dyDescent="0.3">
      <c r="A137" s="260"/>
      <c r="B137" s="261" t="s">
        <v>51</v>
      </c>
      <c r="C137" s="261"/>
      <c r="D137" s="261"/>
      <c r="E137" s="261"/>
      <c r="F137" s="261"/>
      <c r="G137" s="261"/>
      <c r="H137" s="261"/>
      <c r="I137" s="261"/>
      <c r="J137" s="261"/>
      <c r="K137" s="261"/>
      <c r="L137" s="261"/>
      <c r="M137" s="261"/>
      <c r="N137" s="261"/>
      <c r="O137" s="261"/>
      <c r="P137" s="331">
        <f>+P36*0.022</f>
        <v>19815.399999999998</v>
      </c>
      <c r="Q137" s="264"/>
      <c r="R137" s="5"/>
    </row>
    <row r="138" spans="1:19" ht="15.6" x14ac:dyDescent="0.3">
      <c r="A138" s="260"/>
      <c r="B138" s="261" t="s">
        <v>52</v>
      </c>
      <c r="C138" s="261"/>
      <c r="D138" s="261"/>
      <c r="E138" s="261"/>
      <c r="F138" s="261"/>
      <c r="G138" s="261"/>
      <c r="H138" s="261"/>
      <c r="I138" s="261"/>
      <c r="J138" s="261"/>
      <c r="K138" s="261"/>
      <c r="L138" s="261"/>
      <c r="M138" s="261"/>
      <c r="N138" s="261"/>
      <c r="O138" s="261"/>
      <c r="P138" s="331">
        <v>19815</v>
      </c>
      <c r="Q138" s="264"/>
      <c r="R138" s="5"/>
    </row>
    <row r="139" spans="1:19" ht="15.6" x14ac:dyDescent="0.3">
      <c r="A139" s="260"/>
      <c r="B139" s="261" t="s">
        <v>161</v>
      </c>
      <c r="C139" s="261"/>
      <c r="D139" s="261"/>
      <c r="E139" s="261"/>
      <c r="F139" s="261"/>
      <c r="G139" s="261"/>
      <c r="H139" s="261"/>
      <c r="I139" s="261"/>
      <c r="J139" s="261"/>
      <c r="K139" s="261"/>
      <c r="L139" s="261"/>
      <c r="M139" s="261"/>
      <c r="N139" s="261"/>
      <c r="O139" s="261"/>
      <c r="P139" s="331">
        <v>0</v>
      </c>
      <c r="Q139" s="264"/>
      <c r="R139" s="5"/>
    </row>
    <row r="140" spans="1:19" ht="15.6" x14ac:dyDescent="0.3">
      <c r="A140" s="260"/>
      <c r="B140" s="261" t="s">
        <v>144</v>
      </c>
      <c r="C140" s="261"/>
      <c r="D140" s="261"/>
      <c r="E140" s="261"/>
      <c r="F140" s="261"/>
      <c r="G140" s="261"/>
      <c r="H140" s="261"/>
      <c r="I140" s="261"/>
      <c r="J140" s="261"/>
      <c r="K140" s="261"/>
      <c r="L140" s="261"/>
      <c r="M140" s="261"/>
      <c r="N140" s="261"/>
      <c r="O140" s="261"/>
      <c r="P140" s="331">
        <v>0</v>
      </c>
      <c r="Q140" s="264"/>
      <c r="R140" s="5"/>
    </row>
    <row r="141" spans="1:19" ht="15.6" x14ac:dyDescent="0.3">
      <c r="A141" s="260"/>
      <c r="B141" s="261" t="s">
        <v>145</v>
      </c>
      <c r="C141" s="261"/>
      <c r="D141" s="261"/>
      <c r="E141" s="261"/>
      <c r="F141" s="261"/>
      <c r="G141" s="261"/>
      <c r="H141" s="261"/>
      <c r="I141" s="261"/>
      <c r="J141" s="261"/>
      <c r="K141" s="261"/>
      <c r="L141" s="261"/>
      <c r="M141" s="261"/>
      <c r="N141" s="261"/>
      <c r="O141" s="261"/>
      <c r="P141" s="331">
        <v>0</v>
      </c>
      <c r="Q141" s="264"/>
      <c r="R141" s="5"/>
    </row>
    <row r="142" spans="1:19" ht="15.6" x14ac:dyDescent="0.3">
      <c r="A142" s="260"/>
      <c r="B142" s="261" t="s">
        <v>53</v>
      </c>
      <c r="C142" s="261"/>
      <c r="D142" s="261"/>
      <c r="E142" s="261"/>
      <c r="F142" s="261"/>
      <c r="G142" s="261"/>
      <c r="H142" s="261"/>
      <c r="I142" s="261"/>
      <c r="J142" s="261"/>
      <c r="K142" s="261"/>
      <c r="L142" s="261"/>
      <c r="M142" s="261"/>
      <c r="N142" s="261"/>
      <c r="O142" s="261"/>
      <c r="P142" s="331">
        <v>0</v>
      </c>
      <c r="Q142" s="264"/>
      <c r="R142" s="5"/>
    </row>
    <row r="143" spans="1:19" ht="15.6" x14ac:dyDescent="0.3">
      <c r="A143" s="260"/>
      <c r="B143" s="261" t="s">
        <v>153</v>
      </c>
      <c r="C143" s="261"/>
      <c r="D143" s="261"/>
      <c r="E143" s="261"/>
      <c r="F143" s="261"/>
      <c r="G143" s="261"/>
      <c r="H143" s="261"/>
      <c r="I143" s="261"/>
      <c r="J143" s="261"/>
      <c r="K143" s="261"/>
      <c r="L143" s="261"/>
      <c r="M143" s="261"/>
      <c r="N143" s="261"/>
      <c r="O143" s="261"/>
      <c r="P143" s="331">
        <v>0</v>
      </c>
      <c r="Q143" s="264"/>
      <c r="R143" s="5"/>
    </row>
    <row r="144" spans="1:19" ht="15.6" x14ac:dyDescent="0.3">
      <c r="A144" s="260"/>
      <c r="B144" s="261" t="s">
        <v>202</v>
      </c>
      <c r="C144" s="261"/>
      <c r="D144" s="261"/>
      <c r="E144" s="261"/>
      <c r="F144" s="261"/>
      <c r="G144" s="261"/>
      <c r="H144" s="261"/>
      <c r="I144" s="261"/>
      <c r="J144" s="261"/>
      <c r="K144" s="261"/>
      <c r="L144" s="261"/>
      <c r="M144" s="261"/>
      <c r="N144" s="261"/>
      <c r="O144" s="261"/>
      <c r="P144" s="331">
        <v>0</v>
      </c>
      <c r="Q144" s="264"/>
      <c r="R144" s="5"/>
      <c r="S144" s="109"/>
    </row>
    <row r="145" spans="1:18" ht="15.6" x14ac:dyDescent="0.3">
      <c r="A145" s="260"/>
      <c r="B145" s="261" t="s">
        <v>54</v>
      </c>
      <c r="C145" s="261"/>
      <c r="D145" s="261"/>
      <c r="E145" s="261"/>
      <c r="F145" s="261"/>
      <c r="G145" s="261"/>
      <c r="H145" s="261"/>
      <c r="I145" s="261"/>
      <c r="J145" s="261"/>
      <c r="K145" s="261"/>
      <c r="L145" s="261"/>
      <c r="M145" s="261"/>
      <c r="N145" s="261"/>
      <c r="O145" s="261"/>
      <c r="P145" s="331">
        <f>SUM(P138:P144)</f>
        <v>19815</v>
      </c>
      <c r="Q145" s="264"/>
      <c r="R145" s="5"/>
    </row>
    <row r="146" spans="1:18" ht="15.6" x14ac:dyDescent="0.3">
      <c r="A146" s="183"/>
      <c r="B146" s="190"/>
      <c r="C146" s="190"/>
      <c r="D146" s="190"/>
      <c r="E146" s="190"/>
      <c r="F146" s="190"/>
      <c r="G146" s="190"/>
      <c r="H146" s="190"/>
      <c r="I146" s="190"/>
      <c r="J146" s="190"/>
      <c r="K146" s="190"/>
      <c r="L146" s="190"/>
      <c r="M146" s="190"/>
      <c r="N146" s="190"/>
      <c r="O146" s="190"/>
      <c r="P146" s="341"/>
      <c r="Q146" s="404"/>
      <c r="R146" s="5"/>
    </row>
    <row r="147" spans="1:18" ht="15.6" x14ac:dyDescent="0.3">
      <c r="A147" s="183"/>
      <c r="B147" s="209" t="s">
        <v>28</v>
      </c>
      <c r="C147" s="185"/>
      <c r="D147" s="185"/>
      <c r="E147" s="185"/>
      <c r="F147" s="185"/>
      <c r="G147" s="185"/>
      <c r="H147" s="185"/>
      <c r="I147" s="185"/>
      <c r="J147" s="185"/>
      <c r="K147" s="185"/>
      <c r="L147" s="185"/>
      <c r="M147" s="185"/>
      <c r="N147" s="185"/>
      <c r="O147" s="185"/>
      <c r="P147" s="201"/>
      <c r="Q147" s="404"/>
      <c r="R147" s="5"/>
    </row>
    <row r="148" spans="1:18" ht="15.6" x14ac:dyDescent="0.3">
      <c r="A148" s="260"/>
      <c r="B148" s="261" t="s">
        <v>55</v>
      </c>
      <c r="C148" s="261"/>
      <c r="D148" s="261"/>
      <c r="E148" s="261"/>
      <c r="F148" s="261"/>
      <c r="G148" s="261"/>
      <c r="H148" s="261"/>
      <c r="I148" s="261"/>
      <c r="J148" s="261"/>
      <c r="K148" s="261"/>
      <c r="L148" s="261"/>
      <c r="M148" s="261"/>
      <c r="N148" s="261"/>
      <c r="O148" s="261"/>
      <c r="P148" s="342" t="s">
        <v>137</v>
      </c>
      <c r="Q148" s="338"/>
      <c r="R148" s="5"/>
    </row>
    <row r="149" spans="1:18" ht="15.6" x14ac:dyDescent="0.3">
      <c r="A149" s="260"/>
      <c r="B149" s="261" t="s">
        <v>56</v>
      </c>
      <c r="C149" s="263"/>
      <c r="D149" s="263"/>
      <c r="E149" s="263"/>
      <c r="F149" s="263"/>
      <c r="G149" s="263"/>
      <c r="H149" s="263"/>
      <c r="I149" s="263"/>
      <c r="J149" s="263"/>
      <c r="K149" s="263"/>
      <c r="L149" s="263"/>
      <c r="M149" s="263"/>
      <c r="N149" s="263"/>
      <c r="O149" s="263"/>
      <c r="P149" s="342" t="s">
        <v>137</v>
      </c>
      <c r="Q149" s="338"/>
      <c r="R149" s="5"/>
    </row>
    <row r="150" spans="1:18" ht="15.6" x14ac:dyDescent="0.3">
      <c r="A150" s="260"/>
      <c r="B150" s="261" t="s">
        <v>57</v>
      </c>
      <c r="C150" s="261"/>
      <c r="D150" s="261"/>
      <c r="E150" s="261"/>
      <c r="F150" s="261"/>
      <c r="G150" s="261"/>
      <c r="H150" s="261"/>
      <c r="I150" s="261"/>
      <c r="J150" s="261"/>
      <c r="K150" s="261"/>
      <c r="L150" s="261"/>
      <c r="M150" s="261"/>
      <c r="N150" s="261"/>
      <c r="O150" s="261"/>
      <c r="P150" s="342" t="s">
        <v>137</v>
      </c>
      <c r="Q150" s="338"/>
      <c r="R150" s="5"/>
    </row>
    <row r="151" spans="1:18" ht="15.6" x14ac:dyDescent="0.3">
      <c r="A151" s="260"/>
      <c r="B151" s="261" t="s">
        <v>58</v>
      </c>
      <c r="C151" s="261"/>
      <c r="D151" s="261"/>
      <c r="E151" s="261"/>
      <c r="F151" s="261"/>
      <c r="G151" s="261"/>
      <c r="H151" s="261"/>
      <c r="I151" s="261"/>
      <c r="J151" s="261"/>
      <c r="K151" s="261"/>
      <c r="L151" s="261"/>
      <c r="M151" s="261"/>
      <c r="N151" s="261"/>
      <c r="O151" s="261"/>
      <c r="P151" s="342" t="s">
        <v>137</v>
      </c>
      <c r="Q151" s="338"/>
      <c r="R151" s="5"/>
    </row>
    <row r="152" spans="1:18" ht="15.6" x14ac:dyDescent="0.3">
      <c r="A152" s="183"/>
      <c r="B152" s="190"/>
      <c r="C152" s="190"/>
      <c r="D152" s="190"/>
      <c r="E152" s="190"/>
      <c r="F152" s="190"/>
      <c r="G152" s="190"/>
      <c r="H152" s="190"/>
      <c r="I152" s="190"/>
      <c r="J152" s="190"/>
      <c r="K152" s="190"/>
      <c r="L152" s="190"/>
      <c r="M152" s="190"/>
      <c r="N152" s="190"/>
      <c r="O152" s="190"/>
      <c r="P152" s="341"/>
      <c r="Q152" s="404"/>
      <c r="R152" s="5"/>
    </row>
    <row r="153" spans="1:18" ht="15.6" x14ac:dyDescent="0.3">
      <c r="A153" s="183"/>
      <c r="B153" s="209" t="s">
        <v>59</v>
      </c>
      <c r="C153" s="185"/>
      <c r="D153" s="185"/>
      <c r="E153" s="185"/>
      <c r="F153" s="185"/>
      <c r="G153" s="185"/>
      <c r="H153" s="185"/>
      <c r="I153" s="185"/>
      <c r="J153" s="185"/>
      <c r="K153" s="185"/>
      <c r="L153" s="185"/>
      <c r="M153" s="185"/>
      <c r="N153" s="185"/>
      <c r="O153" s="185"/>
      <c r="P153" s="210"/>
      <c r="Q153" s="404"/>
      <c r="R153" s="5"/>
    </row>
    <row r="154" spans="1:18" ht="15.6" x14ac:dyDescent="0.3">
      <c r="A154" s="260"/>
      <c r="B154" s="261" t="s">
        <v>60</v>
      </c>
      <c r="C154" s="261"/>
      <c r="D154" s="261"/>
      <c r="E154" s="261"/>
      <c r="F154" s="261"/>
      <c r="G154" s="261"/>
      <c r="H154" s="261"/>
      <c r="I154" s="261"/>
      <c r="J154" s="261"/>
      <c r="K154" s="261"/>
      <c r="L154" s="261"/>
      <c r="M154" s="261"/>
      <c r="N154" s="261"/>
      <c r="O154" s="261"/>
      <c r="P154" s="331">
        <v>0</v>
      </c>
      <c r="Q154" s="264"/>
      <c r="R154" s="5"/>
    </row>
    <row r="155" spans="1:18" ht="15.6" x14ac:dyDescent="0.3">
      <c r="A155" s="260"/>
      <c r="B155" s="261" t="s">
        <v>61</v>
      </c>
      <c r="C155" s="261"/>
      <c r="D155" s="261"/>
      <c r="E155" s="261"/>
      <c r="F155" s="261"/>
      <c r="G155" s="261"/>
      <c r="H155" s="261"/>
      <c r="I155" s="261"/>
      <c r="J155" s="261"/>
      <c r="K155" s="261"/>
      <c r="L155" s="261"/>
      <c r="M155" s="261"/>
      <c r="N155" s="261"/>
      <c r="O155" s="261"/>
      <c r="P155" s="331">
        <f>-P115</f>
        <v>-83</v>
      </c>
      <c r="Q155" s="264"/>
      <c r="R155" s="5"/>
    </row>
    <row r="156" spans="1:18" ht="15.6" x14ac:dyDescent="0.3">
      <c r="A156" s="260"/>
      <c r="B156" s="261" t="s">
        <v>62</v>
      </c>
      <c r="C156" s="261"/>
      <c r="D156" s="261"/>
      <c r="E156" s="261"/>
      <c r="F156" s="261"/>
      <c r="G156" s="261"/>
      <c r="H156" s="261"/>
      <c r="I156" s="261"/>
      <c r="J156" s="261"/>
      <c r="K156" s="261"/>
      <c r="L156" s="261"/>
      <c r="M156" s="261"/>
      <c r="N156" s="261"/>
      <c r="O156" s="261"/>
      <c r="P156" s="331">
        <f>P155+P154</f>
        <v>-83</v>
      </c>
      <c r="Q156" s="264"/>
      <c r="R156" s="5"/>
    </row>
    <row r="157" spans="1:18" ht="15.6" x14ac:dyDescent="0.3">
      <c r="A157" s="260"/>
      <c r="B157" s="402" t="s">
        <v>297</v>
      </c>
      <c r="C157" s="261"/>
      <c r="D157" s="261"/>
      <c r="E157" s="261"/>
      <c r="F157" s="261"/>
      <c r="G157" s="261"/>
      <c r="H157" s="261"/>
      <c r="I157" s="261"/>
      <c r="J157" s="261"/>
      <c r="K157" s="261"/>
      <c r="L157" s="261"/>
      <c r="M157" s="261"/>
      <c r="N157" s="261"/>
      <c r="O157" s="261"/>
      <c r="P157" s="331">
        <f>P115</f>
        <v>83</v>
      </c>
      <c r="Q157" s="264"/>
      <c r="R157" s="5"/>
    </row>
    <row r="158" spans="1:18" ht="15.6" x14ac:dyDescent="0.3">
      <c r="A158" s="260"/>
      <c r="B158" s="261" t="s">
        <v>63</v>
      </c>
      <c r="C158" s="261"/>
      <c r="D158" s="261"/>
      <c r="E158" s="261"/>
      <c r="F158" s="261"/>
      <c r="G158" s="261"/>
      <c r="H158" s="261"/>
      <c r="I158" s="261"/>
      <c r="J158" s="261"/>
      <c r="K158" s="261"/>
      <c r="L158" s="261"/>
      <c r="M158" s="261"/>
      <c r="N158" s="261"/>
      <c r="O158" s="261"/>
      <c r="P158" s="331">
        <f>P156+P157</f>
        <v>0</v>
      </c>
      <c r="Q158" s="264"/>
      <c r="R158" s="5"/>
    </row>
    <row r="159" spans="1:18" ht="15.6" x14ac:dyDescent="0.3">
      <c r="A159" s="260"/>
      <c r="B159" s="261" t="s">
        <v>268</v>
      </c>
      <c r="C159" s="261"/>
      <c r="D159" s="261"/>
      <c r="E159" s="261"/>
      <c r="F159" s="261"/>
      <c r="G159" s="261"/>
      <c r="H159" s="261"/>
      <c r="I159" s="261"/>
      <c r="J159" s="261"/>
      <c r="K159" s="261"/>
      <c r="L159" s="261"/>
      <c r="M159" s="261"/>
      <c r="N159" s="261"/>
      <c r="O159" s="261"/>
      <c r="P159" s="331">
        <v>0</v>
      </c>
      <c r="Q159" s="264"/>
      <c r="R159" s="5"/>
    </row>
    <row r="160" spans="1:18" ht="16.2" thickBot="1" x14ac:dyDescent="0.35">
      <c r="A160" s="183"/>
      <c r="B160" s="190"/>
      <c r="C160" s="190"/>
      <c r="D160" s="190"/>
      <c r="E160" s="190"/>
      <c r="F160" s="190"/>
      <c r="G160" s="190"/>
      <c r="H160" s="190"/>
      <c r="I160" s="190"/>
      <c r="J160" s="190"/>
      <c r="K160" s="190"/>
      <c r="L160" s="190"/>
      <c r="M160" s="190"/>
      <c r="N160" s="190"/>
      <c r="O160" s="190"/>
      <c r="P160" s="341"/>
      <c r="Q160" s="404"/>
      <c r="R160" s="5"/>
    </row>
    <row r="161" spans="1:19" ht="15.6" x14ac:dyDescent="0.3">
      <c r="A161" s="180"/>
      <c r="B161" s="181"/>
      <c r="C161" s="181"/>
      <c r="D161" s="181"/>
      <c r="E161" s="181"/>
      <c r="F161" s="181"/>
      <c r="G161" s="181"/>
      <c r="H161" s="181"/>
      <c r="I161" s="181"/>
      <c r="J161" s="181"/>
      <c r="K161" s="181"/>
      <c r="L161" s="181"/>
      <c r="M161" s="181"/>
      <c r="N161" s="181"/>
      <c r="O161" s="181"/>
      <c r="P161" s="200"/>
      <c r="Q161" s="405"/>
      <c r="R161" s="5"/>
    </row>
    <row r="162" spans="1:19" ht="15.6" x14ac:dyDescent="0.3">
      <c r="A162" s="183"/>
      <c r="B162" s="209" t="s">
        <v>64</v>
      </c>
      <c r="C162" s="185"/>
      <c r="D162" s="185"/>
      <c r="E162" s="185"/>
      <c r="F162" s="185"/>
      <c r="G162" s="185"/>
      <c r="H162" s="185"/>
      <c r="I162" s="185"/>
      <c r="J162" s="185"/>
      <c r="K162" s="185"/>
      <c r="L162" s="185"/>
      <c r="M162" s="185"/>
      <c r="N162" s="185"/>
      <c r="O162" s="185"/>
      <c r="P162" s="201"/>
      <c r="Q162" s="404"/>
      <c r="R162" s="5"/>
    </row>
    <row r="163" spans="1:19" ht="15.6" x14ac:dyDescent="0.3">
      <c r="A163" s="183"/>
      <c r="B163" s="196"/>
      <c r="C163" s="185"/>
      <c r="D163" s="185"/>
      <c r="E163" s="185"/>
      <c r="F163" s="185"/>
      <c r="G163" s="185"/>
      <c r="H163" s="185"/>
      <c r="I163" s="185"/>
      <c r="J163" s="185"/>
      <c r="K163" s="185"/>
      <c r="L163" s="185"/>
      <c r="M163" s="185"/>
      <c r="N163" s="185"/>
      <c r="O163" s="185"/>
      <c r="P163" s="201"/>
      <c r="Q163" s="404"/>
      <c r="R163" s="5"/>
    </row>
    <row r="164" spans="1:19" ht="15.6" x14ac:dyDescent="0.3">
      <c r="A164" s="260"/>
      <c r="B164" s="261" t="s">
        <v>221</v>
      </c>
      <c r="C164" s="261"/>
      <c r="D164" s="261"/>
      <c r="E164" s="261"/>
      <c r="F164" s="261"/>
      <c r="G164" s="261"/>
      <c r="H164" s="261"/>
      <c r="I164" s="261"/>
      <c r="J164" s="261"/>
      <c r="K164" s="261"/>
      <c r="L164" s="261"/>
      <c r="M164" s="261"/>
      <c r="N164" s="261"/>
      <c r="O164" s="261"/>
      <c r="P164" s="331">
        <f>P72</f>
        <v>321119</v>
      </c>
      <c r="Q164" s="264"/>
      <c r="R164" s="5"/>
    </row>
    <row r="165" spans="1:19" ht="15.6" x14ac:dyDescent="0.3">
      <c r="A165" s="260"/>
      <c r="B165" s="261" t="s">
        <v>273</v>
      </c>
      <c r="C165" s="261"/>
      <c r="D165" s="261"/>
      <c r="E165" s="261"/>
      <c r="F165" s="261"/>
      <c r="G165" s="261"/>
      <c r="H165" s="261"/>
      <c r="I165" s="261"/>
      <c r="J165" s="261"/>
      <c r="K165" s="261"/>
      <c r="L165" s="261"/>
      <c r="M165" s="261"/>
      <c r="N165" s="261"/>
      <c r="O165" s="261"/>
      <c r="P165" s="331">
        <f>+P85</f>
        <v>0</v>
      </c>
      <c r="Q165" s="264"/>
      <c r="R165" s="5"/>
    </row>
    <row r="166" spans="1:19" ht="15.6" x14ac:dyDescent="0.3">
      <c r="A166" s="260"/>
      <c r="B166" s="261" t="s">
        <v>65</v>
      </c>
      <c r="C166" s="261"/>
      <c r="D166" s="261"/>
      <c r="E166" s="261"/>
      <c r="F166" s="261"/>
      <c r="G166" s="261"/>
      <c r="H166" s="261"/>
      <c r="I166" s="261"/>
      <c r="J166" s="261"/>
      <c r="K166" s="261"/>
      <c r="L166" s="261"/>
      <c r="M166" s="261"/>
      <c r="N166" s="261"/>
      <c r="O166" s="261"/>
      <c r="P166" s="331">
        <f>P38</f>
        <v>321119.46182830352</v>
      </c>
      <c r="Q166" s="264"/>
      <c r="R166" s="5"/>
      <c r="S166" s="109"/>
    </row>
    <row r="167" spans="1:19" ht="16.2" thickBot="1" x14ac:dyDescent="0.35">
      <c r="A167" s="183"/>
      <c r="B167" s="190"/>
      <c r="C167" s="190"/>
      <c r="D167" s="190"/>
      <c r="E167" s="190"/>
      <c r="F167" s="190"/>
      <c r="G167" s="190"/>
      <c r="H167" s="190"/>
      <c r="I167" s="190"/>
      <c r="J167" s="190"/>
      <c r="K167" s="190"/>
      <c r="L167" s="190"/>
      <c r="M167" s="190"/>
      <c r="N167" s="190"/>
      <c r="O167" s="190"/>
      <c r="P167" s="341"/>
      <c r="Q167" s="404"/>
      <c r="R167" s="5"/>
    </row>
    <row r="168" spans="1:19" ht="15.6" x14ac:dyDescent="0.3">
      <c r="A168" s="180"/>
      <c r="B168" s="181"/>
      <c r="C168" s="181"/>
      <c r="D168" s="181"/>
      <c r="E168" s="181"/>
      <c r="F168" s="181"/>
      <c r="G168" s="181"/>
      <c r="H168" s="181"/>
      <c r="I168" s="181"/>
      <c r="J168" s="181"/>
      <c r="K168" s="181"/>
      <c r="L168" s="181"/>
      <c r="M168" s="181"/>
      <c r="N168" s="181"/>
      <c r="O168" s="181"/>
      <c r="P168" s="200"/>
      <c r="Q168" s="405"/>
      <c r="R168" s="5"/>
    </row>
    <row r="169" spans="1:19" ht="15.6" x14ac:dyDescent="0.3">
      <c r="A169" s="183"/>
      <c r="B169" s="209" t="s">
        <v>66</v>
      </c>
      <c r="C169" s="205"/>
      <c r="D169" s="205"/>
      <c r="E169" s="205"/>
      <c r="F169" s="211"/>
      <c r="G169" s="211"/>
      <c r="H169" s="211"/>
      <c r="I169" s="211"/>
      <c r="J169" s="211"/>
      <c r="K169" s="211"/>
      <c r="L169" s="211"/>
      <c r="M169" s="211" t="s">
        <v>112</v>
      </c>
      <c r="N169" s="211" t="s">
        <v>120</v>
      </c>
      <c r="O169" s="187"/>
      <c r="P169" s="212" t="s">
        <v>129</v>
      </c>
      <c r="Q169" s="413"/>
      <c r="R169" s="5"/>
    </row>
    <row r="170" spans="1:19" ht="15.6" x14ac:dyDescent="0.3">
      <c r="A170" s="260"/>
      <c r="B170" s="261" t="s">
        <v>67</v>
      </c>
      <c r="C170" s="261"/>
      <c r="D170" s="261"/>
      <c r="E170" s="261"/>
      <c r="F170" s="261"/>
      <c r="G170" s="261"/>
      <c r="H170" s="261"/>
      <c r="I170" s="261"/>
      <c r="J170" s="261"/>
      <c r="K170" s="261"/>
      <c r="L170" s="261"/>
      <c r="M170" s="331">
        <v>144000</v>
      </c>
      <c r="N170" s="292">
        <v>0</v>
      </c>
      <c r="O170" s="261"/>
      <c r="P170" s="331"/>
      <c r="Q170" s="264"/>
      <c r="R170" s="5"/>
    </row>
    <row r="171" spans="1:19" ht="15.6" x14ac:dyDescent="0.3">
      <c r="A171" s="260"/>
      <c r="B171" s="261" t="s">
        <v>68</v>
      </c>
      <c r="C171" s="261"/>
      <c r="D171" s="261"/>
      <c r="E171" s="261"/>
      <c r="F171" s="261"/>
      <c r="G171" s="261"/>
      <c r="H171" s="261"/>
      <c r="I171" s="261"/>
      <c r="J171" s="261"/>
      <c r="K171" s="261"/>
      <c r="L171" s="261"/>
      <c r="M171" s="331">
        <f>+'Jan 17'!M173</f>
        <v>92032</v>
      </c>
      <c r="N171" s="331">
        <f>+'Jan 17'!N173</f>
        <v>10233</v>
      </c>
      <c r="O171" s="261"/>
      <c r="P171" s="331">
        <f>M171+N171</f>
        <v>102265</v>
      </c>
      <c r="Q171" s="264"/>
      <c r="R171" s="5"/>
    </row>
    <row r="172" spans="1:19" ht="15.6" x14ac:dyDescent="0.3">
      <c r="A172" s="260"/>
      <c r="B172" s="261" t="s">
        <v>69</v>
      </c>
      <c r="C172" s="261"/>
      <c r="D172" s="261"/>
      <c r="E172" s="261"/>
      <c r="F172" s="261"/>
      <c r="G172" s="261"/>
      <c r="H172" s="261"/>
      <c r="I172" s="261"/>
      <c r="J172" s="261"/>
      <c r="K172" s="261"/>
      <c r="L172" s="261"/>
      <c r="M172" s="330">
        <v>461</v>
      </c>
      <c r="N172" s="330">
        <f>-N99-N122</f>
        <v>0</v>
      </c>
      <c r="O172" s="261"/>
      <c r="P172" s="331">
        <f>M172+N172</f>
        <v>461</v>
      </c>
      <c r="Q172" s="264"/>
      <c r="R172" s="5"/>
    </row>
    <row r="173" spans="1:19" ht="15.6" x14ac:dyDescent="0.3">
      <c r="A173" s="260"/>
      <c r="B173" s="261" t="s">
        <v>70</v>
      </c>
      <c r="C173" s="261"/>
      <c r="D173" s="261"/>
      <c r="E173" s="261"/>
      <c r="F173" s="261"/>
      <c r="G173" s="261"/>
      <c r="H173" s="261"/>
      <c r="I173" s="261"/>
      <c r="J173" s="261"/>
      <c r="K173" s="261"/>
      <c r="L173" s="261"/>
      <c r="M173" s="331">
        <f>M171+M172</f>
        <v>92493</v>
      </c>
      <c r="N173" s="331">
        <f>N172+N171</f>
        <v>10233</v>
      </c>
      <c r="O173" s="261"/>
      <c r="P173" s="331">
        <f>M173+N173</f>
        <v>102726</v>
      </c>
      <c r="Q173" s="264"/>
      <c r="R173" s="5"/>
    </row>
    <row r="174" spans="1:19" ht="15.6" x14ac:dyDescent="0.3">
      <c r="A174" s="260"/>
      <c r="B174" s="261" t="s">
        <v>71</v>
      </c>
      <c r="C174" s="261"/>
      <c r="D174" s="261"/>
      <c r="E174" s="261"/>
      <c r="F174" s="261"/>
      <c r="G174" s="261"/>
      <c r="H174" s="261"/>
      <c r="I174" s="261"/>
      <c r="J174" s="261"/>
      <c r="K174" s="261"/>
      <c r="L174" s="261"/>
      <c r="M174" s="331">
        <f>M170-M173-N173</f>
        <v>41274</v>
      </c>
      <c r="N174" s="292"/>
      <c r="O174" s="261"/>
      <c r="P174" s="331"/>
      <c r="Q174" s="264"/>
      <c r="R174" s="5"/>
    </row>
    <row r="175" spans="1:19" ht="16.2" thickBot="1" x14ac:dyDescent="0.35">
      <c r="A175" s="183"/>
      <c r="B175" s="190"/>
      <c r="C175" s="190"/>
      <c r="D175" s="190"/>
      <c r="E175" s="190"/>
      <c r="F175" s="190"/>
      <c r="G175" s="190"/>
      <c r="H175" s="190"/>
      <c r="I175" s="190"/>
      <c r="J175" s="190"/>
      <c r="K175" s="190"/>
      <c r="L175" s="190"/>
      <c r="M175" s="190"/>
      <c r="N175" s="190"/>
      <c r="O175" s="190"/>
      <c r="P175" s="341"/>
      <c r="Q175" s="404"/>
      <c r="R175" s="5"/>
    </row>
    <row r="176" spans="1:19" ht="15.6" x14ac:dyDescent="0.3">
      <c r="A176" s="180"/>
      <c r="B176" s="181"/>
      <c r="C176" s="181"/>
      <c r="D176" s="181"/>
      <c r="E176" s="181"/>
      <c r="F176" s="181"/>
      <c r="G176" s="181"/>
      <c r="H176" s="181"/>
      <c r="I176" s="181"/>
      <c r="J176" s="181"/>
      <c r="K176" s="181"/>
      <c r="L176" s="181"/>
      <c r="M176" s="181"/>
      <c r="N176" s="181"/>
      <c r="O176" s="181"/>
      <c r="P176" s="200"/>
      <c r="Q176" s="405"/>
      <c r="R176" s="5"/>
    </row>
    <row r="177" spans="1:18" ht="15.6" x14ac:dyDescent="0.3">
      <c r="A177" s="183"/>
      <c r="B177" s="209" t="s">
        <v>72</v>
      </c>
      <c r="C177" s="185"/>
      <c r="D177" s="185"/>
      <c r="E177" s="185"/>
      <c r="F177" s="185"/>
      <c r="G177" s="185"/>
      <c r="H177" s="185"/>
      <c r="I177" s="185"/>
      <c r="J177" s="185"/>
      <c r="K177" s="185"/>
      <c r="L177" s="185"/>
      <c r="M177" s="185"/>
      <c r="N177" s="185"/>
      <c r="O177" s="185"/>
      <c r="P177" s="214"/>
      <c r="Q177" s="404"/>
      <c r="R177" s="5"/>
    </row>
    <row r="178" spans="1:18" ht="15.6" x14ac:dyDescent="0.3">
      <c r="A178" s="260"/>
      <c r="B178" s="261" t="s">
        <v>73</v>
      </c>
      <c r="C178" s="261"/>
      <c r="D178" s="261"/>
      <c r="E178" s="261"/>
      <c r="F178" s="261"/>
      <c r="G178" s="261"/>
      <c r="H178" s="261"/>
      <c r="I178" s="261"/>
      <c r="J178" s="261"/>
      <c r="K178" s="261"/>
      <c r="L178" s="261"/>
      <c r="M178" s="261"/>
      <c r="N178" s="261"/>
      <c r="O178" s="261"/>
      <c r="P178" s="343">
        <f>(P102+P104+P105+P106+P107)/-(P108+P109+P110)</f>
        <v>3.6336805555555554</v>
      </c>
      <c r="Q178" s="264" t="s">
        <v>130</v>
      </c>
      <c r="R178" s="5"/>
    </row>
    <row r="179" spans="1:18" ht="15.6" x14ac:dyDescent="0.3">
      <c r="A179" s="260"/>
      <c r="B179" s="261" t="s">
        <v>74</v>
      </c>
      <c r="C179" s="261"/>
      <c r="D179" s="261"/>
      <c r="E179" s="261"/>
      <c r="F179" s="261"/>
      <c r="G179" s="261"/>
      <c r="H179" s="261"/>
      <c r="I179" s="261"/>
      <c r="J179" s="261"/>
      <c r="K179" s="261"/>
      <c r="L179" s="261"/>
      <c r="M179" s="261"/>
      <c r="N179" s="261"/>
      <c r="O179" s="261"/>
      <c r="P179" s="343">
        <v>1.61</v>
      </c>
      <c r="Q179" s="264" t="s">
        <v>130</v>
      </c>
      <c r="R179" s="5"/>
    </row>
    <row r="180" spans="1:18" ht="15.6" x14ac:dyDescent="0.3">
      <c r="A180" s="260"/>
      <c r="B180" s="261" t="s">
        <v>75</v>
      </c>
      <c r="C180" s="261"/>
      <c r="D180" s="261"/>
      <c r="E180" s="261"/>
      <c r="F180" s="261"/>
      <c r="G180" s="261"/>
      <c r="H180" s="261"/>
      <c r="I180" s="261"/>
      <c r="J180" s="261"/>
      <c r="K180" s="261"/>
      <c r="L180" s="261"/>
      <c r="M180" s="261"/>
      <c r="N180" s="261"/>
      <c r="O180" s="261"/>
      <c r="P180" s="342">
        <f>(P102+P104+P105+P106+P107+P108+P109+P110)/-(P111+P112)</f>
        <v>4.3467048710601723</v>
      </c>
      <c r="Q180" s="264" t="s">
        <v>130</v>
      </c>
      <c r="R180" s="5"/>
    </row>
    <row r="181" spans="1:18" ht="15.6" x14ac:dyDescent="0.3">
      <c r="A181" s="260"/>
      <c r="B181" s="261" t="s">
        <v>76</v>
      </c>
      <c r="C181" s="261"/>
      <c r="D181" s="261"/>
      <c r="E181" s="261"/>
      <c r="F181" s="261"/>
      <c r="G181" s="261"/>
      <c r="H181" s="261"/>
      <c r="I181" s="261"/>
      <c r="J181" s="261"/>
      <c r="K181" s="261"/>
      <c r="L181" s="261"/>
      <c r="M181" s="261"/>
      <c r="N181" s="261"/>
      <c r="O181" s="261"/>
      <c r="P181" s="343">
        <v>2.64</v>
      </c>
      <c r="Q181" s="264" t="s">
        <v>130</v>
      </c>
      <c r="R181" s="5"/>
    </row>
    <row r="182" spans="1:18" ht="15.6" x14ac:dyDescent="0.3">
      <c r="A182" s="260"/>
      <c r="B182" s="335"/>
      <c r="C182" s="335"/>
      <c r="D182" s="335"/>
      <c r="E182" s="335"/>
      <c r="F182" s="335"/>
      <c r="G182" s="335"/>
      <c r="H182" s="335"/>
      <c r="I182" s="335"/>
      <c r="J182" s="335"/>
      <c r="K182" s="335"/>
      <c r="L182" s="335"/>
      <c r="M182" s="335"/>
      <c r="N182" s="335"/>
      <c r="O182" s="335"/>
      <c r="P182" s="335"/>
      <c r="Q182" s="338"/>
      <c r="R182" s="5"/>
    </row>
    <row r="183" spans="1:18" ht="15.6" x14ac:dyDescent="0.3">
      <c r="A183" s="183"/>
      <c r="B183" s="190"/>
      <c r="C183" s="190"/>
      <c r="D183" s="190"/>
      <c r="E183" s="190"/>
      <c r="F183" s="190"/>
      <c r="G183" s="190"/>
      <c r="H183" s="190"/>
      <c r="I183" s="190"/>
      <c r="J183" s="190"/>
      <c r="K183" s="190"/>
      <c r="L183" s="190"/>
      <c r="M183" s="190"/>
      <c r="N183" s="190"/>
      <c r="O183" s="190"/>
      <c r="P183" s="190"/>
      <c r="Q183" s="404"/>
      <c r="R183" s="5"/>
    </row>
    <row r="184" spans="1:18" ht="15.6" x14ac:dyDescent="0.3">
      <c r="A184" s="183"/>
      <c r="B184" s="185"/>
      <c r="C184" s="185"/>
      <c r="D184" s="185"/>
      <c r="E184" s="185"/>
      <c r="F184" s="185"/>
      <c r="G184" s="185"/>
      <c r="H184" s="185"/>
      <c r="I184" s="185"/>
      <c r="J184" s="185"/>
      <c r="K184" s="185"/>
      <c r="L184" s="185"/>
      <c r="M184" s="185"/>
      <c r="N184" s="185"/>
      <c r="O184" s="185"/>
      <c r="P184" s="185"/>
      <c r="Q184" s="404"/>
      <c r="R184" s="5"/>
    </row>
    <row r="185" spans="1:18" ht="18" thickBot="1" x14ac:dyDescent="0.35">
      <c r="A185" s="199"/>
      <c r="B185" s="239" t="str">
        <f>B133</f>
        <v>PM7 INVESTOR REPORT QUARTER ENDING APRIL 2017</v>
      </c>
      <c r="C185" s="215"/>
      <c r="D185" s="215"/>
      <c r="E185" s="215"/>
      <c r="F185" s="215"/>
      <c r="G185" s="215"/>
      <c r="H185" s="215"/>
      <c r="I185" s="215"/>
      <c r="J185" s="215"/>
      <c r="K185" s="215"/>
      <c r="L185" s="215"/>
      <c r="M185" s="215"/>
      <c r="N185" s="215"/>
      <c r="O185" s="215"/>
      <c r="P185" s="215"/>
      <c r="Q185" s="216"/>
      <c r="R185" s="5"/>
    </row>
    <row r="186" spans="1:18" ht="15.6" x14ac:dyDescent="0.3">
      <c r="A186" s="323"/>
      <c r="B186" s="397" t="s">
        <v>77</v>
      </c>
      <c r="C186" s="398"/>
      <c r="D186" s="398"/>
      <c r="E186" s="399"/>
      <c r="F186" s="399"/>
      <c r="G186" s="399"/>
      <c r="H186" s="399"/>
      <c r="I186" s="399"/>
      <c r="J186" s="399"/>
      <c r="K186" s="399"/>
      <c r="L186" s="399"/>
      <c r="M186" s="399"/>
      <c r="N186" s="399">
        <v>42853</v>
      </c>
      <c r="O186" s="326"/>
      <c r="P186" s="326"/>
      <c r="Q186" s="412"/>
      <c r="R186" s="5"/>
    </row>
    <row r="187" spans="1:18" ht="15.6" x14ac:dyDescent="0.3">
      <c r="A187" s="217"/>
      <c r="B187" s="218"/>
      <c r="C187" s="219"/>
      <c r="D187" s="219"/>
      <c r="E187" s="220"/>
      <c r="F187" s="220"/>
      <c r="G187" s="220"/>
      <c r="H187" s="220"/>
      <c r="I187" s="220"/>
      <c r="J187" s="220"/>
      <c r="K187" s="220"/>
      <c r="L187" s="220"/>
      <c r="M187" s="220"/>
      <c r="N187" s="220"/>
      <c r="O187" s="185"/>
      <c r="P187" s="185"/>
      <c r="Q187" s="404"/>
      <c r="R187" s="5"/>
    </row>
    <row r="188" spans="1:18" ht="15.6" x14ac:dyDescent="0.3">
      <c r="A188" s="345"/>
      <c r="B188" s="261" t="s">
        <v>78</v>
      </c>
      <c r="C188" s="346"/>
      <c r="D188" s="346"/>
      <c r="E188" s="295"/>
      <c r="F188" s="295"/>
      <c r="G188" s="295"/>
      <c r="H188" s="295"/>
      <c r="I188" s="295"/>
      <c r="J188" s="295"/>
      <c r="K188" s="295"/>
      <c r="L188" s="295"/>
      <c r="M188" s="295"/>
      <c r="N188" s="290">
        <v>5.8069999999999997E-2</v>
      </c>
      <c r="O188" s="261"/>
      <c r="P188" s="261"/>
      <c r="Q188" s="264"/>
      <c r="R188" s="5"/>
    </row>
    <row r="189" spans="1:18" ht="15.6" x14ac:dyDescent="0.3">
      <c r="A189" s="345"/>
      <c r="B189" s="261" t="s">
        <v>219</v>
      </c>
      <c r="C189" s="346"/>
      <c r="D189" s="346"/>
      <c r="E189" s="295"/>
      <c r="F189" s="295"/>
      <c r="G189" s="295"/>
      <c r="H189" s="295"/>
      <c r="I189" s="295"/>
      <c r="J189" s="295"/>
      <c r="K189" s="295"/>
      <c r="L189" s="295"/>
      <c r="M189" s="295"/>
      <c r="N189" s="290">
        <v>5.1499999999999997E-2</v>
      </c>
      <c r="O189" s="261"/>
      <c r="P189" s="261"/>
      <c r="Q189" s="264"/>
      <c r="R189" s="5"/>
    </row>
    <row r="190" spans="1:18" ht="15.6" x14ac:dyDescent="0.3">
      <c r="A190" s="345"/>
      <c r="B190" s="261" t="s">
        <v>79</v>
      </c>
      <c r="C190" s="346"/>
      <c r="D190" s="346"/>
      <c r="E190" s="295"/>
      <c r="F190" s="295"/>
      <c r="G190" s="295"/>
      <c r="H190" s="295"/>
      <c r="I190" s="295"/>
      <c r="J190" s="295"/>
      <c r="K190" s="295"/>
      <c r="L190" s="295"/>
      <c r="M190" s="295"/>
      <c r="N190" s="290">
        <f>N188-N189</f>
        <v>6.5699999999999995E-3</v>
      </c>
      <c r="O190" s="261"/>
      <c r="P190" s="261"/>
      <c r="Q190" s="264"/>
      <c r="R190" s="5"/>
    </row>
    <row r="191" spans="1:18" ht="15.6" x14ac:dyDescent="0.3">
      <c r="A191" s="345"/>
      <c r="B191" s="261" t="s">
        <v>80</v>
      </c>
      <c r="C191" s="346"/>
      <c r="D191" s="346"/>
      <c r="E191" s="295"/>
      <c r="F191" s="295"/>
      <c r="G191" s="295"/>
      <c r="H191" s="295"/>
      <c r="I191" s="295"/>
      <c r="J191" s="295"/>
      <c r="K191" s="295"/>
      <c r="L191" s="295"/>
      <c r="M191" s="295"/>
      <c r="N191" s="290">
        <v>2.1299999999999999E-2</v>
      </c>
      <c r="O191" s="261"/>
      <c r="P191" s="261"/>
      <c r="Q191" s="264"/>
      <c r="R191" s="5"/>
    </row>
    <row r="192" spans="1:18" ht="15.6" x14ac:dyDescent="0.3">
      <c r="A192" s="345"/>
      <c r="B192" s="261" t="s">
        <v>241</v>
      </c>
      <c r="C192" s="346"/>
      <c r="D192" s="346"/>
      <c r="E192" s="295"/>
      <c r="F192" s="295"/>
      <c r="G192" s="295"/>
      <c r="H192" s="295"/>
      <c r="I192" s="295"/>
      <c r="J192" s="295"/>
      <c r="K192" s="295"/>
      <c r="L192" s="295"/>
      <c r="M192" s="295"/>
      <c r="N192" s="290">
        <f>+P45</f>
        <v>1.1637392018516851E-2</v>
      </c>
      <c r="O192" s="261"/>
      <c r="P192" s="261"/>
      <c r="Q192" s="264"/>
      <c r="R192" s="5"/>
    </row>
    <row r="193" spans="1:18" ht="15.6" x14ac:dyDescent="0.3">
      <c r="A193" s="345"/>
      <c r="B193" s="261" t="s">
        <v>81</v>
      </c>
      <c r="C193" s="346"/>
      <c r="D193" s="346"/>
      <c r="E193" s="295"/>
      <c r="F193" s="295"/>
      <c r="G193" s="295"/>
      <c r="H193" s="295"/>
      <c r="I193" s="295"/>
      <c r="J193" s="295"/>
      <c r="K193" s="295"/>
      <c r="L193" s="295"/>
      <c r="M193" s="295"/>
      <c r="N193" s="290">
        <f>N191-N192</f>
        <v>9.6626079814831484E-3</v>
      </c>
      <c r="O193" s="261"/>
      <c r="P193" s="261"/>
      <c r="Q193" s="264"/>
      <c r="R193" s="5"/>
    </row>
    <row r="194" spans="1:18" ht="15.6" x14ac:dyDescent="0.3">
      <c r="A194" s="345"/>
      <c r="B194" s="261" t="s">
        <v>257</v>
      </c>
      <c r="C194" s="346"/>
      <c r="D194" s="346"/>
      <c r="E194" s="295"/>
      <c r="F194" s="295"/>
      <c r="G194" s="295"/>
      <c r="H194" s="295"/>
      <c r="I194" s="295"/>
      <c r="J194" s="295"/>
      <c r="K194" s="295"/>
      <c r="L194" s="295"/>
      <c r="M194" s="295"/>
      <c r="N194" s="290">
        <f>+P102/H72</f>
        <v>6.7398916956439084E-3</v>
      </c>
      <c r="O194" s="261"/>
      <c r="P194" s="261"/>
      <c r="Q194" s="264"/>
      <c r="R194" s="5"/>
    </row>
    <row r="195" spans="1:18" ht="15.6" x14ac:dyDescent="0.3">
      <c r="A195" s="345"/>
      <c r="B195" s="261" t="s">
        <v>170</v>
      </c>
      <c r="C195" s="346"/>
      <c r="D195" s="346"/>
      <c r="E195" s="295"/>
      <c r="F195" s="295"/>
      <c r="G195" s="295"/>
      <c r="H195" s="295"/>
      <c r="I195" s="295"/>
      <c r="J195" s="295"/>
      <c r="K195" s="295"/>
      <c r="L195" s="295"/>
      <c r="M195" s="295"/>
      <c r="N195" s="347">
        <v>49065</v>
      </c>
      <c r="O195" s="261"/>
      <c r="P195" s="261"/>
      <c r="Q195" s="264"/>
      <c r="R195" s="5"/>
    </row>
    <row r="196" spans="1:18" ht="15.6" x14ac:dyDescent="0.3">
      <c r="A196" s="345"/>
      <c r="B196" s="261" t="s">
        <v>171</v>
      </c>
      <c r="C196" s="346"/>
      <c r="D196" s="346"/>
      <c r="E196" s="295"/>
      <c r="F196" s="295"/>
      <c r="G196" s="295"/>
      <c r="H196" s="295"/>
      <c r="I196" s="295"/>
      <c r="J196" s="295"/>
      <c r="K196" s="295"/>
      <c r="L196" s="295"/>
      <c r="M196" s="295"/>
      <c r="N196" s="347">
        <v>49065</v>
      </c>
      <c r="O196" s="261"/>
      <c r="P196" s="261"/>
      <c r="Q196" s="264"/>
      <c r="R196" s="5"/>
    </row>
    <row r="197" spans="1:18" ht="15.6" x14ac:dyDescent="0.3">
      <c r="A197" s="345"/>
      <c r="B197" s="261" t="s">
        <v>172</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138</v>
      </c>
      <c r="C198" s="346"/>
      <c r="D198" s="346"/>
      <c r="E198" s="295"/>
      <c r="F198" s="295"/>
      <c r="G198" s="295"/>
      <c r="H198" s="295"/>
      <c r="I198" s="295"/>
      <c r="J198" s="295"/>
      <c r="K198" s="295"/>
      <c r="L198" s="295"/>
      <c r="M198" s="295"/>
      <c r="N198" s="347">
        <v>52352</v>
      </c>
      <c r="O198" s="261"/>
      <c r="P198" s="261"/>
      <c r="Q198" s="264"/>
      <c r="R198" s="5"/>
    </row>
    <row r="199" spans="1:18" ht="15.6" x14ac:dyDescent="0.3">
      <c r="A199" s="345"/>
      <c r="B199" s="261" t="s">
        <v>139</v>
      </c>
      <c r="C199" s="346"/>
      <c r="D199" s="346"/>
      <c r="E199" s="295"/>
      <c r="F199" s="295"/>
      <c r="G199" s="295"/>
      <c r="H199" s="295"/>
      <c r="I199" s="295"/>
      <c r="J199" s="295"/>
      <c r="K199" s="295"/>
      <c r="L199" s="295"/>
      <c r="M199" s="295"/>
      <c r="N199" s="347">
        <v>52352</v>
      </c>
      <c r="O199" s="261"/>
      <c r="P199" s="261"/>
      <c r="Q199" s="264"/>
      <c r="R199" s="5"/>
    </row>
    <row r="200" spans="1:18" ht="15.6" x14ac:dyDescent="0.3">
      <c r="A200" s="345"/>
      <c r="B200" s="261" t="s">
        <v>82</v>
      </c>
      <c r="C200" s="346"/>
      <c r="D200" s="346"/>
      <c r="E200" s="295"/>
      <c r="F200" s="295"/>
      <c r="G200" s="295"/>
      <c r="H200" s="295"/>
      <c r="I200" s="295"/>
      <c r="J200" s="295"/>
      <c r="K200" s="295"/>
      <c r="L200" s="295"/>
      <c r="M200" s="295"/>
      <c r="N200" s="294">
        <v>20.45</v>
      </c>
      <c r="O200" s="261" t="s">
        <v>125</v>
      </c>
      <c r="P200" s="261"/>
      <c r="Q200" s="264"/>
      <c r="R200" s="5"/>
    </row>
    <row r="201" spans="1:18" ht="15.6" x14ac:dyDescent="0.3">
      <c r="A201" s="345"/>
      <c r="B201" s="261" t="s">
        <v>83</v>
      </c>
      <c r="C201" s="346"/>
      <c r="D201" s="346"/>
      <c r="E201" s="295"/>
      <c r="F201" s="295"/>
      <c r="G201" s="295"/>
      <c r="H201" s="295"/>
      <c r="I201" s="295"/>
      <c r="J201" s="295"/>
      <c r="K201" s="295"/>
      <c r="L201" s="295"/>
      <c r="M201" s="295"/>
      <c r="N201" s="294">
        <v>9.8699999999999992</v>
      </c>
      <c r="O201" s="261" t="s">
        <v>125</v>
      </c>
      <c r="P201" s="261"/>
      <c r="Q201" s="264"/>
      <c r="R201" s="5"/>
    </row>
    <row r="202" spans="1:18" ht="15.6" x14ac:dyDescent="0.3">
      <c r="A202" s="345"/>
      <c r="B202" s="261" t="s">
        <v>84</v>
      </c>
      <c r="C202" s="346"/>
      <c r="D202" s="346"/>
      <c r="E202" s="295"/>
      <c r="F202" s="295"/>
      <c r="G202" s="295"/>
      <c r="H202" s="295"/>
      <c r="I202" s="295"/>
      <c r="J202" s="295"/>
      <c r="K202" s="295"/>
      <c r="L202" s="295"/>
      <c r="M202" s="295"/>
      <c r="N202" s="290">
        <f>J69/H69</f>
        <v>1.6742406122937096E-2</v>
      </c>
      <c r="O202" s="261"/>
      <c r="P202" s="261"/>
      <c r="Q202" s="264"/>
      <c r="R202" s="5"/>
    </row>
    <row r="203" spans="1:18" ht="15.6" x14ac:dyDescent="0.3">
      <c r="A203" s="345"/>
      <c r="B203" s="261" t="s">
        <v>85</v>
      </c>
      <c r="C203" s="346"/>
      <c r="D203" s="346"/>
      <c r="E203" s="295"/>
      <c r="F203" s="295"/>
      <c r="G203" s="295"/>
      <c r="H203" s="295"/>
      <c r="I203" s="295"/>
      <c r="J203" s="295"/>
      <c r="K203" s="295"/>
      <c r="L203" s="295"/>
      <c r="M203" s="295"/>
      <c r="N203" s="290">
        <v>8.9099999999999999E-2</v>
      </c>
      <c r="O203" s="261"/>
      <c r="P203" s="261"/>
      <c r="Q203" s="264"/>
      <c r="R203" s="5"/>
    </row>
    <row r="204" spans="1:18" ht="15.6" x14ac:dyDescent="0.3">
      <c r="A204" s="217"/>
      <c r="B204" s="222"/>
      <c r="C204" s="222"/>
      <c r="D204" s="222"/>
      <c r="E204" s="190"/>
      <c r="F204" s="190"/>
      <c r="G204" s="190"/>
      <c r="H204" s="190"/>
      <c r="I204" s="190"/>
      <c r="J204" s="190"/>
      <c r="K204" s="190"/>
      <c r="L204" s="190"/>
      <c r="M204" s="190"/>
      <c r="N204" s="341"/>
      <c r="O204" s="190"/>
      <c r="P204" s="344"/>
      <c r="Q204" s="404"/>
      <c r="R204" s="5"/>
    </row>
    <row r="205" spans="1:18" ht="15.6" x14ac:dyDescent="0.3">
      <c r="A205" s="322"/>
      <c r="B205" s="393" t="s">
        <v>86</v>
      </c>
      <c r="C205" s="395"/>
      <c r="D205" s="400"/>
      <c r="E205" s="395"/>
      <c r="F205" s="395"/>
      <c r="G205" s="395"/>
      <c r="H205" s="395"/>
      <c r="I205" s="395"/>
      <c r="J205" s="395"/>
      <c r="K205" s="395"/>
      <c r="L205" s="395"/>
      <c r="M205" s="395" t="s">
        <v>113</v>
      </c>
      <c r="N205" s="400" t="s">
        <v>121</v>
      </c>
      <c r="O205" s="252"/>
      <c r="P205" s="252"/>
      <c r="Q205" s="407"/>
      <c r="R205" s="5"/>
    </row>
    <row r="206" spans="1:18" ht="15.6" x14ac:dyDescent="0.3">
      <c r="A206" s="221"/>
      <c r="B206" s="230" t="s">
        <v>87</v>
      </c>
      <c r="C206" s="235"/>
      <c r="D206" s="230"/>
      <c r="E206" s="230"/>
      <c r="F206" s="234"/>
      <c r="G206" s="234"/>
      <c r="H206" s="234"/>
      <c r="I206" s="234"/>
      <c r="J206" s="234"/>
      <c r="K206" s="234"/>
      <c r="L206" s="234"/>
      <c r="M206" s="234">
        <v>1</v>
      </c>
      <c r="N206" s="305">
        <v>44</v>
      </c>
      <c r="O206" s="230"/>
      <c r="P206" s="306"/>
      <c r="Q206" s="414"/>
      <c r="R206" s="5"/>
    </row>
    <row r="207" spans="1:18" ht="15.6" x14ac:dyDescent="0.3">
      <c r="A207" s="351"/>
      <c r="B207" s="261" t="s">
        <v>203</v>
      </c>
      <c r="C207" s="330"/>
      <c r="D207" s="261"/>
      <c r="E207" s="261"/>
      <c r="F207" s="268"/>
      <c r="G207" s="268"/>
      <c r="H207" s="268"/>
      <c r="I207" s="268"/>
      <c r="J207" s="268"/>
      <c r="K207" s="268"/>
      <c r="L207" s="268"/>
      <c r="M207" s="352">
        <f>+L255</f>
        <v>19</v>
      </c>
      <c r="N207" s="353">
        <f>+N255</f>
        <v>2776</v>
      </c>
      <c r="O207" s="261"/>
      <c r="P207" s="354"/>
      <c r="Q207" s="355"/>
      <c r="R207" s="5"/>
    </row>
    <row r="208" spans="1:18" ht="15.6" x14ac:dyDescent="0.3">
      <c r="A208" s="351"/>
      <c r="B208" s="261" t="s">
        <v>88</v>
      </c>
      <c r="C208" s="330"/>
      <c r="D208" s="261"/>
      <c r="E208" s="261"/>
      <c r="F208" s="268"/>
      <c r="G208" s="268"/>
      <c r="H208" s="268"/>
      <c r="I208" s="268"/>
      <c r="J208" s="268"/>
      <c r="K208" s="268"/>
      <c r="L208" s="268"/>
      <c r="M208" s="352">
        <f>+L266</f>
        <v>0</v>
      </c>
      <c r="N208" s="353">
        <f>+N266</f>
        <v>0</v>
      </c>
      <c r="O208" s="261"/>
      <c r="P208" s="354"/>
      <c r="Q208" s="355"/>
      <c r="R208" s="5"/>
    </row>
    <row r="209" spans="1:18" ht="15.6" x14ac:dyDescent="0.3">
      <c r="A209" s="351"/>
      <c r="B209" s="282" t="s">
        <v>89</v>
      </c>
      <c r="C209" s="356"/>
      <c r="D209" s="335"/>
      <c r="E209" s="335"/>
      <c r="F209" s="335"/>
      <c r="G209" s="335"/>
      <c r="H209" s="335"/>
      <c r="I209" s="335"/>
      <c r="J209" s="335"/>
      <c r="K209" s="335"/>
      <c r="L209" s="335"/>
      <c r="M209" s="335"/>
      <c r="N209" s="353">
        <v>0</v>
      </c>
      <c r="O209" s="335"/>
      <c r="P209" s="358"/>
      <c r="Q209" s="359"/>
      <c r="R209" s="5"/>
    </row>
    <row r="210" spans="1:18" ht="15.6" x14ac:dyDescent="0.3">
      <c r="A210" s="351"/>
      <c r="B210" s="282" t="s">
        <v>90</v>
      </c>
      <c r="C210" s="356"/>
      <c r="D210" s="335"/>
      <c r="E210" s="335"/>
      <c r="F210" s="335"/>
      <c r="G210" s="335"/>
      <c r="H210" s="335"/>
      <c r="I210" s="335"/>
      <c r="J210" s="335"/>
      <c r="K210" s="335"/>
      <c r="L210" s="335"/>
      <c r="M210" s="335"/>
      <c r="N210" s="369" t="s">
        <v>122</v>
      </c>
      <c r="O210" s="335"/>
      <c r="P210" s="358"/>
      <c r="Q210" s="359"/>
      <c r="R210" s="5"/>
    </row>
    <row r="211" spans="1:18" ht="15.6" x14ac:dyDescent="0.3">
      <c r="A211" s="360"/>
      <c r="B211" s="282" t="s">
        <v>91</v>
      </c>
      <c r="C211" s="361"/>
      <c r="D211" s="361"/>
      <c r="E211" s="335"/>
      <c r="F211" s="335"/>
      <c r="G211" s="335"/>
      <c r="H211" s="335"/>
      <c r="I211" s="335"/>
      <c r="J211" s="362"/>
      <c r="K211" s="335"/>
      <c r="L211" s="335"/>
      <c r="M211" s="335"/>
      <c r="N211" s="357"/>
      <c r="O211" s="335"/>
      <c r="P211" s="358"/>
      <c r="Q211" s="363"/>
      <c r="R211" s="5"/>
    </row>
    <row r="212" spans="1:18" ht="15.6" x14ac:dyDescent="0.3">
      <c r="A212" s="360"/>
      <c r="B212" s="261" t="s">
        <v>92</v>
      </c>
      <c r="C212" s="261"/>
      <c r="D212" s="261"/>
      <c r="E212" s="261"/>
      <c r="F212" s="261"/>
      <c r="G212" s="261"/>
      <c r="H212" s="261"/>
      <c r="I212" s="261"/>
      <c r="J212" s="261"/>
      <c r="K212" s="261"/>
      <c r="L212" s="261"/>
      <c r="M212" s="261"/>
      <c r="N212" s="353">
        <f>P155</f>
        <v>-83</v>
      </c>
      <c r="O212" s="261"/>
      <c r="P212" s="354"/>
      <c r="Q212" s="363"/>
      <c r="R212" s="5"/>
    </row>
    <row r="213" spans="1:18" ht="15.6" x14ac:dyDescent="0.3">
      <c r="A213" s="351"/>
      <c r="B213" s="261" t="s">
        <v>93</v>
      </c>
      <c r="C213" s="330"/>
      <c r="D213" s="330"/>
      <c r="E213" s="261"/>
      <c r="F213" s="261"/>
      <c r="G213" s="261"/>
      <c r="H213" s="261"/>
      <c r="I213" s="261"/>
      <c r="J213" s="261"/>
      <c r="K213" s="261"/>
      <c r="L213" s="261"/>
      <c r="M213" s="261"/>
      <c r="N213" s="353">
        <f>'Jan 17'!N213+'April 17'!N212</f>
        <v>6598</v>
      </c>
      <c r="O213" s="261"/>
      <c r="P213" s="354"/>
      <c r="Q213" s="363"/>
      <c r="R213" s="5"/>
    </row>
    <row r="214" spans="1:18" ht="15.6" x14ac:dyDescent="0.3">
      <c r="A214" s="360"/>
      <c r="B214" s="282" t="s">
        <v>278</v>
      </c>
      <c r="C214" s="361"/>
      <c r="D214" s="361"/>
      <c r="E214" s="335"/>
      <c r="F214" s="335"/>
      <c r="G214" s="335"/>
      <c r="H214" s="335"/>
      <c r="I214" s="335"/>
      <c r="J214" s="335"/>
      <c r="K214" s="335"/>
      <c r="L214" s="335"/>
      <c r="M214" s="335"/>
      <c r="N214" s="357"/>
      <c r="O214" s="335"/>
      <c r="P214" s="358"/>
      <c r="Q214" s="363"/>
      <c r="R214" s="5"/>
    </row>
    <row r="215" spans="1:18" ht="15.6" x14ac:dyDescent="0.3">
      <c r="A215" s="360"/>
      <c r="B215" s="261" t="s">
        <v>276</v>
      </c>
      <c r="C215" s="261"/>
      <c r="D215" s="261"/>
      <c r="E215" s="261"/>
      <c r="F215" s="261"/>
      <c r="G215" s="261"/>
      <c r="H215" s="261"/>
      <c r="I215" s="261"/>
      <c r="J215" s="261"/>
      <c r="K215" s="261"/>
      <c r="L215" s="261"/>
      <c r="M215" s="268">
        <v>0</v>
      </c>
      <c r="N215" s="353">
        <v>0</v>
      </c>
      <c r="O215" s="261"/>
      <c r="P215" s="354"/>
      <c r="Q215" s="363"/>
      <c r="R215" s="5"/>
    </row>
    <row r="216" spans="1:18" ht="15.6" x14ac:dyDescent="0.3">
      <c r="A216" s="351"/>
      <c r="B216" s="261" t="s">
        <v>95</v>
      </c>
      <c r="C216" s="292"/>
      <c r="D216" s="368"/>
      <c r="E216" s="261"/>
      <c r="F216" s="261"/>
      <c r="G216" s="261"/>
      <c r="H216" s="261"/>
      <c r="I216" s="261"/>
      <c r="J216" s="261"/>
      <c r="K216" s="261"/>
      <c r="L216" s="261"/>
      <c r="M216" s="261"/>
      <c r="N216" s="369">
        <v>0</v>
      </c>
      <c r="O216" s="261"/>
      <c r="P216" s="354"/>
      <c r="Q216" s="363"/>
      <c r="R216" s="5"/>
    </row>
    <row r="217" spans="1:18" ht="15.6" x14ac:dyDescent="0.3">
      <c r="A217" s="351"/>
      <c r="B217" s="261" t="s">
        <v>96</v>
      </c>
      <c r="C217" s="292"/>
      <c r="D217" s="368"/>
      <c r="E217" s="261"/>
      <c r="F217" s="261"/>
      <c r="G217" s="261"/>
      <c r="H217" s="261"/>
      <c r="I217" s="261"/>
      <c r="J217" s="261"/>
      <c r="K217" s="261"/>
      <c r="L217" s="261"/>
      <c r="M217" s="261"/>
      <c r="N217" s="369">
        <v>0</v>
      </c>
      <c r="O217" s="261"/>
      <c r="P217" s="354"/>
      <c r="Q217" s="363"/>
      <c r="R217" s="5"/>
    </row>
    <row r="218" spans="1:18" ht="15.6" x14ac:dyDescent="0.3">
      <c r="A218" s="351"/>
      <c r="B218" s="282" t="s">
        <v>251</v>
      </c>
      <c r="C218" s="370"/>
      <c r="D218" s="371"/>
      <c r="E218" s="335"/>
      <c r="F218" s="335"/>
      <c r="G218" s="335"/>
      <c r="H218" s="335"/>
      <c r="I218" s="335"/>
      <c r="J218" s="335"/>
      <c r="K218" s="335"/>
      <c r="L218" s="335"/>
      <c r="M218" s="335"/>
      <c r="N218" s="372"/>
      <c r="O218" s="335"/>
      <c r="P218" s="358"/>
      <c r="Q218" s="363"/>
      <c r="R218" s="5"/>
    </row>
    <row r="219" spans="1:18" ht="15.6" x14ac:dyDescent="0.3">
      <c r="A219" s="351"/>
      <c r="B219" s="261" t="s">
        <v>276</v>
      </c>
      <c r="C219" s="292"/>
      <c r="D219" s="368"/>
      <c r="E219" s="261"/>
      <c r="F219" s="261"/>
      <c r="G219" s="261"/>
      <c r="H219" s="261"/>
      <c r="I219" s="261"/>
      <c r="J219" s="261"/>
      <c r="K219" s="261"/>
      <c r="L219" s="261"/>
      <c r="M219" s="268">
        <v>3</v>
      </c>
      <c r="N219" s="353">
        <v>468</v>
      </c>
      <c r="O219" s="261"/>
      <c r="P219" s="354"/>
      <c r="Q219" s="373"/>
      <c r="R219" s="308"/>
    </row>
    <row r="220" spans="1:18" ht="15.6" x14ac:dyDescent="0.3">
      <c r="A220" s="351"/>
      <c r="B220" s="261" t="s">
        <v>252</v>
      </c>
      <c r="C220" s="292"/>
      <c r="D220" s="368"/>
      <c r="E220" s="261"/>
      <c r="F220" s="261"/>
      <c r="G220" s="261"/>
      <c r="H220" s="261"/>
      <c r="I220" s="261"/>
      <c r="J220" s="261"/>
      <c r="K220" s="261"/>
      <c r="L220" s="261"/>
      <c r="M220" s="261"/>
      <c r="N220" s="369">
        <v>2.86</v>
      </c>
      <c r="O220" s="261"/>
      <c r="P220" s="354"/>
      <c r="Q220" s="373"/>
      <c r="R220" s="308"/>
    </row>
    <row r="221" spans="1:18" ht="15.6" x14ac:dyDescent="0.3">
      <c r="A221" s="351"/>
      <c r="B221" s="361"/>
      <c r="C221" s="370"/>
      <c r="D221" s="371"/>
      <c r="E221" s="335"/>
      <c r="F221" s="335"/>
      <c r="G221" s="335"/>
      <c r="H221" s="335"/>
      <c r="I221" s="335"/>
      <c r="J221" s="335"/>
      <c r="K221" s="335"/>
      <c r="L221" s="335"/>
      <c r="M221" s="335"/>
      <c r="N221" s="374"/>
      <c r="O221" s="335"/>
      <c r="P221" s="358"/>
      <c r="Q221" s="363"/>
      <c r="R221" s="5"/>
    </row>
    <row r="222" spans="1:18" ht="17.399999999999999" x14ac:dyDescent="0.3">
      <c r="A222" s="351"/>
      <c r="B222" s="375" t="s">
        <v>244</v>
      </c>
      <c r="C222" s="370"/>
      <c r="D222" s="371"/>
      <c r="E222" s="335"/>
      <c r="F222" s="335"/>
      <c r="G222" s="335"/>
      <c r="H222" s="335"/>
      <c r="I222" s="376"/>
      <c r="J222" s="377" t="s">
        <v>243</v>
      </c>
      <c r="K222" s="335"/>
      <c r="L222" s="335"/>
      <c r="M222" s="335"/>
      <c r="N222" s="374"/>
      <c r="O222" s="335"/>
      <c r="P222" s="358"/>
      <c r="Q222" s="363"/>
      <c r="R222" s="5"/>
    </row>
    <row r="223" spans="1:18" ht="15.6" x14ac:dyDescent="0.3">
      <c r="A223" s="348"/>
      <c r="B223" s="222"/>
      <c r="C223" s="223"/>
      <c r="D223" s="224"/>
      <c r="E223" s="190"/>
      <c r="F223" s="190"/>
      <c r="G223" s="190"/>
      <c r="H223" s="190"/>
      <c r="I223" s="190"/>
      <c r="J223" s="190"/>
      <c r="K223" s="190"/>
      <c r="L223" s="190"/>
      <c r="M223" s="190"/>
      <c r="N223" s="349"/>
      <c r="O223" s="190"/>
      <c r="P223" s="344"/>
      <c r="Q223" s="415"/>
      <c r="R223" s="5"/>
    </row>
    <row r="224" spans="1:18" ht="15.6" x14ac:dyDescent="0.3">
      <c r="A224" s="251"/>
      <c r="B224" s="393" t="s">
        <v>290</v>
      </c>
      <c r="C224" s="395"/>
      <c r="D224" s="400"/>
      <c r="E224" s="395"/>
      <c r="F224" s="395"/>
      <c r="G224" s="395"/>
      <c r="H224" s="395"/>
      <c r="I224" s="395"/>
      <c r="J224" s="395"/>
      <c r="K224" s="395"/>
      <c r="L224" s="400" t="s">
        <v>113</v>
      </c>
      <c r="M224" s="395" t="s">
        <v>114</v>
      </c>
      <c r="N224" s="400" t="s">
        <v>123</v>
      </c>
      <c r="O224" s="395" t="s">
        <v>114</v>
      </c>
      <c r="P224" s="252"/>
      <c r="Q224" s="416"/>
      <c r="R224" s="5"/>
    </row>
    <row r="225" spans="1:18" ht="15.6" x14ac:dyDescent="0.3">
      <c r="A225" s="198"/>
      <c r="B225" s="235" t="s">
        <v>98</v>
      </c>
      <c r="C225" s="309"/>
      <c r="D225" s="230"/>
      <c r="E225" s="309"/>
      <c r="F225" s="309"/>
      <c r="G225" s="309"/>
      <c r="H225" s="309"/>
      <c r="I225" s="309"/>
      <c r="J225" s="309"/>
      <c r="K225" s="309"/>
      <c r="L225" s="330">
        <f t="shared" ref="L225:L232" si="1">+L236+L247+L258</f>
        <v>2719</v>
      </c>
      <c r="M225" s="382">
        <f t="shared" ref="M225:M232" si="2">L225/$L$233</f>
        <v>0.99597069597069599</v>
      </c>
      <c r="N225" s="331">
        <f t="shared" ref="N225:N230" si="3">+N236+N247+N258</f>
        <v>320227</v>
      </c>
      <c r="O225" s="382">
        <f t="shared" ref="O225:O232" si="4">N225/$N$233</f>
        <v>0.99722221357191576</v>
      </c>
      <c r="P225" s="306"/>
      <c r="Q225" s="417"/>
      <c r="R225" s="5"/>
    </row>
    <row r="226" spans="1:18" ht="15.6" x14ac:dyDescent="0.3">
      <c r="A226" s="260"/>
      <c r="B226" s="330" t="s">
        <v>99</v>
      </c>
      <c r="C226" s="381"/>
      <c r="D226" s="261"/>
      <c r="E226" s="382"/>
      <c r="F226" s="381"/>
      <c r="G226" s="381"/>
      <c r="H226" s="381"/>
      <c r="I226" s="381"/>
      <c r="J226" s="381"/>
      <c r="K226" s="381"/>
      <c r="L226" s="330">
        <f t="shared" si="1"/>
        <v>5</v>
      </c>
      <c r="M226" s="382">
        <f t="shared" si="2"/>
        <v>1.8315018315018315E-3</v>
      </c>
      <c r="N226" s="331">
        <f t="shared" si="3"/>
        <v>212</v>
      </c>
      <c r="O226" s="382">
        <f t="shared" si="4"/>
        <v>6.6019139322182746E-4</v>
      </c>
      <c r="P226" s="354"/>
      <c r="Q226" s="373"/>
      <c r="R226" s="5"/>
    </row>
    <row r="227" spans="1:18" ht="15.6" x14ac:dyDescent="0.3">
      <c r="A227" s="260"/>
      <c r="B227" s="330" t="s">
        <v>100</v>
      </c>
      <c r="C227" s="381"/>
      <c r="D227" s="261"/>
      <c r="E227" s="382"/>
      <c r="F227" s="381"/>
      <c r="G227" s="381"/>
      <c r="H227" s="381"/>
      <c r="I227" s="381"/>
      <c r="J227" s="381"/>
      <c r="K227" s="381"/>
      <c r="L227" s="330">
        <f t="shared" si="1"/>
        <v>2</v>
      </c>
      <c r="M227" s="382">
        <f t="shared" si="2"/>
        <v>7.326007326007326E-4</v>
      </c>
      <c r="N227" s="331">
        <f t="shared" si="3"/>
        <v>574</v>
      </c>
      <c r="O227" s="382">
        <f t="shared" si="4"/>
        <v>1.7874993382515517E-3</v>
      </c>
      <c r="P227" s="354"/>
      <c r="Q227" s="373"/>
      <c r="R227" s="5"/>
    </row>
    <row r="228" spans="1:18" ht="15.6" x14ac:dyDescent="0.3">
      <c r="A228" s="260"/>
      <c r="B228" s="330" t="s">
        <v>227</v>
      </c>
      <c r="C228" s="381"/>
      <c r="D228" s="261"/>
      <c r="E228" s="382"/>
      <c r="F228" s="381"/>
      <c r="G228" s="381"/>
      <c r="H228" s="381"/>
      <c r="I228" s="381"/>
      <c r="J228" s="381"/>
      <c r="K228" s="381"/>
      <c r="L228" s="330">
        <f t="shared" si="1"/>
        <v>0</v>
      </c>
      <c r="M228" s="382">
        <f t="shared" si="2"/>
        <v>0</v>
      </c>
      <c r="N228" s="331">
        <f t="shared" si="3"/>
        <v>0</v>
      </c>
      <c r="O228" s="382">
        <f t="shared" si="4"/>
        <v>0</v>
      </c>
      <c r="P228" s="354"/>
      <c r="Q228" s="373"/>
      <c r="R228" s="5"/>
    </row>
    <row r="229" spans="1:18" ht="15.6" x14ac:dyDescent="0.3">
      <c r="A229" s="260"/>
      <c r="B229" s="330" t="s">
        <v>228</v>
      </c>
      <c r="C229" s="381"/>
      <c r="D229" s="261"/>
      <c r="E229" s="382"/>
      <c r="F229" s="381"/>
      <c r="G229" s="381"/>
      <c r="H229" s="381"/>
      <c r="I229" s="381"/>
      <c r="J229" s="381"/>
      <c r="K229" s="381"/>
      <c r="L229" s="330">
        <f t="shared" si="1"/>
        <v>1</v>
      </c>
      <c r="M229" s="382">
        <f t="shared" si="2"/>
        <v>3.663003663003663E-4</v>
      </c>
      <c r="N229" s="331">
        <f t="shared" si="3"/>
        <v>22</v>
      </c>
      <c r="O229" s="382">
        <f t="shared" si="4"/>
        <v>6.851042759849152E-5</v>
      </c>
      <c r="P229" s="354"/>
      <c r="Q229" s="373"/>
      <c r="R229" s="5"/>
    </row>
    <row r="230" spans="1:18" ht="15.6" x14ac:dyDescent="0.3">
      <c r="A230" s="260"/>
      <c r="B230" s="330" t="s">
        <v>229</v>
      </c>
      <c r="C230" s="381"/>
      <c r="D230" s="261"/>
      <c r="E230" s="382"/>
      <c r="F230" s="381"/>
      <c r="G230" s="381"/>
      <c r="H230" s="381"/>
      <c r="I230" s="381"/>
      <c r="J230" s="381"/>
      <c r="K230" s="381"/>
      <c r="L230" s="330">
        <f t="shared" si="1"/>
        <v>1</v>
      </c>
      <c r="M230" s="382">
        <f t="shared" si="2"/>
        <v>3.663003663003663E-4</v>
      </c>
      <c r="N230" s="331">
        <f t="shared" si="3"/>
        <v>31</v>
      </c>
      <c r="O230" s="382">
        <f t="shared" si="4"/>
        <v>9.6537420706965333E-5</v>
      </c>
      <c r="P230" s="354"/>
      <c r="Q230" s="373"/>
      <c r="R230" s="5"/>
    </row>
    <row r="231" spans="1:18" ht="15.6" x14ac:dyDescent="0.3">
      <c r="A231" s="260"/>
      <c r="B231" s="330" t="s">
        <v>230</v>
      </c>
      <c r="C231" s="381"/>
      <c r="D231" s="261"/>
      <c r="E231" s="382"/>
      <c r="F231" s="381"/>
      <c r="G231" s="381"/>
      <c r="H231" s="381"/>
      <c r="I231" s="381"/>
      <c r="J231" s="381"/>
      <c r="K231" s="381"/>
      <c r="L231" s="330">
        <f t="shared" si="1"/>
        <v>2</v>
      </c>
      <c r="M231" s="382">
        <f t="shared" si="2"/>
        <v>7.326007326007326E-4</v>
      </c>
      <c r="N231" s="331">
        <f>+N242+N253+N264</f>
        <v>53</v>
      </c>
      <c r="O231" s="382">
        <f t="shared" si="4"/>
        <v>1.6504784830545687E-4</v>
      </c>
      <c r="P231" s="354"/>
      <c r="Q231" s="373"/>
      <c r="R231" s="5"/>
    </row>
    <row r="232" spans="1:18" ht="15.6" x14ac:dyDescent="0.3">
      <c r="A232" s="260"/>
      <c r="B232" s="330" t="s">
        <v>231</v>
      </c>
      <c r="C232" s="381"/>
      <c r="D232" s="261"/>
      <c r="E232" s="382"/>
      <c r="F232" s="381"/>
      <c r="G232" s="381"/>
      <c r="H232" s="381"/>
      <c r="I232" s="381"/>
      <c r="J232" s="381"/>
      <c r="K232" s="381"/>
      <c r="L232" s="330">
        <f t="shared" si="1"/>
        <v>0</v>
      </c>
      <c r="M232" s="382">
        <f t="shared" si="2"/>
        <v>0</v>
      </c>
      <c r="N232" s="331">
        <f>+N243+N254+N265</f>
        <v>0</v>
      </c>
      <c r="O232" s="382">
        <f t="shared" si="4"/>
        <v>0</v>
      </c>
      <c r="P232" s="354"/>
      <c r="Q232" s="373"/>
      <c r="R232" s="5"/>
    </row>
    <row r="233" spans="1:18" ht="15.6" x14ac:dyDescent="0.3">
      <c r="A233" s="260"/>
      <c r="B233" s="261" t="s">
        <v>129</v>
      </c>
      <c r="C233" s="261"/>
      <c r="D233" s="261"/>
      <c r="E233" s="261"/>
      <c r="F233" s="383"/>
      <c r="G233" s="383"/>
      <c r="H233" s="383"/>
      <c r="I233" s="383"/>
      <c r="J233" s="383"/>
      <c r="K233" s="383"/>
      <c r="L233" s="330">
        <f>SUM(L225:L232)</f>
        <v>2730</v>
      </c>
      <c r="M233" s="382">
        <f>SUM(M225:M232)</f>
        <v>1</v>
      </c>
      <c r="N233" s="330">
        <f>SUM(N225:N232)</f>
        <v>321119</v>
      </c>
      <c r="O233" s="382">
        <f>SUM(O225:O232)</f>
        <v>1</v>
      </c>
      <c r="P233" s="261"/>
      <c r="Q233" s="264"/>
      <c r="R233" s="5"/>
    </row>
    <row r="234" spans="1:18" ht="15.6" x14ac:dyDescent="0.3">
      <c r="A234" s="348"/>
      <c r="B234" s="222"/>
      <c r="C234" s="223"/>
      <c r="D234" s="224"/>
      <c r="E234" s="190"/>
      <c r="F234" s="190"/>
      <c r="G234" s="190"/>
      <c r="H234" s="190"/>
      <c r="I234" s="190"/>
      <c r="J234" s="190"/>
      <c r="K234" s="190"/>
      <c r="L234" s="190"/>
      <c r="M234" s="190"/>
      <c r="N234" s="349"/>
      <c r="O234" s="190"/>
      <c r="P234" s="344"/>
      <c r="Q234" s="415"/>
      <c r="R234" s="5"/>
    </row>
    <row r="235" spans="1:18" ht="15.6" x14ac:dyDescent="0.3">
      <c r="A235" s="251"/>
      <c r="B235" s="393" t="s">
        <v>236</v>
      </c>
      <c r="C235" s="395"/>
      <c r="D235" s="400"/>
      <c r="E235" s="395"/>
      <c r="F235" s="395"/>
      <c r="G235" s="395"/>
      <c r="H235" s="395"/>
      <c r="I235" s="395"/>
      <c r="J235" s="395"/>
      <c r="K235" s="395"/>
      <c r="L235" s="400" t="s">
        <v>113</v>
      </c>
      <c r="M235" s="395" t="s">
        <v>114</v>
      </c>
      <c r="N235" s="400" t="s">
        <v>123</v>
      </c>
      <c r="O235" s="395" t="s">
        <v>114</v>
      </c>
      <c r="P235" s="252"/>
      <c r="Q235" s="416"/>
      <c r="R235" s="5"/>
    </row>
    <row r="236" spans="1:18" ht="15.6" x14ac:dyDescent="0.3">
      <c r="A236" s="198"/>
      <c r="B236" s="235" t="s">
        <v>98</v>
      </c>
      <c r="C236" s="309"/>
      <c r="D236" s="230"/>
      <c r="E236" s="309"/>
      <c r="F236" s="309"/>
      <c r="G236" s="309"/>
      <c r="H236" s="309"/>
      <c r="I236" s="309"/>
      <c r="J236" s="309"/>
      <c r="K236" s="309"/>
      <c r="L236" s="235">
        <v>2702</v>
      </c>
      <c r="M236" s="310">
        <f t="shared" ref="M236:M243" si="5">L236/$L$244</f>
        <v>0.99668019181113976</v>
      </c>
      <c r="N236" s="300">
        <v>317603</v>
      </c>
      <c r="O236" s="310">
        <f t="shared" ref="O236:O243" si="6">N236/$N$244</f>
        <v>0.99767546325818379</v>
      </c>
      <c r="P236" s="306"/>
      <c r="Q236" s="417"/>
      <c r="R236" s="5"/>
    </row>
    <row r="237" spans="1:18" ht="15.6" x14ac:dyDescent="0.3">
      <c r="A237" s="260"/>
      <c r="B237" s="330" t="s">
        <v>99</v>
      </c>
      <c r="C237" s="381"/>
      <c r="D237" s="261"/>
      <c r="E237" s="382"/>
      <c r="F237" s="381"/>
      <c r="G237" s="381"/>
      <c r="H237" s="381"/>
      <c r="I237" s="381"/>
      <c r="J237" s="381"/>
      <c r="K237" s="381"/>
      <c r="L237" s="330">
        <v>3</v>
      </c>
      <c r="M237" s="382">
        <f t="shared" si="5"/>
        <v>1.1066027296200663E-3</v>
      </c>
      <c r="N237" s="331">
        <v>60</v>
      </c>
      <c r="O237" s="382">
        <f t="shared" si="6"/>
        <v>1.8847595203915274E-4</v>
      </c>
      <c r="P237" s="354"/>
      <c r="Q237" s="373"/>
      <c r="R237" s="5"/>
    </row>
    <row r="238" spans="1:18" ht="15.6" x14ac:dyDescent="0.3">
      <c r="A238" s="260"/>
      <c r="B238" s="330" t="s">
        <v>100</v>
      </c>
      <c r="C238" s="381"/>
      <c r="D238" s="261"/>
      <c r="E238" s="382"/>
      <c r="F238" s="381"/>
      <c r="G238" s="381"/>
      <c r="H238" s="381"/>
      <c r="I238" s="381"/>
      <c r="J238" s="381"/>
      <c r="K238" s="381"/>
      <c r="L238" s="330">
        <v>2</v>
      </c>
      <c r="M238" s="382">
        <f t="shared" si="5"/>
        <v>7.377351530800443E-4</v>
      </c>
      <c r="N238" s="331">
        <v>574</v>
      </c>
      <c r="O238" s="382">
        <f t="shared" si="6"/>
        <v>1.8030866078412278E-3</v>
      </c>
      <c r="P238" s="354"/>
      <c r="Q238" s="373"/>
      <c r="R238" s="5"/>
    </row>
    <row r="239" spans="1:18" ht="15.6" x14ac:dyDescent="0.3">
      <c r="A239" s="260"/>
      <c r="B239" s="330" t="s">
        <v>227</v>
      </c>
      <c r="C239" s="381"/>
      <c r="D239" s="261"/>
      <c r="E239" s="382"/>
      <c r="F239" s="381"/>
      <c r="G239" s="381"/>
      <c r="H239" s="381"/>
      <c r="I239" s="381"/>
      <c r="J239" s="381"/>
      <c r="K239" s="381"/>
      <c r="L239" s="330">
        <v>0</v>
      </c>
      <c r="M239" s="382">
        <f t="shared" si="5"/>
        <v>0</v>
      </c>
      <c r="N239" s="331">
        <v>0</v>
      </c>
      <c r="O239" s="382">
        <f t="shared" si="6"/>
        <v>0</v>
      </c>
      <c r="P239" s="354"/>
      <c r="Q239" s="373"/>
      <c r="R239" s="5"/>
    </row>
    <row r="240" spans="1:18" ht="15.6" x14ac:dyDescent="0.3">
      <c r="A240" s="260"/>
      <c r="B240" s="330" t="s">
        <v>228</v>
      </c>
      <c r="C240" s="381"/>
      <c r="D240" s="261"/>
      <c r="E240" s="382"/>
      <c r="F240" s="381"/>
      <c r="G240" s="381"/>
      <c r="H240" s="381"/>
      <c r="I240" s="381"/>
      <c r="J240" s="381"/>
      <c r="K240" s="381"/>
      <c r="L240" s="330">
        <v>1</v>
      </c>
      <c r="M240" s="382">
        <f t="shared" si="5"/>
        <v>3.6886757654002215E-4</v>
      </c>
      <c r="N240" s="331">
        <v>22</v>
      </c>
      <c r="O240" s="382">
        <f t="shared" si="6"/>
        <v>6.9107849081022669E-5</v>
      </c>
      <c r="P240" s="354"/>
      <c r="Q240" s="373"/>
      <c r="R240" s="5"/>
    </row>
    <row r="241" spans="1:18" ht="15.6" x14ac:dyDescent="0.3">
      <c r="A241" s="260"/>
      <c r="B241" s="330" t="s">
        <v>229</v>
      </c>
      <c r="C241" s="381"/>
      <c r="D241" s="261"/>
      <c r="E241" s="382"/>
      <c r="F241" s="381"/>
      <c r="G241" s="381"/>
      <c r="H241" s="381"/>
      <c r="I241" s="381"/>
      <c r="J241" s="381"/>
      <c r="K241" s="381"/>
      <c r="L241" s="330">
        <v>1</v>
      </c>
      <c r="M241" s="382">
        <f t="shared" si="5"/>
        <v>3.6886757654002215E-4</v>
      </c>
      <c r="N241" s="331">
        <v>31</v>
      </c>
      <c r="O241" s="382">
        <f t="shared" si="6"/>
        <v>9.7379241886895581E-5</v>
      </c>
      <c r="P241" s="354"/>
      <c r="Q241" s="373"/>
      <c r="R241" s="5"/>
    </row>
    <row r="242" spans="1:18" ht="15.6" x14ac:dyDescent="0.3">
      <c r="A242" s="260"/>
      <c r="B242" s="330" t="s">
        <v>230</v>
      </c>
      <c r="C242" s="381"/>
      <c r="D242" s="261"/>
      <c r="E242" s="382"/>
      <c r="F242" s="381"/>
      <c r="G242" s="381"/>
      <c r="H242" s="381"/>
      <c r="I242" s="381"/>
      <c r="J242" s="381"/>
      <c r="K242" s="381"/>
      <c r="L242" s="330">
        <v>2</v>
      </c>
      <c r="M242" s="382">
        <f t="shared" si="5"/>
        <v>7.377351530800443E-4</v>
      </c>
      <c r="N242" s="331">
        <v>53</v>
      </c>
      <c r="O242" s="382">
        <f t="shared" si="6"/>
        <v>1.6648709096791825E-4</v>
      </c>
      <c r="P242" s="354"/>
      <c r="Q242" s="373"/>
      <c r="R242" s="5"/>
    </row>
    <row r="243" spans="1:18" ht="15.6" x14ac:dyDescent="0.3">
      <c r="A243" s="260"/>
      <c r="B243" s="330" t="s">
        <v>231</v>
      </c>
      <c r="C243" s="381"/>
      <c r="D243" s="261"/>
      <c r="E243" s="382"/>
      <c r="F243" s="381"/>
      <c r="G243" s="381"/>
      <c r="H243" s="381"/>
      <c r="I243" s="381"/>
      <c r="J243" s="381"/>
      <c r="K243" s="381"/>
      <c r="L243" s="330">
        <v>0</v>
      </c>
      <c r="M243" s="382">
        <f t="shared" si="5"/>
        <v>0</v>
      </c>
      <c r="N243" s="331">
        <v>0</v>
      </c>
      <c r="O243" s="382">
        <f t="shared" si="6"/>
        <v>0</v>
      </c>
      <c r="P243" s="354"/>
      <c r="Q243" s="373"/>
      <c r="R243" s="5"/>
    </row>
    <row r="244" spans="1:18" ht="15.6" x14ac:dyDescent="0.3">
      <c r="A244" s="260"/>
      <c r="B244" s="261" t="s">
        <v>129</v>
      </c>
      <c r="C244" s="261"/>
      <c r="D244" s="261"/>
      <c r="E244" s="261"/>
      <c r="F244" s="383"/>
      <c r="G244" s="383"/>
      <c r="H244" s="383"/>
      <c r="I244" s="383"/>
      <c r="J244" s="383"/>
      <c r="K244" s="383"/>
      <c r="L244" s="330">
        <f>SUM(L236:L243)</f>
        <v>2711</v>
      </c>
      <c r="M244" s="382">
        <f>SUM(M236:M243)</f>
        <v>0.99999999999999989</v>
      </c>
      <c r="N244" s="331">
        <f>SUM(N236:N243)</f>
        <v>318343</v>
      </c>
      <c r="O244" s="382">
        <f>SUM(O236:O243)</f>
        <v>1</v>
      </c>
      <c r="P244" s="261"/>
      <c r="Q244" s="264"/>
      <c r="R244" s="5"/>
    </row>
    <row r="245" spans="1:18" ht="15.6" x14ac:dyDescent="0.3">
      <c r="A245" s="183"/>
      <c r="B245" s="257"/>
      <c r="C245" s="257"/>
      <c r="D245" s="257"/>
      <c r="E245" s="257"/>
      <c r="F245" s="378"/>
      <c r="G245" s="378"/>
      <c r="H245" s="378"/>
      <c r="I245" s="378"/>
      <c r="J245" s="378"/>
      <c r="K245" s="378"/>
      <c r="L245" s="302"/>
      <c r="M245" s="379"/>
      <c r="N245" s="380"/>
      <c r="O245" s="379"/>
      <c r="P245" s="257"/>
      <c r="Q245" s="409"/>
      <c r="R245" s="5"/>
    </row>
    <row r="246" spans="1:18" ht="15.6" x14ac:dyDescent="0.3">
      <c r="A246" s="316"/>
      <c r="B246" s="393" t="s">
        <v>238</v>
      </c>
      <c r="C246" s="395"/>
      <c r="D246" s="400"/>
      <c r="E246" s="395"/>
      <c r="F246" s="395"/>
      <c r="G246" s="395"/>
      <c r="H246" s="395"/>
      <c r="I246" s="395"/>
      <c r="J246" s="395"/>
      <c r="K246" s="395"/>
      <c r="L246" s="400" t="s">
        <v>113</v>
      </c>
      <c r="M246" s="395" t="s">
        <v>114</v>
      </c>
      <c r="N246" s="400" t="s">
        <v>123</v>
      </c>
      <c r="O246" s="395" t="s">
        <v>114</v>
      </c>
      <c r="P246" s="252"/>
      <c r="Q246" s="321"/>
      <c r="R246" s="5"/>
    </row>
    <row r="247" spans="1:18" ht="15.6" x14ac:dyDescent="0.3">
      <c r="A247" s="198"/>
      <c r="B247" s="235" t="s">
        <v>98</v>
      </c>
      <c r="C247" s="309"/>
      <c r="D247" s="230"/>
      <c r="E247" s="309"/>
      <c r="F247" s="309"/>
      <c r="G247" s="309"/>
      <c r="H247" s="309"/>
      <c r="I247" s="309"/>
      <c r="J247" s="309"/>
      <c r="K247" s="309"/>
      <c r="L247" s="235">
        <v>17</v>
      </c>
      <c r="M247" s="310">
        <f t="shared" ref="M247:M254" si="7">L247/$L$255</f>
        <v>0.89473684210526316</v>
      </c>
      <c r="N247" s="300">
        <v>2624</v>
      </c>
      <c r="O247" s="310">
        <f t="shared" ref="O247:O254" si="8">N247/$N$255</f>
        <v>0.94524495677233433</v>
      </c>
      <c r="P247" s="306"/>
      <c r="Q247" s="408"/>
      <c r="R247" s="5"/>
    </row>
    <row r="248" spans="1:18" ht="15.6" x14ac:dyDescent="0.3">
      <c r="A248" s="260"/>
      <c r="B248" s="330" t="s">
        <v>99</v>
      </c>
      <c r="C248" s="381"/>
      <c r="D248" s="261"/>
      <c r="E248" s="382"/>
      <c r="F248" s="381"/>
      <c r="G248" s="381"/>
      <c r="H248" s="381"/>
      <c r="I248" s="381"/>
      <c r="J248" s="381"/>
      <c r="K248" s="381"/>
      <c r="L248" s="330">
        <v>2</v>
      </c>
      <c r="M248" s="382">
        <f t="shared" si="7"/>
        <v>0.10526315789473684</v>
      </c>
      <c r="N248" s="331">
        <v>152</v>
      </c>
      <c r="O248" s="382">
        <f t="shared" si="8"/>
        <v>5.4755043227665709E-2</v>
      </c>
      <c r="P248" s="354"/>
      <c r="Q248" s="264"/>
      <c r="R248" s="5"/>
    </row>
    <row r="249" spans="1:18" ht="15.6" x14ac:dyDescent="0.3">
      <c r="A249" s="260"/>
      <c r="B249" s="330" t="s">
        <v>100</v>
      </c>
      <c r="C249" s="381"/>
      <c r="D249" s="261"/>
      <c r="E249" s="382"/>
      <c r="F249" s="381"/>
      <c r="G249" s="381"/>
      <c r="H249" s="381"/>
      <c r="I249" s="381"/>
      <c r="J249" s="381"/>
      <c r="K249" s="381"/>
      <c r="L249" s="330">
        <v>0</v>
      </c>
      <c r="M249" s="382">
        <f t="shared" si="7"/>
        <v>0</v>
      </c>
      <c r="N249" s="331">
        <v>0</v>
      </c>
      <c r="O249" s="382">
        <f t="shared" si="8"/>
        <v>0</v>
      </c>
      <c r="P249" s="354"/>
      <c r="Q249" s="264"/>
      <c r="R249" s="5"/>
    </row>
    <row r="250" spans="1:18" ht="15.6" x14ac:dyDescent="0.3">
      <c r="A250" s="260"/>
      <c r="B250" s="330" t="s">
        <v>227</v>
      </c>
      <c r="C250" s="381"/>
      <c r="D250" s="261"/>
      <c r="E250" s="382"/>
      <c r="F250" s="381"/>
      <c r="G250" s="381"/>
      <c r="H250" s="381"/>
      <c r="I250" s="381"/>
      <c r="J250" s="381"/>
      <c r="K250" s="381"/>
      <c r="L250" s="330">
        <v>0</v>
      </c>
      <c r="M250" s="382">
        <f t="shared" si="7"/>
        <v>0</v>
      </c>
      <c r="N250" s="331">
        <v>0</v>
      </c>
      <c r="O250" s="382">
        <f t="shared" si="8"/>
        <v>0</v>
      </c>
      <c r="P250" s="354"/>
      <c r="Q250" s="264"/>
      <c r="R250" s="5"/>
    </row>
    <row r="251" spans="1:18" ht="15.6" x14ac:dyDescent="0.3">
      <c r="A251" s="260"/>
      <c r="B251" s="330" t="s">
        <v>228</v>
      </c>
      <c r="C251" s="381"/>
      <c r="D251" s="261"/>
      <c r="E251" s="382"/>
      <c r="F251" s="381"/>
      <c r="G251" s="381"/>
      <c r="H251" s="381"/>
      <c r="I251" s="381"/>
      <c r="J251" s="381"/>
      <c r="K251" s="381"/>
      <c r="L251" s="330">
        <v>0</v>
      </c>
      <c r="M251" s="382">
        <f t="shared" si="7"/>
        <v>0</v>
      </c>
      <c r="N251" s="331">
        <v>0</v>
      </c>
      <c r="O251" s="382">
        <f t="shared" si="8"/>
        <v>0</v>
      </c>
      <c r="P251" s="354"/>
      <c r="Q251" s="264"/>
      <c r="R251" s="5"/>
    </row>
    <row r="252" spans="1:18" ht="15.6" x14ac:dyDescent="0.3">
      <c r="A252" s="260"/>
      <c r="B252" s="330" t="s">
        <v>229</v>
      </c>
      <c r="C252" s="381"/>
      <c r="D252" s="261"/>
      <c r="E252" s="382"/>
      <c r="F252" s="381"/>
      <c r="G252" s="381"/>
      <c r="H252" s="381"/>
      <c r="I252" s="381"/>
      <c r="J252" s="381"/>
      <c r="K252" s="381"/>
      <c r="L252" s="330">
        <v>0</v>
      </c>
      <c r="M252" s="382">
        <f t="shared" si="7"/>
        <v>0</v>
      </c>
      <c r="N252" s="331">
        <v>0</v>
      </c>
      <c r="O252" s="382">
        <f t="shared" si="8"/>
        <v>0</v>
      </c>
      <c r="P252" s="354"/>
      <c r="Q252" s="264"/>
      <c r="R252" s="5"/>
    </row>
    <row r="253" spans="1:18" ht="15.6" x14ac:dyDescent="0.3">
      <c r="A253" s="260"/>
      <c r="B253" s="330" t="s">
        <v>230</v>
      </c>
      <c r="C253" s="381"/>
      <c r="D253" s="261"/>
      <c r="E253" s="382"/>
      <c r="F253" s="381"/>
      <c r="G253" s="381"/>
      <c r="H253" s="381"/>
      <c r="I253" s="381"/>
      <c r="J253" s="381"/>
      <c r="K253" s="381"/>
      <c r="L253" s="330">
        <v>0</v>
      </c>
      <c r="M253" s="382">
        <f t="shared" si="7"/>
        <v>0</v>
      </c>
      <c r="N253" s="331">
        <v>0</v>
      </c>
      <c r="O253" s="382">
        <f t="shared" si="8"/>
        <v>0</v>
      </c>
      <c r="P253" s="354"/>
      <c r="Q253" s="264"/>
      <c r="R253" s="5"/>
    </row>
    <row r="254" spans="1:18" ht="15.6" x14ac:dyDescent="0.3">
      <c r="A254" s="260"/>
      <c r="B254" s="330" t="s">
        <v>231</v>
      </c>
      <c r="C254" s="381"/>
      <c r="D254" s="261"/>
      <c r="E254" s="382"/>
      <c r="F254" s="381"/>
      <c r="G254" s="381"/>
      <c r="H254" s="381"/>
      <c r="I254" s="381"/>
      <c r="J254" s="381"/>
      <c r="K254" s="381"/>
      <c r="L254" s="330">
        <v>0</v>
      </c>
      <c r="M254" s="382">
        <f t="shared" si="7"/>
        <v>0</v>
      </c>
      <c r="N254" s="331">
        <v>0</v>
      </c>
      <c r="O254" s="382">
        <f t="shared" si="8"/>
        <v>0</v>
      </c>
      <c r="P254" s="354"/>
      <c r="Q254" s="264"/>
      <c r="R254" s="5"/>
    </row>
    <row r="255" spans="1:18" ht="15.6" x14ac:dyDescent="0.3">
      <c r="A255" s="260"/>
      <c r="B255" s="261" t="s">
        <v>129</v>
      </c>
      <c r="C255" s="261"/>
      <c r="D255" s="261"/>
      <c r="E255" s="261"/>
      <c r="F255" s="383"/>
      <c r="G255" s="383"/>
      <c r="H255" s="383"/>
      <c r="I255" s="383"/>
      <c r="J255" s="383"/>
      <c r="K255" s="383"/>
      <c r="L255" s="330">
        <f>SUM(L247:L254)</f>
        <v>19</v>
      </c>
      <c r="M255" s="382">
        <f>SUM(M247:M254)</f>
        <v>1</v>
      </c>
      <c r="N255" s="331">
        <f>SUM(N247:N254)</f>
        <v>2776</v>
      </c>
      <c r="O255" s="382">
        <f>SUM(O247:O254)</f>
        <v>1</v>
      </c>
      <c r="P255" s="261"/>
      <c r="Q255" s="264"/>
      <c r="R255" s="5"/>
    </row>
    <row r="256" spans="1:18" ht="15.6" x14ac:dyDescent="0.3">
      <c r="A256" s="183"/>
      <c r="B256" s="257"/>
      <c r="C256" s="257"/>
      <c r="D256" s="257"/>
      <c r="E256" s="257"/>
      <c r="F256" s="378"/>
      <c r="G256" s="378"/>
      <c r="H256" s="378"/>
      <c r="I256" s="378"/>
      <c r="J256" s="378"/>
      <c r="K256" s="378"/>
      <c r="L256" s="302"/>
      <c r="M256" s="379"/>
      <c r="N256" s="380"/>
      <c r="O256" s="379"/>
      <c r="P256" s="257"/>
      <c r="Q256" s="409"/>
      <c r="R256" s="5"/>
    </row>
    <row r="257" spans="1:18" ht="15.6" x14ac:dyDescent="0.3">
      <c r="A257" s="316"/>
      <c r="B257" s="393" t="s">
        <v>239</v>
      </c>
      <c r="C257" s="395"/>
      <c r="D257" s="400"/>
      <c r="E257" s="395"/>
      <c r="F257" s="395"/>
      <c r="G257" s="395"/>
      <c r="H257" s="395"/>
      <c r="I257" s="395"/>
      <c r="J257" s="395"/>
      <c r="K257" s="395"/>
      <c r="L257" s="400" t="s">
        <v>113</v>
      </c>
      <c r="M257" s="395" t="s">
        <v>114</v>
      </c>
      <c r="N257" s="400" t="s">
        <v>123</v>
      </c>
      <c r="O257" s="395" t="s">
        <v>114</v>
      </c>
      <c r="P257" s="320"/>
      <c r="Q257" s="321"/>
      <c r="R257" s="5"/>
    </row>
    <row r="258" spans="1:18" ht="15.6" x14ac:dyDescent="0.3">
      <c r="A258" s="198"/>
      <c r="B258" s="235" t="s">
        <v>98</v>
      </c>
      <c r="C258" s="309"/>
      <c r="D258" s="230"/>
      <c r="E258" s="309"/>
      <c r="F258" s="309"/>
      <c r="G258" s="309"/>
      <c r="H258" s="309"/>
      <c r="I258" s="309"/>
      <c r="J258" s="309"/>
      <c r="K258" s="309"/>
      <c r="L258" s="235">
        <v>0</v>
      </c>
      <c r="M258" s="310">
        <v>0</v>
      </c>
      <c r="N258" s="300">
        <v>0</v>
      </c>
      <c r="O258" s="310">
        <v>0</v>
      </c>
      <c r="P258" s="230"/>
      <c r="Q258" s="408"/>
      <c r="R258" s="5"/>
    </row>
    <row r="259" spans="1:18" ht="15.6" x14ac:dyDescent="0.3">
      <c r="A259" s="260"/>
      <c r="B259" s="330" t="s">
        <v>99</v>
      </c>
      <c r="C259" s="381"/>
      <c r="D259" s="261"/>
      <c r="E259" s="382"/>
      <c r="F259" s="381"/>
      <c r="G259" s="381"/>
      <c r="H259" s="381"/>
      <c r="I259" s="381"/>
      <c r="J259" s="381"/>
      <c r="K259" s="381"/>
      <c r="L259" s="330">
        <v>0</v>
      </c>
      <c r="M259" s="382">
        <v>0</v>
      </c>
      <c r="N259" s="331">
        <v>0</v>
      </c>
      <c r="O259" s="382">
        <v>0</v>
      </c>
      <c r="P259" s="261"/>
      <c r="Q259" s="264"/>
      <c r="R259" s="5"/>
    </row>
    <row r="260" spans="1:18" ht="15.6" x14ac:dyDescent="0.3">
      <c r="A260" s="260"/>
      <c r="B260" s="330" t="s">
        <v>100</v>
      </c>
      <c r="C260" s="381"/>
      <c r="D260" s="261"/>
      <c r="E260" s="382"/>
      <c r="F260" s="381"/>
      <c r="G260" s="381"/>
      <c r="H260" s="381"/>
      <c r="I260" s="381"/>
      <c r="J260" s="381"/>
      <c r="K260" s="381"/>
      <c r="L260" s="330">
        <v>0</v>
      </c>
      <c r="M260" s="382">
        <v>0</v>
      </c>
      <c r="N260" s="331">
        <v>0</v>
      </c>
      <c r="O260" s="382">
        <v>0</v>
      </c>
      <c r="P260" s="261"/>
      <c r="Q260" s="264"/>
      <c r="R260" s="5"/>
    </row>
    <row r="261" spans="1:18" ht="15.6" x14ac:dyDescent="0.3">
      <c r="A261" s="260"/>
      <c r="B261" s="330" t="s">
        <v>227</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228</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229</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230</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231</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261" t="s">
        <v>129</v>
      </c>
      <c r="C266" s="261"/>
      <c r="D266" s="261"/>
      <c r="E266" s="261"/>
      <c r="F266" s="383"/>
      <c r="G266" s="383"/>
      <c r="H266" s="383"/>
      <c r="I266" s="383"/>
      <c r="J266" s="383"/>
      <c r="K266" s="383"/>
      <c r="L266" s="330">
        <f>SUM(L258:L265)</f>
        <v>0</v>
      </c>
      <c r="M266" s="382">
        <f>SUM(M258:M265)</f>
        <v>0</v>
      </c>
      <c r="N266" s="331">
        <f>SUM(N258:N265)</f>
        <v>0</v>
      </c>
      <c r="O266" s="382">
        <f>SUM(O258:O265)</f>
        <v>0</v>
      </c>
      <c r="P266" s="261"/>
      <c r="Q266" s="264"/>
      <c r="R266" s="5"/>
    </row>
    <row r="267" spans="1:18" ht="15.6" x14ac:dyDescent="0.3">
      <c r="A267" s="260"/>
      <c r="B267" s="261"/>
      <c r="C267" s="261"/>
      <c r="D267" s="261"/>
      <c r="E267" s="261"/>
      <c r="F267" s="383"/>
      <c r="G267" s="383"/>
      <c r="H267" s="383"/>
      <c r="I267" s="383"/>
      <c r="J267" s="383"/>
      <c r="K267" s="383"/>
      <c r="L267" s="330"/>
      <c r="M267" s="382"/>
      <c r="N267" s="331"/>
      <c r="O267" s="382"/>
      <c r="P267" s="261"/>
      <c r="Q267" s="264"/>
      <c r="R267" s="5"/>
    </row>
    <row r="268" spans="1:18" ht="15.6" x14ac:dyDescent="0.3">
      <c r="A268" s="260"/>
      <c r="B268" s="266" t="s">
        <v>240</v>
      </c>
      <c r="C268" s="261"/>
      <c r="D268" s="261"/>
      <c r="E268" s="261"/>
      <c r="F268" s="383"/>
      <c r="G268" s="383"/>
      <c r="H268" s="383"/>
      <c r="I268" s="383"/>
      <c r="J268" s="383"/>
      <c r="K268" s="383"/>
      <c r="L268" s="401">
        <f>+L244+L255+L266</f>
        <v>2730</v>
      </c>
      <c r="M268" s="382"/>
      <c r="N268" s="386">
        <f>+N266+N255+N244</f>
        <v>321119</v>
      </c>
      <c r="O268" s="382"/>
      <c r="P268" s="261"/>
      <c r="Q268" s="264"/>
      <c r="R268" s="5"/>
    </row>
    <row r="269" spans="1:18" ht="15.6" x14ac:dyDescent="0.3">
      <c r="A269" s="183"/>
      <c r="B269" s="257"/>
      <c r="C269" s="257"/>
      <c r="D269" s="257"/>
      <c r="E269" s="257"/>
      <c r="F269" s="378"/>
      <c r="G269" s="378"/>
      <c r="H269" s="378"/>
      <c r="I269" s="378"/>
      <c r="J269" s="378"/>
      <c r="K269" s="378"/>
      <c r="L269" s="378"/>
      <c r="M269" s="378"/>
      <c r="N269" s="380"/>
      <c r="O269" s="378"/>
      <c r="P269" s="257"/>
      <c r="Q269" s="409"/>
      <c r="R269" s="5"/>
    </row>
    <row r="270" spans="1:18" ht="15.6" x14ac:dyDescent="0.3">
      <c r="A270" s="183"/>
      <c r="B270" s="236"/>
      <c r="C270" s="236"/>
      <c r="D270" s="236"/>
      <c r="E270" s="236"/>
      <c r="F270" s="311"/>
      <c r="G270" s="311"/>
      <c r="H270" s="311"/>
      <c r="I270" s="311"/>
      <c r="J270" s="311"/>
      <c r="K270" s="311"/>
      <c r="L270" s="311"/>
      <c r="M270" s="311"/>
      <c r="N270" s="312"/>
      <c r="O270" s="311"/>
      <c r="P270" s="236"/>
      <c r="Q270" s="409"/>
      <c r="R270" s="5"/>
    </row>
    <row r="271" spans="1:18" ht="15.6" x14ac:dyDescent="0.3">
      <c r="A271" s="225"/>
      <c r="B271" s="228" t="s">
        <v>102</v>
      </c>
      <c r="C271" s="236"/>
      <c r="D271" s="236"/>
      <c r="E271" s="236"/>
      <c r="F271" s="246" t="s">
        <v>108</v>
      </c>
      <c r="G271" s="236"/>
      <c r="H271" s="228" t="s">
        <v>110</v>
      </c>
      <c r="I271" s="249"/>
      <c r="J271" s="249"/>
      <c r="K271" s="249"/>
      <c r="L271" s="249"/>
      <c r="M271" s="249"/>
      <c r="N271" s="249"/>
      <c r="O271" s="249"/>
      <c r="P271" s="249"/>
      <c r="Q271" s="418"/>
      <c r="R271" s="5"/>
    </row>
    <row r="272" spans="1:18" ht="15.6" x14ac:dyDescent="0.3">
      <c r="A272" s="225"/>
      <c r="B272" s="249"/>
      <c r="C272" s="236"/>
      <c r="D272" s="236"/>
      <c r="E272" s="236"/>
      <c r="F272" s="236"/>
      <c r="G272" s="236"/>
      <c r="H272" s="236"/>
      <c r="I272" s="249"/>
      <c r="J272" s="249"/>
      <c r="K272" s="249"/>
      <c r="L272" s="249"/>
      <c r="M272" s="249"/>
      <c r="N272" s="249"/>
      <c r="O272" s="249"/>
      <c r="P272" s="249"/>
      <c r="Q272" s="418"/>
      <c r="R272" s="5"/>
    </row>
    <row r="273" spans="1:18" ht="15.6" x14ac:dyDescent="0.3">
      <c r="A273" s="225"/>
      <c r="B273" s="228" t="s">
        <v>310</v>
      </c>
      <c r="C273" s="228"/>
      <c r="D273" s="228"/>
      <c r="E273" s="228"/>
      <c r="F273" s="313" t="s">
        <v>264</v>
      </c>
      <c r="G273" s="228"/>
      <c r="H273" s="228" t="s">
        <v>265</v>
      </c>
      <c r="I273" s="249"/>
      <c r="J273" s="249"/>
      <c r="K273" s="249"/>
      <c r="L273" s="249"/>
      <c r="M273" s="249"/>
      <c r="N273" s="249"/>
      <c r="O273" s="249"/>
      <c r="P273" s="249"/>
      <c r="Q273" s="418"/>
      <c r="R273" s="5"/>
    </row>
    <row r="274" spans="1:18" ht="15.6" x14ac:dyDescent="0.3">
      <c r="A274" s="225"/>
      <c r="B274" s="228" t="s">
        <v>311</v>
      </c>
      <c r="C274" s="228"/>
      <c r="D274" s="228"/>
      <c r="E274" s="228"/>
      <c r="F274" s="313" t="s">
        <v>211</v>
      </c>
      <c r="G274" s="228"/>
      <c r="H274" s="228" t="s">
        <v>223</v>
      </c>
      <c r="I274" s="249"/>
      <c r="J274" s="249"/>
      <c r="K274" s="249"/>
      <c r="L274" s="249"/>
      <c r="M274" s="249"/>
      <c r="N274" s="249"/>
      <c r="O274" s="249"/>
      <c r="P274" s="249"/>
      <c r="Q274" s="418"/>
      <c r="R274" s="5"/>
    </row>
    <row r="275" spans="1:18" ht="15.6" x14ac:dyDescent="0.3">
      <c r="A275" s="225"/>
      <c r="B275" s="228"/>
      <c r="C275" s="228"/>
      <c r="D275" s="228"/>
      <c r="E275" s="314"/>
      <c r="F275" s="249"/>
      <c r="G275" s="249"/>
      <c r="H275" s="249"/>
      <c r="I275" s="249"/>
      <c r="J275" s="249"/>
      <c r="K275" s="249"/>
      <c r="L275" s="249"/>
      <c r="M275" s="249"/>
      <c r="N275" s="249"/>
      <c r="O275" s="249"/>
      <c r="P275" s="249"/>
      <c r="Q275" s="418"/>
      <c r="R275" s="5"/>
    </row>
    <row r="276" spans="1:18" ht="15.6" x14ac:dyDescent="0.3">
      <c r="A276" s="225"/>
      <c r="B276" s="228"/>
      <c r="C276" s="228"/>
      <c r="D276" s="228"/>
      <c r="E276" s="314"/>
      <c r="F276" s="249"/>
      <c r="G276" s="249"/>
      <c r="H276" s="249"/>
      <c r="I276" s="249"/>
      <c r="J276" s="249"/>
      <c r="K276" s="249"/>
      <c r="L276" s="249"/>
      <c r="M276" s="249"/>
      <c r="N276" s="249"/>
      <c r="O276" s="249"/>
      <c r="P276" s="249"/>
      <c r="Q276" s="418"/>
      <c r="R276" s="5"/>
    </row>
    <row r="277" spans="1:18" ht="18" thickBot="1" x14ac:dyDescent="0.35">
      <c r="A277" s="225"/>
      <c r="B277" s="315" t="str">
        <f>B185</f>
        <v>PM7 INVESTOR REPORT QUARTER ENDING APRIL 2017</v>
      </c>
      <c r="C277" s="228"/>
      <c r="D277" s="228"/>
      <c r="E277" s="314"/>
      <c r="F277" s="249"/>
      <c r="G277" s="249"/>
      <c r="H277" s="249"/>
      <c r="I277" s="249"/>
      <c r="J277" s="249"/>
      <c r="K277" s="249"/>
      <c r="L277" s="249"/>
      <c r="M277" s="249"/>
      <c r="N277" s="249"/>
      <c r="O277" s="249"/>
      <c r="P277" s="249"/>
      <c r="Q277" s="419"/>
      <c r="R277" s="5"/>
    </row>
    <row r="278" spans="1:18" x14ac:dyDescent="0.25">
      <c r="A278" s="100"/>
      <c r="B278" s="100"/>
      <c r="C278" s="100"/>
      <c r="D278" s="100"/>
      <c r="E278" s="100"/>
      <c r="F278" s="100"/>
      <c r="G278" s="100"/>
      <c r="H278" s="100"/>
      <c r="I278" s="100"/>
      <c r="J278" s="100"/>
      <c r="K278" s="100"/>
      <c r="L278" s="100"/>
      <c r="M278" s="100"/>
      <c r="N278" s="100"/>
      <c r="O278" s="100"/>
      <c r="P278" s="100"/>
      <c r="Q278" s="100"/>
    </row>
  </sheetData>
  <hyperlinks>
    <hyperlink ref="H9" r:id="rId1"/>
    <hyperlink ref="J222" r:id="rId2"/>
  </hyperlinks>
  <printOptions horizontalCentered="1" verticalCentered="1"/>
  <pageMargins left="0.19685039370078741" right="0.19685039370078741" top="0.27559055118110237" bottom="0.27559055118110237" header="0" footer="0"/>
  <pageSetup scale="40" orientation="landscape" r:id="rId3"/>
  <headerFooter alignWithMargins="0"/>
  <rowBreaks count="4" manualBreakCount="4">
    <brk id="65" max="16" man="1"/>
    <brk id="133" max="16" man="1"/>
    <brk id="185" max="16" man="1"/>
    <brk id="277" max="16" man="1"/>
  </rowBreak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sheetPr>
  <dimension ref="A1:S280"/>
  <sheetViews>
    <sheetView tabSelected="1"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2.36328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180"/>
      <c r="B1" s="226" t="s">
        <v>162</v>
      </c>
      <c r="C1" s="181"/>
      <c r="D1" s="181"/>
      <c r="E1" s="181"/>
      <c r="F1" s="181"/>
      <c r="G1" s="181"/>
      <c r="H1" s="181"/>
      <c r="I1" s="181"/>
      <c r="J1" s="181"/>
      <c r="K1" s="181"/>
      <c r="L1" s="181"/>
      <c r="M1" s="181"/>
      <c r="N1" s="181"/>
      <c r="O1" s="181"/>
      <c r="P1" s="181"/>
      <c r="Q1" s="182"/>
      <c r="R1" s="5"/>
    </row>
    <row r="2" spans="1:18" ht="15.6" x14ac:dyDescent="0.3">
      <c r="A2" s="183"/>
      <c r="B2" s="184"/>
      <c r="C2" s="185"/>
      <c r="D2" s="185"/>
      <c r="E2" s="185"/>
      <c r="F2" s="185"/>
      <c r="G2" s="185"/>
      <c r="H2" s="185"/>
      <c r="I2" s="185"/>
      <c r="J2" s="185"/>
      <c r="K2" s="185"/>
      <c r="L2" s="185"/>
      <c r="M2" s="185"/>
      <c r="N2" s="185"/>
      <c r="O2" s="185"/>
      <c r="P2" s="185"/>
      <c r="Q2" s="404"/>
      <c r="R2" s="5"/>
    </row>
    <row r="3" spans="1:18" ht="15.6" x14ac:dyDescent="0.3">
      <c r="A3" s="186"/>
      <c r="B3" s="187" t="s">
        <v>163</v>
      </c>
      <c r="C3" s="185"/>
      <c r="D3" s="185"/>
      <c r="E3" s="185"/>
      <c r="F3" s="185"/>
      <c r="G3" s="185"/>
      <c r="H3" s="185"/>
      <c r="I3" s="185"/>
      <c r="J3" s="185"/>
      <c r="K3" s="185"/>
      <c r="L3" s="185"/>
      <c r="M3" s="185"/>
      <c r="N3" s="185"/>
      <c r="O3" s="185"/>
      <c r="P3" s="185"/>
      <c r="Q3" s="404"/>
      <c r="R3" s="5"/>
    </row>
    <row r="4" spans="1:18" ht="15.6" x14ac:dyDescent="0.3">
      <c r="A4" s="183"/>
      <c r="B4" s="184"/>
      <c r="C4" s="185"/>
      <c r="D4" s="185"/>
      <c r="E4" s="185"/>
      <c r="F4" s="185"/>
      <c r="G4" s="185"/>
      <c r="H4" s="185"/>
      <c r="I4" s="185"/>
      <c r="J4" s="185"/>
      <c r="K4" s="185"/>
      <c r="L4" s="185"/>
      <c r="M4" s="185"/>
      <c r="N4" s="185"/>
      <c r="O4" s="185"/>
      <c r="P4" s="185"/>
      <c r="Q4" s="404"/>
      <c r="R4" s="5"/>
    </row>
    <row r="5" spans="1:18" ht="15.6" x14ac:dyDescent="0.3">
      <c r="A5" s="183"/>
      <c r="B5" s="227" t="s">
        <v>164</v>
      </c>
      <c r="C5" s="185"/>
      <c r="D5" s="185"/>
      <c r="E5" s="185"/>
      <c r="F5" s="185"/>
      <c r="G5" s="185"/>
      <c r="H5" s="185"/>
      <c r="I5" s="185"/>
      <c r="J5" s="185"/>
      <c r="K5" s="185"/>
      <c r="L5" s="185"/>
      <c r="M5" s="185"/>
      <c r="N5" s="185"/>
      <c r="O5" s="185"/>
      <c r="P5" s="185"/>
      <c r="Q5" s="404"/>
      <c r="R5" s="5"/>
    </row>
    <row r="6" spans="1:18" ht="15.6" x14ac:dyDescent="0.3">
      <c r="A6" s="183"/>
      <c r="B6" s="227" t="s">
        <v>166</v>
      </c>
      <c r="C6" s="185"/>
      <c r="D6" s="185"/>
      <c r="E6" s="185"/>
      <c r="F6" s="185"/>
      <c r="G6" s="185"/>
      <c r="H6" s="185"/>
      <c r="I6" s="185"/>
      <c r="J6" s="185"/>
      <c r="K6" s="185"/>
      <c r="L6" s="185"/>
      <c r="M6" s="185"/>
      <c r="N6" s="185"/>
      <c r="O6" s="185"/>
      <c r="P6" s="185"/>
      <c r="Q6" s="404"/>
      <c r="R6" s="5"/>
    </row>
    <row r="7" spans="1:18" ht="15.6" x14ac:dyDescent="0.3">
      <c r="A7" s="183"/>
      <c r="B7" s="227" t="s">
        <v>165</v>
      </c>
      <c r="C7" s="185"/>
      <c r="D7" s="185"/>
      <c r="E7" s="185"/>
      <c r="F7" s="185"/>
      <c r="G7" s="185"/>
      <c r="H7" s="185"/>
      <c r="I7" s="185"/>
      <c r="J7" s="185"/>
      <c r="K7" s="185"/>
      <c r="L7" s="185"/>
      <c r="M7" s="185"/>
      <c r="N7" s="185"/>
      <c r="O7" s="185"/>
      <c r="P7" s="185"/>
      <c r="Q7" s="404"/>
      <c r="R7" s="5"/>
    </row>
    <row r="8" spans="1:18" ht="15.6" x14ac:dyDescent="0.3">
      <c r="A8" s="183"/>
      <c r="B8" s="188"/>
      <c r="C8" s="185"/>
      <c r="D8" s="185"/>
      <c r="E8" s="185"/>
      <c r="F8" s="185"/>
      <c r="G8" s="185"/>
      <c r="H8" s="185"/>
      <c r="I8" s="185"/>
      <c r="J8" s="185"/>
      <c r="K8" s="185"/>
      <c r="L8" s="185"/>
      <c r="M8" s="185"/>
      <c r="N8" s="185"/>
      <c r="O8" s="185"/>
      <c r="P8" s="185"/>
      <c r="Q8" s="404"/>
      <c r="R8" s="5"/>
    </row>
    <row r="9" spans="1:18" ht="17.399999999999999" x14ac:dyDescent="0.3">
      <c r="A9" s="183"/>
      <c r="B9" s="189" t="s">
        <v>245</v>
      </c>
      <c r="C9" s="190"/>
      <c r="D9" s="190"/>
      <c r="E9" s="190"/>
      <c r="F9" s="190"/>
      <c r="G9" s="190"/>
      <c r="H9" s="191" t="s">
        <v>243</v>
      </c>
      <c r="I9" s="190"/>
      <c r="J9" s="190"/>
      <c r="K9" s="185"/>
      <c r="L9" s="185"/>
      <c r="M9" s="185"/>
      <c r="N9" s="185"/>
      <c r="O9" s="185"/>
      <c r="P9" s="185"/>
      <c r="Q9" s="404"/>
      <c r="R9" s="5"/>
    </row>
    <row r="10" spans="1:18" ht="17.399999999999999" x14ac:dyDescent="0.3">
      <c r="A10" s="183"/>
      <c r="B10" s="192"/>
      <c r="C10" s="185"/>
      <c r="D10" s="185"/>
      <c r="E10" s="185"/>
      <c r="F10" s="185"/>
      <c r="G10" s="185"/>
      <c r="H10" s="185"/>
      <c r="I10" s="185"/>
      <c r="J10" s="185"/>
      <c r="K10" s="185"/>
      <c r="L10" s="185"/>
      <c r="M10" s="185"/>
      <c r="N10" s="185"/>
      <c r="O10" s="185"/>
      <c r="P10" s="185"/>
      <c r="Q10" s="404"/>
      <c r="R10" s="5"/>
    </row>
    <row r="11" spans="1:18" ht="15.6" x14ac:dyDescent="0.3">
      <c r="A11" s="183"/>
      <c r="B11" s="188"/>
      <c r="C11" s="193"/>
      <c r="D11" s="185"/>
      <c r="E11" s="185"/>
      <c r="F11" s="185"/>
      <c r="G11" s="185"/>
      <c r="H11" s="185"/>
      <c r="I11" s="185"/>
      <c r="J11" s="185"/>
      <c r="K11" s="185"/>
      <c r="L11" s="185"/>
      <c r="M11" s="185"/>
      <c r="N11" s="185"/>
      <c r="O11" s="185"/>
      <c r="P11" s="185"/>
      <c r="Q11" s="404"/>
      <c r="R11" s="5"/>
    </row>
    <row r="12" spans="1:18" ht="15.6" x14ac:dyDescent="0.3">
      <c r="A12" s="183"/>
      <c r="B12" s="228" t="s">
        <v>0</v>
      </c>
      <c r="C12" s="185"/>
      <c r="D12" s="185"/>
      <c r="E12" s="185"/>
      <c r="F12" s="185"/>
      <c r="G12" s="185"/>
      <c r="H12" s="185"/>
      <c r="I12" s="185"/>
      <c r="J12" s="185"/>
      <c r="K12" s="185"/>
      <c r="L12" s="185"/>
      <c r="M12" s="185"/>
      <c r="N12" s="185"/>
      <c r="O12" s="185"/>
      <c r="P12" s="185"/>
      <c r="Q12" s="404"/>
      <c r="R12" s="5"/>
    </row>
    <row r="13" spans="1:18" ht="16.2" thickBot="1" x14ac:dyDescent="0.35">
      <c r="A13" s="183"/>
      <c r="B13" s="228"/>
      <c r="C13" s="185"/>
      <c r="D13" s="185"/>
      <c r="E13" s="185"/>
      <c r="F13" s="185"/>
      <c r="G13" s="185"/>
      <c r="H13" s="185"/>
      <c r="I13" s="185"/>
      <c r="J13" s="185"/>
      <c r="K13" s="185"/>
      <c r="L13" s="185"/>
      <c r="M13" s="185"/>
      <c r="N13" s="185"/>
      <c r="O13" s="185"/>
      <c r="P13" s="185"/>
      <c r="Q13" s="404"/>
      <c r="R13" s="5"/>
    </row>
    <row r="14" spans="1:18" ht="15.6" x14ac:dyDescent="0.3">
      <c r="A14" s="180"/>
      <c r="B14" s="229"/>
      <c r="C14" s="181"/>
      <c r="D14" s="181"/>
      <c r="E14" s="181"/>
      <c r="F14" s="181"/>
      <c r="G14" s="181"/>
      <c r="H14" s="181"/>
      <c r="I14" s="181"/>
      <c r="J14" s="181"/>
      <c r="K14" s="181"/>
      <c r="L14" s="181"/>
      <c r="M14" s="181"/>
      <c r="N14" s="181"/>
      <c r="O14" s="181"/>
      <c r="P14" s="181"/>
      <c r="Q14" s="405"/>
      <c r="R14" s="5"/>
    </row>
    <row r="15" spans="1:18" ht="15.6" x14ac:dyDescent="0.3">
      <c r="A15" s="183"/>
      <c r="B15" s="228" t="s">
        <v>1</v>
      </c>
      <c r="C15" s="194"/>
      <c r="D15" s="194"/>
      <c r="E15" s="194"/>
      <c r="F15" s="194"/>
      <c r="G15" s="194"/>
      <c r="H15" s="194"/>
      <c r="I15" s="194"/>
      <c r="J15" s="194"/>
      <c r="K15" s="194"/>
      <c r="L15" s="236"/>
      <c r="M15" s="236"/>
      <c r="N15" s="236"/>
      <c r="O15" s="236"/>
      <c r="P15" s="243" t="s">
        <v>167</v>
      </c>
      <c r="Q15" s="406"/>
      <c r="R15" s="5"/>
    </row>
    <row r="16" spans="1:18" ht="15.6" x14ac:dyDescent="0.3">
      <c r="A16" s="183"/>
      <c r="B16" s="228" t="s">
        <v>2</v>
      </c>
      <c r="C16" s="194"/>
      <c r="D16" s="194"/>
      <c r="E16" s="194"/>
      <c r="F16" s="195"/>
      <c r="G16" s="195"/>
      <c r="H16" s="195"/>
      <c r="I16" s="195"/>
      <c r="J16" s="195"/>
      <c r="K16" s="195"/>
      <c r="L16" s="244" t="s">
        <v>115</v>
      </c>
      <c r="M16" s="245">
        <v>0.91859999999999997</v>
      </c>
      <c r="N16" s="246" t="s">
        <v>173</v>
      </c>
      <c r="O16" s="245">
        <v>8.14E-2</v>
      </c>
      <c r="P16" s="243"/>
      <c r="Q16" s="406"/>
      <c r="R16" s="5"/>
    </row>
    <row r="17" spans="1:19" ht="15.6" x14ac:dyDescent="0.3">
      <c r="A17" s="183"/>
      <c r="B17" s="228" t="s">
        <v>3</v>
      </c>
      <c r="C17" s="194"/>
      <c r="D17" s="194"/>
      <c r="E17" s="194"/>
      <c r="F17" s="195"/>
      <c r="G17" s="195"/>
      <c r="H17" s="195"/>
      <c r="I17" s="195"/>
      <c r="J17" s="195"/>
      <c r="K17" s="195"/>
      <c r="L17" s="244" t="s">
        <v>115</v>
      </c>
      <c r="M17" s="245">
        <v>0</v>
      </c>
      <c r="N17" s="246" t="s">
        <v>173</v>
      </c>
      <c r="O17" s="245">
        <v>0</v>
      </c>
      <c r="P17" s="243"/>
      <c r="Q17" s="406"/>
      <c r="R17" s="5"/>
      <c r="S17" s="154"/>
    </row>
    <row r="18" spans="1:19" ht="15.6" x14ac:dyDescent="0.3">
      <c r="A18" s="183"/>
      <c r="B18" s="228" t="s">
        <v>4</v>
      </c>
      <c r="C18" s="194"/>
      <c r="D18" s="194"/>
      <c r="E18" s="194"/>
      <c r="F18" s="194"/>
      <c r="G18" s="194"/>
      <c r="H18" s="194"/>
      <c r="I18" s="194"/>
      <c r="J18" s="194"/>
      <c r="K18" s="194"/>
      <c r="L18" s="236"/>
      <c r="M18" s="236"/>
      <c r="N18" s="236"/>
      <c r="O18" s="236"/>
      <c r="P18" s="247">
        <v>38133</v>
      </c>
      <c r="Q18" s="406"/>
      <c r="R18" s="5"/>
    </row>
    <row r="19" spans="1:19" ht="15.6" x14ac:dyDescent="0.3">
      <c r="A19" s="183"/>
      <c r="B19" s="228" t="s">
        <v>5</v>
      </c>
      <c r="C19" s="194"/>
      <c r="D19" s="194"/>
      <c r="E19" s="194"/>
      <c r="F19" s="194"/>
      <c r="G19" s="194"/>
      <c r="H19" s="194"/>
      <c r="I19" s="194"/>
      <c r="J19" s="194"/>
      <c r="K19" s="194"/>
      <c r="L19" s="236"/>
      <c r="M19" s="236"/>
      <c r="N19" s="236"/>
      <c r="O19" s="236"/>
      <c r="P19" s="247">
        <v>42965</v>
      </c>
      <c r="Q19" s="406"/>
      <c r="R19" s="5"/>
    </row>
    <row r="20" spans="1:19" ht="15.6" x14ac:dyDescent="0.3">
      <c r="A20" s="183"/>
      <c r="B20" s="185"/>
      <c r="C20" s="185"/>
      <c r="D20" s="185"/>
      <c r="E20" s="185"/>
      <c r="F20" s="185"/>
      <c r="G20" s="185"/>
      <c r="H20" s="185"/>
      <c r="I20" s="185"/>
      <c r="J20" s="185"/>
      <c r="K20" s="185"/>
      <c r="L20" s="236"/>
      <c r="M20" s="236"/>
      <c r="N20" s="236"/>
      <c r="O20" s="236"/>
      <c r="P20" s="248"/>
      <c r="Q20" s="404"/>
      <c r="R20" s="5"/>
    </row>
    <row r="21" spans="1:19" ht="15.6" x14ac:dyDescent="0.3">
      <c r="A21" s="183"/>
      <c r="B21" s="250" t="s">
        <v>6</v>
      </c>
      <c r="C21" s="185"/>
      <c r="D21" s="185"/>
      <c r="E21" s="185"/>
      <c r="F21" s="185"/>
      <c r="G21" s="185"/>
      <c r="H21" s="185"/>
      <c r="I21" s="185"/>
      <c r="J21" s="185"/>
      <c r="K21" s="185"/>
      <c r="L21" s="236"/>
      <c r="M21" s="236"/>
      <c r="N21" s="248" t="s">
        <v>116</v>
      </c>
      <c r="O21" s="236"/>
      <c r="P21" s="249"/>
      <c r="Q21" s="404"/>
      <c r="R21" s="5"/>
    </row>
    <row r="22" spans="1:19" ht="15.6" x14ac:dyDescent="0.3">
      <c r="A22" s="183"/>
      <c r="B22" s="185"/>
      <c r="C22" s="185"/>
      <c r="D22" s="185"/>
      <c r="E22" s="185"/>
      <c r="F22" s="185"/>
      <c r="G22" s="185"/>
      <c r="H22" s="185"/>
      <c r="I22" s="185"/>
      <c r="J22" s="185"/>
      <c r="K22" s="185"/>
      <c r="L22" s="185"/>
      <c r="M22" s="185"/>
      <c r="N22" s="185"/>
      <c r="O22" s="185"/>
      <c r="P22" s="197"/>
      <c r="Q22" s="404"/>
      <c r="R22" s="5"/>
    </row>
    <row r="23" spans="1:19" ht="15.6" x14ac:dyDescent="0.3">
      <c r="A23" s="251"/>
      <c r="B23" s="252"/>
      <c r="C23" s="253"/>
      <c r="D23" s="253" t="s">
        <v>168</v>
      </c>
      <c r="E23" s="253"/>
      <c r="F23" s="253" t="s">
        <v>169</v>
      </c>
      <c r="G23" s="253"/>
      <c r="H23" s="253" t="s">
        <v>174</v>
      </c>
      <c r="I23" s="253"/>
      <c r="J23" s="253" t="s">
        <v>133</v>
      </c>
      <c r="K23" s="253"/>
      <c r="L23" s="253" t="s">
        <v>134</v>
      </c>
      <c r="M23" s="255"/>
      <c r="N23" s="255"/>
      <c r="O23" s="256"/>
      <c r="P23" s="256"/>
      <c r="Q23" s="407"/>
      <c r="R23" s="5"/>
    </row>
    <row r="24" spans="1:19" ht="15.6" x14ac:dyDescent="0.3">
      <c r="A24" s="198"/>
      <c r="B24" s="230" t="s">
        <v>7</v>
      </c>
      <c r="C24" s="231"/>
      <c r="D24" s="231" t="s">
        <v>175</v>
      </c>
      <c r="E24" s="231"/>
      <c r="F24" s="231" t="s">
        <v>175</v>
      </c>
      <c r="G24" s="231"/>
      <c r="H24" s="231" t="s">
        <v>175</v>
      </c>
      <c r="I24" s="231"/>
      <c r="J24" s="231" t="s">
        <v>176</v>
      </c>
      <c r="K24" s="231"/>
      <c r="L24" s="231" t="s">
        <v>176</v>
      </c>
      <c r="M24" s="231"/>
      <c r="N24" s="231"/>
      <c r="O24" s="232"/>
      <c r="P24" s="232"/>
      <c r="Q24" s="408"/>
      <c r="R24" s="5"/>
    </row>
    <row r="25" spans="1:19" ht="15.6" x14ac:dyDescent="0.3">
      <c r="A25" s="260"/>
      <c r="B25" s="261" t="s">
        <v>8</v>
      </c>
      <c r="C25" s="262"/>
      <c r="D25" s="262" t="s">
        <v>177</v>
      </c>
      <c r="E25" s="262"/>
      <c r="F25" s="262" t="s">
        <v>177</v>
      </c>
      <c r="G25" s="262"/>
      <c r="H25" s="262" t="s">
        <v>177</v>
      </c>
      <c r="I25" s="262"/>
      <c r="J25" s="262" t="s">
        <v>178</v>
      </c>
      <c r="K25" s="262"/>
      <c r="L25" s="262" t="s">
        <v>178</v>
      </c>
      <c r="M25" s="262"/>
      <c r="N25" s="262"/>
      <c r="O25" s="263"/>
      <c r="P25" s="263"/>
      <c r="Q25" s="264"/>
      <c r="R25" s="5"/>
    </row>
    <row r="26" spans="1:19" ht="15.6" x14ac:dyDescent="0.3">
      <c r="A26" s="260"/>
      <c r="B26" s="261" t="s">
        <v>135</v>
      </c>
      <c r="C26" s="262"/>
      <c r="D26" s="262" t="s">
        <v>177</v>
      </c>
      <c r="E26" s="262"/>
      <c r="F26" s="262" t="s">
        <v>177</v>
      </c>
      <c r="G26" s="262"/>
      <c r="H26" s="262" t="s">
        <v>177</v>
      </c>
      <c r="I26" s="262"/>
      <c r="J26" s="262" t="s">
        <v>178</v>
      </c>
      <c r="K26" s="262"/>
      <c r="L26" s="262" t="s">
        <v>178</v>
      </c>
      <c r="M26" s="262"/>
      <c r="N26" s="262"/>
      <c r="O26" s="263"/>
      <c r="P26" s="263"/>
      <c r="Q26" s="264"/>
      <c r="R26" s="5"/>
    </row>
    <row r="27" spans="1:19" ht="15.6" x14ac:dyDescent="0.3">
      <c r="A27" s="265"/>
      <c r="B27" s="266" t="s">
        <v>9</v>
      </c>
      <c r="C27" s="392"/>
      <c r="D27" s="392" t="s">
        <v>334</v>
      </c>
      <c r="E27" s="392"/>
      <c r="F27" s="392" t="s">
        <v>334</v>
      </c>
      <c r="G27" s="392"/>
      <c r="H27" s="392" t="s">
        <v>334</v>
      </c>
      <c r="I27" s="392"/>
      <c r="J27" s="392" t="s">
        <v>335</v>
      </c>
      <c r="K27" s="392"/>
      <c r="L27" s="392" t="s">
        <v>335</v>
      </c>
      <c r="M27" s="392"/>
      <c r="N27" s="262"/>
      <c r="O27" s="263"/>
      <c r="P27" s="263"/>
      <c r="Q27" s="264"/>
      <c r="R27" s="5"/>
    </row>
    <row r="28" spans="1:19" ht="15.6" x14ac:dyDescent="0.3">
      <c r="A28" s="265"/>
      <c r="B28" s="266" t="s">
        <v>10</v>
      </c>
      <c r="C28" s="392"/>
      <c r="D28" s="392" t="s">
        <v>322</v>
      </c>
      <c r="E28" s="392"/>
      <c r="F28" s="392" t="s">
        <v>322</v>
      </c>
      <c r="G28" s="392"/>
      <c r="H28" s="392" t="s">
        <v>322</v>
      </c>
      <c r="I28" s="392"/>
      <c r="J28" s="392" t="s">
        <v>322</v>
      </c>
      <c r="K28" s="392"/>
      <c r="L28" s="392" t="s">
        <v>322</v>
      </c>
      <c r="M28" s="392"/>
      <c r="N28" s="262"/>
      <c r="O28" s="263"/>
      <c r="P28" s="263"/>
      <c r="Q28" s="264"/>
      <c r="R28" s="5"/>
    </row>
    <row r="29" spans="1:19" ht="15.6" x14ac:dyDescent="0.3">
      <c r="A29" s="265"/>
      <c r="B29" s="266" t="s">
        <v>136</v>
      </c>
      <c r="C29" s="392"/>
      <c r="D29" s="392" t="s">
        <v>331</v>
      </c>
      <c r="E29" s="392"/>
      <c r="F29" s="392" t="s">
        <v>331</v>
      </c>
      <c r="G29" s="392"/>
      <c r="H29" s="392" t="s">
        <v>331</v>
      </c>
      <c r="I29" s="392"/>
      <c r="J29" s="392" t="s">
        <v>332</v>
      </c>
      <c r="K29" s="392"/>
      <c r="L29" s="392" t="s">
        <v>332</v>
      </c>
      <c r="M29" s="392"/>
      <c r="N29" s="262"/>
      <c r="O29" s="263"/>
      <c r="P29" s="263"/>
      <c r="Q29" s="264"/>
      <c r="R29" s="5"/>
    </row>
    <row r="30" spans="1:19" ht="15.6" x14ac:dyDescent="0.3">
      <c r="A30" s="260"/>
      <c r="B30" s="261" t="s">
        <v>11</v>
      </c>
      <c r="C30" s="262"/>
      <c r="D30" s="268" t="s">
        <v>181</v>
      </c>
      <c r="E30" s="262"/>
      <c r="F30" s="262" t="s">
        <v>183</v>
      </c>
      <c r="G30" s="262"/>
      <c r="H30" s="262" t="s">
        <v>184</v>
      </c>
      <c r="I30" s="262"/>
      <c r="J30" s="262" t="s">
        <v>185</v>
      </c>
      <c r="K30" s="262"/>
      <c r="L30" s="262" t="s">
        <v>189</v>
      </c>
      <c r="M30" s="262"/>
      <c r="N30" s="268"/>
      <c r="O30" s="263"/>
      <c r="P30" s="263"/>
      <c r="Q30" s="264"/>
      <c r="R30" s="5"/>
    </row>
    <row r="31" spans="1:19" ht="15.6" x14ac:dyDescent="0.3">
      <c r="A31" s="260"/>
      <c r="B31" s="261" t="s">
        <v>11</v>
      </c>
      <c r="C31" s="262"/>
      <c r="D31" s="268" t="s">
        <v>182</v>
      </c>
      <c r="E31" s="262"/>
      <c r="F31" s="268" t="s">
        <v>137</v>
      </c>
      <c r="G31" s="262"/>
      <c r="H31" s="268" t="s">
        <v>137</v>
      </c>
      <c r="I31" s="262"/>
      <c r="J31" s="268" t="s">
        <v>186</v>
      </c>
      <c r="K31" s="262"/>
      <c r="L31" s="268" t="s">
        <v>137</v>
      </c>
      <c r="M31" s="262"/>
      <c r="N31" s="268"/>
      <c r="O31" s="263"/>
      <c r="P31" s="263"/>
      <c r="Q31" s="264"/>
      <c r="R31" s="5"/>
    </row>
    <row r="32" spans="1:19" ht="15.6" x14ac:dyDescent="0.3">
      <c r="A32" s="260"/>
      <c r="B32" s="261"/>
      <c r="C32" s="262"/>
      <c r="D32" s="262"/>
      <c r="E32" s="262"/>
      <c r="F32" s="262"/>
      <c r="G32" s="262"/>
      <c r="H32" s="262"/>
      <c r="I32" s="262"/>
      <c r="J32" s="262"/>
      <c r="K32" s="262"/>
      <c r="L32" s="262"/>
      <c r="M32" s="262"/>
      <c r="N32" s="262"/>
      <c r="O32" s="263"/>
      <c r="P32" s="263"/>
      <c r="Q32" s="264"/>
      <c r="R32" s="5"/>
    </row>
    <row r="33" spans="1:19" ht="15.6" x14ac:dyDescent="0.3">
      <c r="A33" s="260"/>
      <c r="B33" s="261" t="s">
        <v>157</v>
      </c>
      <c r="C33" s="269"/>
      <c r="D33" s="270">
        <v>450000</v>
      </c>
      <c r="E33" s="271"/>
      <c r="F33" s="272">
        <v>220000</v>
      </c>
      <c r="G33" s="271"/>
      <c r="H33" s="273">
        <v>500000</v>
      </c>
      <c r="I33" s="271"/>
      <c r="J33" s="270">
        <v>82500</v>
      </c>
      <c r="K33" s="271"/>
      <c r="L33" s="273">
        <v>65000</v>
      </c>
      <c r="M33" s="271"/>
      <c r="N33" s="271"/>
      <c r="O33" s="274"/>
      <c r="P33" s="271"/>
      <c r="Q33" s="275"/>
      <c r="R33" s="5"/>
    </row>
    <row r="34" spans="1:19" ht="15.6" x14ac:dyDescent="0.3">
      <c r="A34" s="260"/>
      <c r="B34" s="261" t="s">
        <v>156</v>
      </c>
      <c r="C34" s="269"/>
      <c r="D34" s="270">
        <f>+D33*D40</f>
        <v>142576.155</v>
      </c>
      <c r="E34" s="271"/>
      <c r="F34" s="272">
        <f>+F33*F40</f>
        <v>69683.987999999998</v>
      </c>
      <c r="G34" s="271"/>
      <c r="H34" s="273">
        <f>+H33*H40</f>
        <v>158427.70000000001</v>
      </c>
      <c r="I34" s="271"/>
      <c r="J34" s="270">
        <f>J33*J40</f>
        <v>58826.410499999998</v>
      </c>
      <c r="K34" s="271"/>
      <c r="L34" s="273">
        <f>L33*L40</f>
        <v>46347.99</v>
      </c>
      <c r="M34" s="271"/>
      <c r="N34" s="271"/>
      <c r="O34" s="274"/>
      <c r="P34" s="271"/>
      <c r="Q34" s="275"/>
      <c r="R34" s="5"/>
    </row>
    <row r="35" spans="1:19" ht="15.6" x14ac:dyDescent="0.3">
      <c r="A35" s="265"/>
      <c r="B35" s="266" t="s">
        <v>158</v>
      </c>
      <c r="C35" s="276"/>
      <c r="D35" s="277">
        <f>+D33*D39</f>
        <v>0</v>
      </c>
      <c r="E35" s="278"/>
      <c r="F35" s="279">
        <f>+F33*F39</f>
        <v>0</v>
      </c>
      <c r="G35" s="278"/>
      <c r="H35" s="280">
        <f>+H33*H39</f>
        <v>0</v>
      </c>
      <c r="I35" s="278"/>
      <c r="J35" s="277">
        <f>J33*J39</f>
        <v>0</v>
      </c>
      <c r="K35" s="278"/>
      <c r="L35" s="280">
        <f>L33*L39</f>
        <v>0</v>
      </c>
      <c r="M35" s="278"/>
      <c r="N35" s="278"/>
      <c r="O35" s="281"/>
      <c r="P35" s="278"/>
      <c r="Q35" s="275"/>
      <c r="R35" s="5"/>
    </row>
    <row r="36" spans="1:19" ht="15.6" x14ac:dyDescent="0.3">
      <c r="A36" s="260"/>
      <c r="B36" s="261" t="s">
        <v>279</v>
      </c>
      <c r="C36" s="269"/>
      <c r="D36" s="271">
        <v>252951</v>
      </c>
      <c r="E36" s="271"/>
      <c r="F36" s="271">
        <v>220000</v>
      </c>
      <c r="G36" s="271"/>
      <c r="H36" s="271">
        <v>337500</v>
      </c>
      <c r="I36" s="271"/>
      <c r="J36" s="271">
        <v>46374</v>
      </c>
      <c r="K36" s="271"/>
      <c r="L36" s="271">
        <v>43875</v>
      </c>
      <c r="M36" s="271"/>
      <c r="N36" s="271"/>
      <c r="O36" s="274"/>
      <c r="P36" s="271">
        <f>SUM(C36:L36)</f>
        <v>900700</v>
      </c>
      <c r="Q36" s="275"/>
      <c r="R36" s="5"/>
    </row>
    <row r="37" spans="1:19" ht="15.6" x14ac:dyDescent="0.3">
      <c r="A37" s="260"/>
      <c r="B37" s="261" t="s">
        <v>280</v>
      </c>
      <c r="C37" s="269"/>
      <c r="D37" s="271">
        <f>+D34/1.779</f>
        <v>80143.988195615515</v>
      </c>
      <c r="E37" s="271"/>
      <c r="F37" s="271">
        <f>+F34</f>
        <v>69683.987999999998</v>
      </c>
      <c r="G37" s="271"/>
      <c r="H37" s="271">
        <f>+H34/1.481481</f>
        <v>106938.73225508799</v>
      </c>
      <c r="I37" s="271"/>
      <c r="J37" s="271">
        <f>J36*J40</f>
        <v>33066.860127599997</v>
      </c>
      <c r="K37" s="271"/>
      <c r="L37" s="271">
        <f>L36*L40</f>
        <v>31284.893249999997</v>
      </c>
      <c r="M37" s="271"/>
      <c r="N37" s="271"/>
      <c r="O37" s="274"/>
      <c r="P37" s="271">
        <f>SUM(C37:L37)+1</f>
        <v>321119.46182830352</v>
      </c>
      <c r="Q37" s="275"/>
      <c r="R37" s="5"/>
      <c r="S37" s="154"/>
    </row>
    <row r="38" spans="1:19" ht="15.6" x14ac:dyDescent="0.3">
      <c r="A38" s="265"/>
      <c r="B38" s="266" t="s">
        <v>281</v>
      </c>
      <c r="C38" s="276"/>
      <c r="D38" s="278">
        <f>D35/1.779</f>
        <v>0</v>
      </c>
      <c r="E38" s="278"/>
      <c r="F38" s="278">
        <f>+F35</f>
        <v>0</v>
      </c>
      <c r="G38" s="278"/>
      <c r="H38" s="278">
        <f>H35/1.481481</f>
        <v>0</v>
      </c>
      <c r="I38" s="278"/>
      <c r="J38" s="278">
        <f>J36*J39</f>
        <v>0</v>
      </c>
      <c r="K38" s="278"/>
      <c r="L38" s="278">
        <f>L36*L39</f>
        <v>0</v>
      </c>
      <c r="M38" s="278"/>
      <c r="N38" s="278"/>
      <c r="O38" s="281"/>
      <c r="P38" s="278">
        <f>SUM(D38:L38)</f>
        <v>0</v>
      </c>
      <c r="Q38" s="275"/>
      <c r="R38" s="5"/>
      <c r="S38" s="176"/>
    </row>
    <row r="39" spans="1:19" ht="15.6" x14ac:dyDescent="0.3">
      <c r="A39" s="265"/>
      <c r="B39" s="282" t="s">
        <v>154</v>
      </c>
      <c r="C39" s="283"/>
      <c r="D39" s="284">
        <v>0</v>
      </c>
      <c r="E39" s="284"/>
      <c r="F39" s="284">
        <v>0</v>
      </c>
      <c r="G39" s="284"/>
      <c r="H39" s="284">
        <v>0</v>
      </c>
      <c r="I39" s="284"/>
      <c r="J39" s="284">
        <v>0</v>
      </c>
      <c r="K39" s="284"/>
      <c r="L39" s="284">
        <v>0</v>
      </c>
      <c r="M39" s="285"/>
      <c r="N39" s="285"/>
      <c r="O39" s="286"/>
      <c r="P39" s="285"/>
      <c r="Q39" s="287"/>
      <c r="R39" s="5"/>
    </row>
    <row r="40" spans="1:19" ht="15.6" x14ac:dyDescent="0.3">
      <c r="A40" s="265"/>
      <c r="B40" s="282" t="s">
        <v>155</v>
      </c>
      <c r="C40" s="283"/>
      <c r="D40" s="284">
        <v>0.3168359</v>
      </c>
      <c r="E40" s="284"/>
      <c r="F40" s="284">
        <v>0.31674540000000001</v>
      </c>
      <c r="G40" s="284"/>
      <c r="H40" s="284">
        <v>0.31685540000000001</v>
      </c>
      <c r="I40" s="284"/>
      <c r="J40" s="284">
        <v>0.7130474</v>
      </c>
      <c r="K40" s="284"/>
      <c r="L40" s="284">
        <v>0.71304599999999996</v>
      </c>
      <c r="M40" s="288"/>
      <c r="N40" s="288"/>
      <c r="O40" s="286"/>
      <c r="P40" s="285"/>
      <c r="Q40" s="287"/>
      <c r="R40" s="5"/>
    </row>
    <row r="41" spans="1:19" ht="15.6" x14ac:dyDescent="0.3">
      <c r="A41" s="260"/>
      <c r="B41" s="261" t="s">
        <v>12</v>
      </c>
      <c r="C41" s="261"/>
      <c r="D41" s="268" t="s">
        <v>180</v>
      </c>
      <c r="E41" s="268"/>
      <c r="F41" s="268" t="s">
        <v>180</v>
      </c>
      <c r="G41" s="268"/>
      <c r="H41" s="268" t="s">
        <v>180</v>
      </c>
      <c r="I41" s="268"/>
      <c r="J41" s="268" t="s">
        <v>188</v>
      </c>
      <c r="K41" s="268"/>
      <c r="L41" s="268" t="s">
        <v>188</v>
      </c>
      <c r="M41" s="268"/>
      <c r="N41" s="268"/>
      <c r="O41" s="263"/>
      <c r="P41" s="263"/>
      <c r="Q41" s="264"/>
      <c r="R41" s="5"/>
    </row>
    <row r="42" spans="1:19" ht="15.6" x14ac:dyDescent="0.3">
      <c r="A42" s="260"/>
      <c r="B42" s="261" t="s">
        <v>13</v>
      </c>
      <c r="C42" s="261"/>
      <c r="D42" s="289">
        <v>1.6017799999999999E-2</v>
      </c>
      <c r="E42" s="290"/>
      <c r="F42" s="289">
        <v>7.3524999999999997E-3</v>
      </c>
      <c r="G42" s="290"/>
      <c r="H42" s="289">
        <v>9.1E-4</v>
      </c>
      <c r="I42" s="290"/>
      <c r="J42" s="289">
        <v>2.6817799999999999E-2</v>
      </c>
      <c r="K42" s="290"/>
      <c r="L42" s="289">
        <v>1.171E-2</v>
      </c>
      <c r="M42" s="290"/>
      <c r="N42" s="289"/>
      <c r="O42" s="263"/>
      <c r="P42" s="290"/>
      <c r="Q42" s="264"/>
      <c r="R42" s="5"/>
    </row>
    <row r="43" spans="1:19" ht="15.6" x14ac:dyDescent="0.3">
      <c r="A43" s="260"/>
      <c r="B43" s="261" t="s">
        <v>14</v>
      </c>
      <c r="C43" s="261"/>
      <c r="D43" s="289">
        <v>1.4590000000000001E-2</v>
      </c>
      <c r="E43" s="290"/>
      <c r="F43" s="289">
        <v>7.7806000000000004E-3</v>
      </c>
      <c r="G43" s="290"/>
      <c r="H43" s="289">
        <v>9.1E-4</v>
      </c>
      <c r="I43" s="290"/>
      <c r="J43" s="289">
        <v>2.5389999999999999E-2</v>
      </c>
      <c r="K43" s="290"/>
      <c r="L43" s="289">
        <v>1.171E-2</v>
      </c>
      <c r="M43" s="290"/>
      <c r="N43" s="289"/>
      <c r="O43" s="263"/>
      <c r="P43" s="263"/>
      <c r="Q43" s="264"/>
      <c r="R43" s="5"/>
    </row>
    <row r="44" spans="1:19" ht="15.6" x14ac:dyDescent="0.3">
      <c r="A44" s="260"/>
      <c r="B44" s="261" t="s">
        <v>282</v>
      </c>
      <c r="C44" s="261"/>
      <c r="D44" s="268" t="s">
        <v>207</v>
      </c>
      <c r="E44" s="268"/>
      <c r="F44" s="268" t="s">
        <v>180</v>
      </c>
      <c r="G44" s="268"/>
      <c r="H44" s="268" t="s">
        <v>208</v>
      </c>
      <c r="I44" s="268"/>
      <c r="J44" s="268" t="s">
        <v>209</v>
      </c>
      <c r="K44" s="268"/>
      <c r="L44" s="268" t="s">
        <v>209</v>
      </c>
      <c r="M44" s="290"/>
      <c r="N44" s="289"/>
      <c r="O44" s="263"/>
      <c r="P44" s="290"/>
      <c r="Q44" s="264"/>
      <c r="R44" s="5"/>
    </row>
    <row r="45" spans="1:19" ht="15.6" x14ac:dyDescent="0.3">
      <c r="A45" s="260"/>
      <c r="B45" s="261" t="s">
        <v>285</v>
      </c>
      <c r="C45" s="261"/>
      <c r="D45" s="289">
        <v>9.2425000000000007E-3</v>
      </c>
      <c r="E45" s="290"/>
      <c r="F45" s="289">
        <f>+F42</f>
        <v>7.3524999999999997E-3</v>
      </c>
      <c r="G45" s="290"/>
      <c r="H45" s="289">
        <v>9.0025000000000001E-3</v>
      </c>
      <c r="I45" s="290"/>
      <c r="J45" s="289">
        <v>2.1502500000000001E-2</v>
      </c>
      <c r="K45" s="290"/>
      <c r="L45" s="289">
        <v>2.1502500000000001E-2</v>
      </c>
      <c r="M45" s="290"/>
      <c r="N45" s="289"/>
      <c r="O45" s="263"/>
      <c r="P45" s="290">
        <f>SUMPRODUCT(D45:L45,D37:L37)/P37</f>
        <v>1.1209292100523158E-2</v>
      </c>
      <c r="Q45" s="264"/>
      <c r="R45" s="5"/>
    </row>
    <row r="46" spans="1:19" ht="15.6" x14ac:dyDescent="0.3">
      <c r="A46" s="260"/>
      <c r="B46" s="261" t="s">
        <v>283</v>
      </c>
      <c r="C46" s="261"/>
      <c r="D46" s="289">
        <v>9.6705999999999997E-3</v>
      </c>
      <c r="E46" s="290"/>
      <c r="F46" s="289">
        <f>+F43</f>
        <v>7.7806000000000004E-3</v>
      </c>
      <c r="G46" s="290"/>
      <c r="H46" s="289">
        <v>9.4306000000000008E-3</v>
      </c>
      <c r="I46" s="290"/>
      <c r="J46" s="289">
        <v>2.1930600000000001E-2</v>
      </c>
      <c r="K46" s="290"/>
      <c r="L46" s="289">
        <v>2.1930600000000001E-2</v>
      </c>
      <c r="M46" s="290"/>
      <c r="N46" s="289"/>
      <c r="O46" s="263"/>
      <c r="P46" s="263"/>
      <c r="Q46" s="264"/>
      <c r="R46" s="5"/>
    </row>
    <row r="47" spans="1:19" ht="15.6" x14ac:dyDescent="0.3">
      <c r="A47" s="260"/>
      <c r="B47" s="261" t="s">
        <v>15</v>
      </c>
      <c r="C47" s="291"/>
      <c r="D47" s="291">
        <v>39583</v>
      </c>
      <c r="E47" s="291"/>
      <c r="F47" s="291">
        <v>39583</v>
      </c>
      <c r="G47" s="291"/>
      <c r="H47" s="291">
        <v>39583</v>
      </c>
      <c r="I47" s="291"/>
      <c r="J47" s="291">
        <v>39583</v>
      </c>
      <c r="K47" s="291"/>
      <c r="L47" s="291">
        <v>39583</v>
      </c>
      <c r="M47" s="268"/>
      <c r="N47" s="268"/>
      <c r="O47" s="263"/>
      <c r="P47" s="263"/>
      <c r="Q47" s="264"/>
      <c r="R47" s="5"/>
    </row>
    <row r="48" spans="1:19" ht="15.6" x14ac:dyDescent="0.3">
      <c r="A48" s="260"/>
      <c r="B48" s="261" t="s">
        <v>16</v>
      </c>
      <c r="C48" s="291"/>
      <c r="D48" s="291">
        <v>40313</v>
      </c>
      <c r="E48" s="291"/>
      <c r="F48" s="291">
        <v>40313</v>
      </c>
      <c r="G48" s="268"/>
      <c r="H48" s="291">
        <v>40313</v>
      </c>
      <c r="I48" s="268"/>
      <c r="J48" s="291">
        <v>40313</v>
      </c>
      <c r="K48" s="268"/>
      <c r="L48" s="291">
        <v>40313</v>
      </c>
      <c r="M48" s="268"/>
      <c r="N48" s="268"/>
      <c r="O48" s="263"/>
      <c r="P48" s="263"/>
      <c r="Q48" s="264"/>
      <c r="R48" s="5"/>
    </row>
    <row r="49" spans="1:18" ht="15.6" x14ac:dyDescent="0.3">
      <c r="A49" s="260"/>
      <c r="B49" s="261" t="s">
        <v>140</v>
      </c>
      <c r="C49" s="261"/>
      <c r="D49" s="268" t="s">
        <v>180</v>
      </c>
      <c r="E49" s="268"/>
      <c r="F49" s="268" t="s">
        <v>180</v>
      </c>
      <c r="G49" s="268"/>
      <c r="H49" s="268" t="s">
        <v>180</v>
      </c>
      <c r="I49" s="268"/>
      <c r="J49" s="268" t="s">
        <v>188</v>
      </c>
      <c r="K49" s="268"/>
      <c r="L49" s="268" t="s">
        <v>188</v>
      </c>
      <c r="M49" s="268"/>
      <c r="N49" s="268"/>
      <c r="O49" s="263"/>
      <c r="P49" s="263"/>
      <c r="Q49" s="264"/>
      <c r="R49" s="5"/>
    </row>
    <row r="50" spans="1:18" ht="15.6" x14ac:dyDescent="0.3">
      <c r="A50" s="260"/>
      <c r="B50" s="261" t="s">
        <v>284</v>
      </c>
      <c r="C50" s="261"/>
      <c r="D50" s="268" t="s">
        <v>207</v>
      </c>
      <c r="E50" s="268"/>
      <c r="F50" s="268" t="s">
        <v>180</v>
      </c>
      <c r="G50" s="268"/>
      <c r="H50" s="268" t="s">
        <v>208</v>
      </c>
      <c r="I50" s="268"/>
      <c r="J50" s="268" t="s">
        <v>209</v>
      </c>
      <c r="K50" s="268"/>
      <c r="L50" s="268" t="s">
        <v>209</v>
      </c>
      <c r="M50" s="268"/>
      <c r="N50" s="268"/>
      <c r="O50" s="263"/>
      <c r="P50" s="263"/>
      <c r="Q50" s="264"/>
      <c r="R50" s="5"/>
    </row>
    <row r="51" spans="1:18" ht="15.6" x14ac:dyDescent="0.3">
      <c r="A51" s="260"/>
      <c r="B51" s="261"/>
      <c r="C51" s="261"/>
      <c r="D51" s="268"/>
      <c r="E51" s="268"/>
      <c r="F51" s="292"/>
      <c r="G51" s="292"/>
      <c r="H51" s="292"/>
      <c r="I51" s="292"/>
      <c r="J51" s="292"/>
      <c r="K51" s="292"/>
      <c r="L51" s="292"/>
      <c r="M51" s="292"/>
      <c r="N51" s="292"/>
      <c r="O51" s="292"/>
      <c r="P51" s="292"/>
      <c r="Q51" s="264"/>
      <c r="R51" s="5"/>
    </row>
    <row r="52" spans="1:18" ht="15.6" x14ac:dyDescent="0.3">
      <c r="A52" s="260"/>
      <c r="B52" s="261" t="s">
        <v>17</v>
      </c>
      <c r="C52" s="261"/>
      <c r="D52" s="293"/>
      <c r="E52" s="261"/>
      <c r="F52" s="261"/>
      <c r="G52" s="261"/>
      <c r="H52" s="261"/>
      <c r="I52" s="261"/>
      <c r="J52" s="261"/>
      <c r="K52" s="261"/>
      <c r="L52" s="261"/>
      <c r="M52" s="261"/>
      <c r="N52" s="261"/>
      <c r="O52" s="261"/>
      <c r="P52" s="290">
        <f>SUM(J36:L36)/SUM(D36:H36)</f>
        <v>0.11135651631005453</v>
      </c>
      <c r="Q52" s="264"/>
      <c r="R52" s="5"/>
    </row>
    <row r="53" spans="1:18" ht="15.6" x14ac:dyDescent="0.3">
      <c r="A53" s="260"/>
      <c r="B53" s="261" t="s">
        <v>18</v>
      </c>
      <c r="C53" s="261"/>
      <c r="D53" s="293"/>
      <c r="E53" s="261"/>
      <c r="F53" s="261"/>
      <c r="G53" s="261"/>
      <c r="H53" s="261"/>
      <c r="I53" s="261"/>
      <c r="J53" s="261"/>
      <c r="K53" s="261"/>
      <c r="L53" s="261"/>
      <c r="M53" s="261"/>
      <c r="N53" s="261"/>
      <c r="O53" s="261"/>
      <c r="P53" s="290" t="s">
        <v>122</v>
      </c>
      <c r="Q53" s="264"/>
      <c r="R53" s="5"/>
    </row>
    <row r="54" spans="1:18" ht="15.6" x14ac:dyDescent="0.3">
      <c r="A54" s="260"/>
      <c r="B54" s="261" t="s">
        <v>19</v>
      </c>
      <c r="C54" s="261"/>
      <c r="D54" s="261"/>
      <c r="E54" s="261"/>
      <c r="F54" s="261"/>
      <c r="G54" s="261"/>
      <c r="H54" s="261"/>
      <c r="I54" s="261"/>
      <c r="J54" s="261"/>
      <c r="K54" s="261"/>
      <c r="L54" s="261"/>
      <c r="M54" s="261"/>
      <c r="N54" s="268" t="s">
        <v>117</v>
      </c>
      <c r="O54" s="268" t="s">
        <v>124</v>
      </c>
      <c r="P54" s="271">
        <f>+P36/2-SUM(J36:L36)</f>
        <v>360101</v>
      </c>
      <c r="Q54" s="264"/>
      <c r="R54" s="5"/>
    </row>
    <row r="55" spans="1:18" ht="15.6" x14ac:dyDescent="0.3">
      <c r="A55" s="260"/>
      <c r="B55" s="261"/>
      <c r="C55" s="261"/>
      <c r="D55" s="261"/>
      <c r="E55" s="261"/>
      <c r="F55" s="261"/>
      <c r="G55" s="261"/>
      <c r="H55" s="261"/>
      <c r="I55" s="261"/>
      <c r="J55" s="261"/>
      <c r="K55" s="261"/>
      <c r="L55" s="261"/>
      <c r="M55" s="261"/>
      <c r="N55" s="261" t="s">
        <v>275</v>
      </c>
      <c r="O55" s="261"/>
      <c r="P55" s="294"/>
      <c r="Q55" s="264"/>
      <c r="R55" s="5"/>
    </row>
    <row r="56" spans="1:18" ht="15.6" x14ac:dyDescent="0.3">
      <c r="A56" s="260"/>
      <c r="B56" s="261" t="s">
        <v>193</v>
      </c>
      <c r="C56" s="261"/>
      <c r="D56" s="261"/>
      <c r="E56" s="261"/>
      <c r="F56" s="261"/>
      <c r="G56" s="261"/>
      <c r="H56" s="261"/>
      <c r="I56" s="261"/>
      <c r="J56" s="261"/>
      <c r="K56" s="261"/>
      <c r="L56" s="261"/>
      <c r="M56" s="261"/>
      <c r="N56" s="268"/>
      <c r="O56" s="268"/>
      <c r="P56" s="268" t="s">
        <v>126</v>
      </c>
      <c r="Q56" s="264"/>
      <c r="R56" s="5"/>
    </row>
    <row r="57" spans="1:18" ht="15.6" x14ac:dyDescent="0.3">
      <c r="A57" s="260"/>
      <c r="B57" s="266" t="s">
        <v>194</v>
      </c>
      <c r="C57" s="266"/>
      <c r="D57" s="266"/>
      <c r="E57" s="266"/>
      <c r="F57" s="266"/>
      <c r="G57" s="266"/>
      <c r="H57" s="266"/>
      <c r="I57" s="266"/>
      <c r="J57" s="266"/>
      <c r="K57" s="266"/>
      <c r="L57" s="266"/>
      <c r="M57" s="266"/>
      <c r="N57" s="295"/>
      <c r="O57" s="295"/>
      <c r="P57" s="296">
        <v>42962</v>
      </c>
      <c r="Q57" s="264"/>
      <c r="R57" s="5"/>
    </row>
    <row r="58" spans="1:18" ht="15.6" x14ac:dyDescent="0.3">
      <c r="A58" s="260"/>
      <c r="B58" s="261" t="s">
        <v>142</v>
      </c>
      <c r="C58" s="261"/>
      <c r="D58" s="261"/>
      <c r="E58" s="261"/>
      <c r="F58" s="297"/>
      <c r="G58" s="297"/>
      <c r="H58" s="297"/>
      <c r="I58" s="297"/>
      <c r="J58" s="297"/>
      <c r="K58" s="297"/>
      <c r="L58" s="261">
        <f>+P58-N58+1</f>
        <v>89</v>
      </c>
      <c r="M58" s="297"/>
      <c r="N58" s="298">
        <v>42781</v>
      </c>
      <c r="O58" s="299"/>
      <c r="P58" s="298">
        <v>42869</v>
      </c>
      <c r="Q58" s="264"/>
      <c r="R58" s="5"/>
    </row>
    <row r="59" spans="1:18" ht="15.6" x14ac:dyDescent="0.3">
      <c r="A59" s="260"/>
      <c r="B59" s="261" t="s">
        <v>143</v>
      </c>
      <c r="C59" s="261"/>
      <c r="D59" s="261"/>
      <c r="E59" s="261"/>
      <c r="F59" s="261"/>
      <c r="G59" s="261"/>
      <c r="H59" s="261"/>
      <c r="I59" s="261"/>
      <c r="J59" s="261"/>
      <c r="K59" s="261"/>
      <c r="L59" s="261">
        <f>+P59-N59+1</f>
        <v>92</v>
      </c>
      <c r="M59" s="261"/>
      <c r="N59" s="298">
        <v>42870</v>
      </c>
      <c r="O59" s="299"/>
      <c r="P59" s="298">
        <v>42961</v>
      </c>
      <c r="Q59" s="264"/>
      <c r="R59" s="5"/>
    </row>
    <row r="60" spans="1:18" ht="15.6" x14ac:dyDescent="0.3">
      <c r="A60" s="260"/>
      <c r="B60" s="261" t="s">
        <v>216</v>
      </c>
      <c r="C60" s="261"/>
      <c r="D60" s="261"/>
      <c r="E60" s="261"/>
      <c r="F60" s="261"/>
      <c r="G60" s="261"/>
      <c r="H60" s="261"/>
      <c r="I60" s="261"/>
      <c r="J60" s="261"/>
      <c r="K60" s="261"/>
      <c r="L60" s="261"/>
      <c r="M60" s="261"/>
      <c r="N60" s="298"/>
      <c r="O60" s="299"/>
      <c r="P60" s="298" t="s">
        <v>141</v>
      </c>
      <c r="Q60" s="264"/>
      <c r="R60" s="5"/>
    </row>
    <row r="61" spans="1:18" ht="15.6" x14ac:dyDescent="0.3">
      <c r="A61" s="260"/>
      <c r="B61" s="261" t="s">
        <v>213</v>
      </c>
      <c r="C61" s="261"/>
      <c r="D61" s="261"/>
      <c r="E61" s="261"/>
      <c r="F61" s="261"/>
      <c r="G61" s="261"/>
      <c r="H61" s="261"/>
      <c r="I61" s="261"/>
      <c r="J61" s="261"/>
      <c r="K61" s="261"/>
      <c r="L61" s="261"/>
      <c r="M61" s="261"/>
      <c r="N61" s="298"/>
      <c r="O61" s="299"/>
      <c r="P61" s="298" t="s">
        <v>225</v>
      </c>
      <c r="Q61" s="264"/>
      <c r="R61" s="5"/>
    </row>
    <row r="62" spans="1:18" ht="15.6" x14ac:dyDescent="0.3">
      <c r="A62" s="260"/>
      <c r="B62" s="261" t="s">
        <v>20</v>
      </c>
      <c r="C62" s="261"/>
      <c r="D62" s="261"/>
      <c r="E62" s="261"/>
      <c r="F62" s="261"/>
      <c r="G62" s="261"/>
      <c r="H62" s="261"/>
      <c r="I62" s="261"/>
      <c r="J62" s="261"/>
      <c r="K62" s="261"/>
      <c r="L62" s="261"/>
      <c r="M62" s="261"/>
      <c r="N62" s="298"/>
      <c r="O62" s="299"/>
      <c r="P62" s="298">
        <v>42948</v>
      </c>
      <c r="Q62" s="264"/>
      <c r="R62" s="5"/>
    </row>
    <row r="63" spans="1:18" ht="15.6" x14ac:dyDescent="0.3">
      <c r="A63" s="183"/>
      <c r="B63" s="257"/>
      <c r="C63" s="257"/>
      <c r="D63" s="257"/>
      <c r="E63" s="257"/>
      <c r="F63" s="257"/>
      <c r="G63" s="257"/>
      <c r="H63" s="257"/>
      <c r="I63" s="257"/>
      <c r="J63" s="257"/>
      <c r="K63" s="257"/>
      <c r="L63" s="257"/>
      <c r="M63" s="257"/>
      <c r="N63" s="258"/>
      <c r="O63" s="259"/>
      <c r="P63" s="258"/>
      <c r="Q63" s="409"/>
      <c r="R63" s="5"/>
    </row>
    <row r="64" spans="1:18" ht="15.6" x14ac:dyDescent="0.3">
      <c r="A64" s="183"/>
      <c r="B64" s="236"/>
      <c r="C64" s="236"/>
      <c r="D64" s="236"/>
      <c r="E64" s="236"/>
      <c r="F64" s="236"/>
      <c r="G64" s="236"/>
      <c r="H64" s="236"/>
      <c r="I64" s="236"/>
      <c r="J64" s="236"/>
      <c r="K64" s="236"/>
      <c r="L64" s="236"/>
      <c r="M64" s="236"/>
      <c r="N64" s="237"/>
      <c r="O64" s="238"/>
      <c r="P64" s="237"/>
      <c r="Q64" s="409"/>
      <c r="R64" s="5"/>
    </row>
    <row r="65" spans="1:18" ht="18" thickBot="1" x14ac:dyDescent="0.35">
      <c r="A65" s="199"/>
      <c r="B65" s="239" t="s">
        <v>333</v>
      </c>
      <c r="C65" s="240"/>
      <c r="D65" s="240"/>
      <c r="E65" s="240"/>
      <c r="F65" s="240"/>
      <c r="G65" s="240"/>
      <c r="H65" s="240"/>
      <c r="I65" s="240"/>
      <c r="J65" s="240"/>
      <c r="K65" s="240"/>
      <c r="L65" s="240"/>
      <c r="M65" s="240"/>
      <c r="N65" s="240"/>
      <c r="O65" s="240"/>
      <c r="P65" s="241"/>
      <c r="Q65" s="242"/>
      <c r="R65" s="5"/>
    </row>
    <row r="66" spans="1:18" ht="15.6" x14ac:dyDescent="0.3">
      <c r="A66" s="389"/>
      <c r="B66" s="393" t="s">
        <v>21</v>
      </c>
      <c r="C66" s="390"/>
      <c r="D66" s="390"/>
      <c r="E66" s="390"/>
      <c r="F66" s="390"/>
      <c r="G66" s="390"/>
      <c r="H66" s="390"/>
      <c r="I66" s="390"/>
      <c r="J66" s="390"/>
      <c r="K66" s="390"/>
      <c r="L66" s="390"/>
      <c r="M66" s="390"/>
      <c r="N66" s="390"/>
      <c r="O66" s="390"/>
      <c r="P66" s="391"/>
      <c r="Q66" s="410"/>
      <c r="R66" s="5"/>
    </row>
    <row r="67" spans="1:18" ht="15.6" x14ac:dyDescent="0.3">
      <c r="A67" s="183"/>
      <c r="B67" s="193"/>
      <c r="C67" s="185"/>
      <c r="D67" s="185"/>
      <c r="E67" s="185"/>
      <c r="F67" s="185"/>
      <c r="G67" s="185"/>
      <c r="H67" s="185"/>
      <c r="I67" s="185"/>
      <c r="J67" s="185"/>
      <c r="K67" s="185"/>
      <c r="L67" s="185"/>
      <c r="M67" s="185"/>
      <c r="N67" s="185"/>
      <c r="O67" s="185"/>
      <c r="P67" s="201"/>
      <c r="Q67" s="404"/>
      <c r="R67" s="5"/>
    </row>
    <row r="68" spans="1:18" ht="31.2" x14ac:dyDescent="0.3">
      <c r="A68" s="183"/>
      <c r="B68" s="202" t="s">
        <v>22</v>
      </c>
      <c r="C68" s="203"/>
      <c r="D68" s="203"/>
      <c r="E68" s="203"/>
      <c r="F68" s="203" t="s">
        <v>105</v>
      </c>
      <c r="G68" s="203"/>
      <c r="H68" s="203" t="s">
        <v>107</v>
      </c>
      <c r="I68" s="203"/>
      <c r="J68" s="203" t="s">
        <v>109</v>
      </c>
      <c r="K68" s="203"/>
      <c r="L68" s="203" t="s">
        <v>111</v>
      </c>
      <c r="M68" s="203"/>
      <c r="N68" s="203" t="s">
        <v>118</v>
      </c>
      <c r="O68" s="203"/>
      <c r="P68" s="204" t="s">
        <v>127</v>
      </c>
      <c r="Q68" s="411"/>
      <c r="R68" s="5"/>
    </row>
    <row r="69" spans="1:18" ht="15.6" x14ac:dyDescent="0.3">
      <c r="A69" s="260"/>
      <c r="B69" s="261" t="s">
        <v>23</v>
      </c>
      <c r="C69" s="330"/>
      <c r="D69" s="330"/>
      <c r="E69" s="330"/>
      <c r="F69" s="330">
        <v>690290</v>
      </c>
      <c r="G69" s="330"/>
      <c r="H69" s="331">
        <v>321119</v>
      </c>
      <c r="I69" s="330"/>
      <c r="J69" s="330">
        <v>321119</v>
      </c>
      <c r="K69" s="330"/>
      <c r="L69" s="330">
        <v>0</v>
      </c>
      <c r="M69" s="330"/>
      <c r="N69" s="330">
        <v>0</v>
      </c>
      <c r="O69" s="330"/>
      <c r="P69" s="331">
        <f>+H69-J69+L69-N69</f>
        <v>0</v>
      </c>
      <c r="Q69" s="264"/>
      <c r="R69" s="5"/>
    </row>
    <row r="70" spans="1:18" ht="15.6" x14ac:dyDescent="0.3">
      <c r="A70" s="260"/>
      <c r="B70" s="261" t="s">
        <v>24</v>
      </c>
      <c r="C70" s="330"/>
      <c r="D70" s="330"/>
      <c r="E70" s="330"/>
      <c r="F70" s="330">
        <v>201</v>
      </c>
      <c r="G70" s="330"/>
      <c r="H70" s="331">
        <v>0</v>
      </c>
      <c r="I70" s="330"/>
      <c r="J70" s="330">
        <v>0</v>
      </c>
      <c r="K70" s="330"/>
      <c r="L70" s="330">
        <v>0</v>
      </c>
      <c r="M70" s="330"/>
      <c r="N70" s="330">
        <v>0</v>
      </c>
      <c r="O70" s="330"/>
      <c r="P70" s="331">
        <f>+H70-J70+L70</f>
        <v>0</v>
      </c>
      <c r="Q70" s="264"/>
      <c r="R70" s="5"/>
    </row>
    <row r="71" spans="1:18" ht="15.6" x14ac:dyDescent="0.3">
      <c r="A71" s="260"/>
      <c r="B71" s="261"/>
      <c r="C71" s="330"/>
      <c r="D71" s="330"/>
      <c r="E71" s="330"/>
      <c r="F71" s="330"/>
      <c r="G71" s="330"/>
      <c r="H71" s="331"/>
      <c r="I71" s="330"/>
      <c r="J71" s="330"/>
      <c r="K71" s="330"/>
      <c r="L71" s="330"/>
      <c r="M71" s="330"/>
      <c r="N71" s="330"/>
      <c r="O71" s="330"/>
      <c r="P71" s="331"/>
      <c r="Q71" s="264"/>
      <c r="R71" s="5"/>
    </row>
    <row r="72" spans="1:18" ht="15.6" x14ac:dyDescent="0.3">
      <c r="A72" s="260"/>
      <c r="B72" s="261" t="s">
        <v>25</v>
      </c>
      <c r="C72" s="330"/>
      <c r="D72" s="330"/>
      <c r="E72" s="330"/>
      <c r="F72" s="330">
        <f>SUM(F69:F71)</f>
        <v>690491</v>
      </c>
      <c r="G72" s="330"/>
      <c r="H72" s="330">
        <f>H69+H70</f>
        <v>321119</v>
      </c>
      <c r="I72" s="330"/>
      <c r="J72" s="330">
        <f>SUM(J69:J71)</f>
        <v>321119</v>
      </c>
      <c r="K72" s="330"/>
      <c r="L72" s="330">
        <f>SUM(L69:L71)</f>
        <v>0</v>
      </c>
      <c r="M72" s="330"/>
      <c r="N72" s="330">
        <f>SUM(N69:N71)</f>
        <v>0</v>
      </c>
      <c r="O72" s="330"/>
      <c r="P72" s="330">
        <f>SUM(P69:P71)</f>
        <v>0</v>
      </c>
      <c r="Q72" s="264"/>
      <c r="R72" s="5"/>
    </row>
    <row r="73" spans="1:18" ht="15.6" x14ac:dyDescent="0.3">
      <c r="A73" s="183"/>
      <c r="B73" s="190"/>
      <c r="C73" s="208"/>
      <c r="D73" s="208"/>
      <c r="E73" s="208"/>
      <c r="F73" s="208"/>
      <c r="G73" s="208"/>
      <c r="H73" s="208"/>
      <c r="I73" s="208"/>
      <c r="J73" s="208"/>
      <c r="K73" s="208"/>
      <c r="L73" s="208"/>
      <c r="M73" s="208"/>
      <c r="N73" s="208"/>
      <c r="O73" s="208"/>
      <c r="P73" s="329"/>
      <c r="Q73" s="404"/>
      <c r="R73" s="5"/>
    </row>
    <row r="74" spans="1:18" ht="15.6" x14ac:dyDescent="0.3">
      <c r="A74" s="183"/>
      <c r="B74" s="187" t="s">
        <v>26</v>
      </c>
      <c r="C74" s="206"/>
      <c r="D74" s="206"/>
      <c r="E74" s="206"/>
      <c r="F74" s="206"/>
      <c r="G74" s="206"/>
      <c r="H74" s="206"/>
      <c r="I74" s="206"/>
      <c r="J74" s="206"/>
      <c r="K74" s="206"/>
      <c r="L74" s="206"/>
      <c r="M74" s="206"/>
      <c r="N74" s="206"/>
      <c r="O74" s="206"/>
      <c r="P74" s="207"/>
      <c r="Q74" s="404"/>
      <c r="R74" s="5"/>
    </row>
    <row r="75" spans="1:18" ht="15.6" x14ac:dyDescent="0.3">
      <c r="A75" s="183"/>
      <c r="B75" s="185"/>
      <c r="C75" s="206"/>
      <c r="D75" s="206"/>
      <c r="E75" s="206"/>
      <c r="F75" s="206"/>
      <c r="G75" s="206"/>
      <c r="H75" s="206"/>
      <c r="I75" s="206"/>
      <c r="J75" s="206"/>
      <c r="K75" s="206"/>
      <c r="L75" s="206"/>
      <c r="M75" s="206"/>
      <c r="N75" s="206"/>
      <c r="O75" s="206"/>
      <c r="P75" s="207"/>
      <c r="Q75" s="404"/>
      <c r="R75" s="5"/>
    </row>
    <row r="76" spans="1:18" ht="15.6" x14ac:dyDescent="0.3">
      <c r="A76" s="260"/>
      <c r="B76" s="261" t="s">
        <v>23</v>
      </c>
      <c r="C76" s="330"/>
      <c r="D76" s="330"/>
      <c r="E76" s="330"/>
      <c r="F76" s="330"/>
      <c r="G76" s="330"/>
      <c r="H76" s="330"/>
      <c r="I76" s="330"/>
      <c r="J76" s="330"/>
      <c r="K76" s="330"/>
      <c r="L76" s="330"/>
      <c r="M76" s="330"/>
      <c r="N76" s="330"/>
      <c r="O76" s="330"/>
      <c r="P76" s="330"/>
      <c r="Q76" s="264"/>
      <c r="R76" s="5"/>
    </row>
    <row r="77" spans="1:18" ht="15.6" x14ac:dyDescent="0.3">
      <c r="A77" s="260"/>
      <c r="B77" s="261" t="s">
        <v>24</v>
      </c>
      <c r="C77" s="330"/>
      <c r="D77" s="330"/>
      <c r="E77" s="330"/>
      <c r="F77" s="330"/>
      <c r="G77" s="330"/>
      <c r="H77" s="330"/>
      <c r="I77" s="330"/>
      <c r="J77" s="330"/>
      <c r="K77" s="330"/>
      <c r="L77" s="330"/>
      <c r="M77" s="330"/>
      <c r="N77" s="330"/>
      <c r="O77" s="330"/>
      <c r="P77" s="330"/>
      <c r="Q77" s="264"/>
      <c r="R77" s="5"/>
    </row>
    <row r="78" spans="1:18" ht="15.6" x14ac:dyDescent="0.3">
      <c r="A78" s="260"/>
      <c r="B78" s="261"/>
      <c r="C78" s="330"/>
      <c r="D78" s="330"/>
      <c r="E78" s="330"/>
      <c r="F78" s="330"/>
      <c r="G78" s="330"/>
      <c r="H78" s="330"/>
      <c r="I78" s="330"/>
      <c r="J78" s="330"/>
      <c r="K78" s="330"/>
      <c r="L78" s="330"/>
      <c r="M78" s="330"/>
      <c r="N78" s="330"/>
      <c r="O78" s="330"/>
      <c r="P78" s="330"/>
      <c r="Q78" s="264"/>
      <c r="R78" s="5"/>
    </row>
    <row r="79" spans="1:18" ht="15.6" x14ac:dyDescent="0.3">
      <c r="A79" s="260"/>
      <c r="B79" s="261" t="s">
        <v>25</v>
      </c>
      <c r="C79" s="330"/>
      <c r="D79" s="330"/>
      <c r="E79" s="330"/>
      <c r="F79" s="330"/>
      <c r="G79" s="330"/>
      <c r="H79" s="330"/>
      <c r="I79" s="330"/>
      <c r="J79" s="330"/>
      <c r="K79" s="330"/>
      <c r="L79" s="330"/>
      <c r="M79" s="330"/>
      <c r="N79" s="330"/>
      <c r="O79" s="330"/>
      <c r="P79" s="330"/>
      <c r="Q79" s="264"/>
      <c r="R79" s="5"/>
    </row>
    <row r="80" spans="1:18" ht="15.6" x14ac:dyDescent="0.3">
      <c r="A80" s="260"/>
      <c r="B80" s="261"/>
      <c r="C80" s="330"/>
      <c r="D80" s="330"/>
      <c r="E80" s="330"/>
      <c r="F80" s="330"/>
      <c r="G80" s="330"/>
      <c r="H80" s="330"/>
      <c r="I80" s="330"/>
      <c r="J80" s="330"/>
      <c r="K80" s="330"/>
      <c r="L80" s="330"/>
      <c r="M80" s="330"/>
      <c r="N80" s="330"/>
      <c r="O80" s="330"/>
      <c r="P80" s="330"/>
      <c r="Q80" s="264"/>
      <c r="R80" s="5"/>
    </row>
    <row r="81" spans="1:18" ht="15.6" x14ac:dyDescent="0.3">
      <c r="A81" s="260"/>
      <c r="B81" s="261" t="s">
        <v>27</v>
      </c>
      <c r="C81" s="330"/>
      <c r="D81" s="330"/>
      <c r="E81" s="330"/>
      <c r="F81" s="330">
        <v>0</v>
      </c>
      <c r="G81" s="330"/>
      <c r="H81" s="330">
        <v>0</v>
      </c>
      <c r="I81" s="330"/>
      <c r="J81" s="330"/>
      <c r="K81" s="330"/>
      <c r="L81" s="330"/>
      <c r="M81" s="330"/>
      <c r="N81" s="330"/>
      <c r="O81" s="330"/>
      <c r="P81" s="331">
        <v>0</v>
      </c>
      <c r="Q81" s="264"/>
      <c r="R81" s="5"/>
    </row>
    <row r="82" spans="1:18" ht="15.6" x14ac:dyDescent="0.3">
      <c r="A82" s="260"/>
      <c r="B82" s="261" t="s">
        <v>132</v>
      </c>
      <c r="C82" s="330"/>
      <c r="D82" s="330"/>
      <c r="E82" s="330"/>
      <c r="F82" s="330">
        <v>210000</v>
      </c>
      <c r="G82" s="330"/>
      <c r="H82" s="330">
        <v>0</v>
      </c>
      <c r="I82" s="330"/>
      <c r="J82" s="330"/>
      <c r="K82" s="330"/>
      <c r="L82" s="330"/>
      <c r="M82" s="330"/>
      <c r="N82" s="330"/>
      <c r="O82" s="330"/>
      <c r="P82" s="330">
        <f>SUM(H82:L82)</f>
        <v>0</v>
      </c>
      <c r="Q82" s="264"/>
      <c r="R82" s="5"/>
    </row>
    <row r="83" spans="1:18" ht="15.6" x14ac:dyDescent="0.3">
      <c r="A83" s="260"/>
      <c r="B83" s="261" t="s">
        <v>210</v>
      </c>
      <c r="C83" s="330"/>
      <c r="D83" s="330"/>
      <c r="E83" s="330"/>
      <c r="F83" s="330">
        <v>209</v>
      </c>
      <c r="G83" s="330"/>
      <c r="H83" s="330">
        <v>0</v>
      </c>
      <c r="I83" s="330"/>
      <c r="J83" s="330"/>
      <c r="K83" s="330"/>
      <c r="L83" s="330"/>
      <c r="M83" s="330"/>
      <c r="N83" s="330"/>
      <c r="O83" s="330"/>
      <c r="P83" s="330">
        <f>SUM(H83:L83)</f>
        <v>0</v>
      </c>
      <c r="Q83" s="264"/>
      <c r="R83" s="5"/>
    </row>
    <row r="84" spans="1:18" ht="15.6" x14ac:dyDescent="0.3">
      <c r="A84" s="260"/>
      <c r="B84" s="261" t="s">
        <v>29</v>
      </c>
      <c r="C84" s="330"/>
      <c r="D84" s="330"/>
      <c r="E84" s="330"/>
      <c r="F84" s="330">
        <v>0</v>
      </c>
      <c r="G84" s="330"/>
      <c r="H84" s="330">
        <v>0</v>
      </c>
      <c r="I84" s="330"/>
      <c r="J84" s="330"/>
      <c r="K84" s="330"/>
      <c r="L84" s="330"/>
      <c r="M84" s="330"/>
      <c r="N84" s="330"/>
      <c r="O84" s="330"/>
      <c r="P84" s="330">
        <v>0</v>
      </c>
      <c r="Q84" s="264"/>
      <c r="R84" s="5"/>
    </row>
    <row r="85" spans="1:18" ht="15.6" x14ac:dyDescent="0.3">
      <c r="A85" s="260"/>
      <c r="B85" s="261" t="s">
        <v>273</v>
      </c>
      <c r="C85" s="330"/>
      <c r="D85" s="330"/>
      <c r="E85" s="330"/>
      <c r="F85" s="330">
        <v>0</v>
      </c>
      <c r="G85" s="330"/>
      <c r="H85" s="331">
        <v>0</v>
      </c>
      <c r="I85" s="330"/>
      <c r="J85" s="330">
        <v>0</v>
      </c>
      <c r="K85" s="330"/>
      <c r="L85" s="330">
        <v>0</v>
      </c>
      <c r="M85" s="330"/>
      <c r="N85" s="330"/>
      <c r="O85" s="330"/>
      <c r="P85" s="330">
        <f>+N131</f>
        <v>0</v>
      </c>
      <c r="Q85" s="264"/>
      <c r="R85" s="5"/>
    </row>
    <row r="86" spans="1:18" ht="15.6" x14ac:dyDescent="0.3">
      <c r="A86" s="260"/>
      <c r="B86" s="261" t="s">
        <v>30</v>
      </c>
      <c r="C86" s="330"/>
      <c r="D86" s="330"/>
      <c r="E86" s="330"/>
      <c r="F86" s="330">
        <f>SUM(F72:F85)</f>
        <v>900700</v>
      </c>
      <c r="G86" s="330"/>
      <c r="H86" s="330">
        <f>SUM(H72:H85)</f>
        <v>321119</v>
      </c>
      <c r="I86" s="330"/>
      <c r="J86" s="330">
        <f>SUM(J72:J85)</f>
        <v>321119</v>
      </c>
      <c r="K86" s="330"/>
      <c r="L86" s="330">
        <f>SUM(L72:L85)</f>
        <v>0</v>
      </c>
      <c r="M86" s="330"/>
      <c r="N86" s="330"/>
      <c r="O86" s="330"/>
      <c r="P86" s="330">
        <f>SUM(P72:P85)</f>
        <v>0</v>
      </c>
      <c r="Q86" s="264"/>
      <c r="R86" s="5"/>
    </row>
    <row r="87" spans="1:18" ht="15.6" x14ac:dyDescent="0.3">
      <c r="A87" s="183"/>
      <c r="B87" s="257"/>
      <c r="C87" s="302"/>
      <c r="D87" s="302"/>
      <c r="E87" s="302"/>
      <c r="F87" s="302"/>
      <c r="G87" s="302"/>
      <c r="H87" s="302"/>
      <c r="I87" s="302"/>
      <c r="J87" s="302"/>
      <c r="K87" s="302"/>
      <c r="L87" s="302"/>
      <c r="M87" s="302"/>
      <c r="N87" s="302"/>
      <c r="O87" s="302"/>
      <c r="P87" s="302"/>
      <c r="Q87" s="409"/>
      <c r="R87" s="5"/>
    </row>
    <row r="88" spans="1:18" ht="15.6" x14ac:dyDescent="0.3">
      <c r="A88" s="183"/>
      <c r="B88" s="236"/>
      <c r="C88" s="236"/>
      <c r="D88" s="236"/>
      <c r="E88" s="236"/>
      <c r="F88" s="236"/>
      <c r="G88" s="236"/>
      <c r="H88" s="236"/>
      <c r="I88" s="236"/>
      <c r="J88" s="236"/>
      <c r="K88" s="236"/>
      <c r="L88" s="236"/>
      <c r="M88" s="236"/>
      <c r="N88" s="236"/>
      <c r="O88" s="236"/>
      <c r="P88" s="236"/>
      <c r="Q88" s="409"/>
      <c r="R88" s="5"/>
    </row>
    <row r="89" spans="1:18" ht="15.6" x14ac:dyDescent="0.3">
      <c r="A89" s="251"/>
      <c r="B89" s="393" t="s">
        <v>31</v>
      </c>
      <c r="C89" s="393"/>
      <c r="D89" s="393"/>
      <c r="E89" s="393"/>
      <c r="F89" s="394" t="s">
        <v>106</v>
      </c>
      <c r="G89" s="395"/>
      <c r="H89" s="396">
        <f>+N188</f>
        <v>42947</v>
      </c>
      <c r="I89" s="395"/>
      <c r="J89" s="395"/>
      <c r="K89" s="395"/>
      <c r="L89" s="395"/>
      <c r="M89" s="395"/>
      <c r="N89" s="395" t="s">
        <v>119</v>
      </c>
      <c r="O89" s="395"/>
      <c r="P89" s="395" t="s">
        <v>128</v>
      </c>
      <c r="Q89" s="407"/>
      <c r="R89" s="5"/>
    </row>
    <row r="90" spans="1:18" ht="15.6" x14ac:dyDescent="0.3">
      <c r="A90" s="260"/>
      <c r="B90" s="261" t="s">
        <v>32</v>
      </c>
      <c r="C90" s="261"/>
      <c r="D90" s="261"/>
      <c r="E90" s="261"/>
      <c r="F90" s="261"/>
      <c r="G90" s="261"/>
      <c r="H90" s="261"/>
      <c r="I90" s="261"/>
      <c r="J90" s="261"/>
      <c r="K90" s="261"/>
      <c r="L90" s="261"/>
      <c r="M90" s="261"/>
      <c r="N90" s="330">
        <v>0</v>
      </c>
      <c r="O90" s="261"/>
      <c r="P90" s="331">
        <v>0</v>
      </c>
      <c r="Q90" s="264"/>
      <c r="R90" s="5"/>
    </row>
    <row r="91" spans="1:18" ht="15.6" x14ac:dyDescent="0.3">
      <c r="A91" s="260"/>
      <c r="B91" s="261" t="s">
        <v>33</v>
      </c>
      <c r="C91" s="261"/>
      <c r="D91" s="261"/>
      <c r="E91" s="261"/>
      <c r="F91" s="292" t="s">
        <v>253</v>
      </c>
      <c r="G91" s="332"/>
      <c r="H91" s="333" t="s">
        <v>253</v>
      </c>
      <c r="I91" s="261"/>
      <c r="J91" s="261"/>
      <c r="K91" s="261"/>
      <c r="L91" s="261"/>
      <c r="M91" s="261"/>
      <c r="N91" s="330">
        <f>321119+58</f>
        <v>321177</v>
      </c>
      <c r="O91" s="261"/>
      <c r="P91" s="331"/>
      <c r="Q91" s="264"/>
      <c r="R91" s="5"/>
    </row>
    <row r="92" spans="1:18" ht="15.6" x14ac:dyDescent="0.3">
      <c r="A92" s="260"/>
      <c r="B92" s="261" t="s">
        <v>248</v>
      </c>
      <c r="C92" s="261"/>
      <c r="D92" s="261"/>
      <c r="E92" s="261"/>
      <c r="F92" s="292"/>
      <c r="G92" s="332"/>
      <c r="H92" s="333"/>
      <c r="I92" s="261"/>
      <c r="J92" s="261"/>
      <c r="K92" s="261"/>
      <c r="L92" s="261"/>
      <c r="M92" s="261"/>
      <c r="N92" s="330"/>
      <c r="O92" s="261"/>
      <c r="P92" s="331">
        <f>2393+88-825-29</f>
        <v>1627</v>
      </c>
      <c r="Q92" s="264"/>
      <c r="R92" s="5"/>
    </row>
    <row r="93" spans="1:18" ht="15.6" x14ac:dyDescent="0.3">
      <c r="A93" s="260"/>
      <c r="B93" s="261" t="s">
        <v>249</v>
      </c>
      <c r="C93" s="261"/>
      <c r="D93" s="261"/>
      <c r="E93" s="261"/>
      <c r="F93" s="292"/>
      <c r="G93" s="332"/>
      <c r="H93" s="333"/>
      <c r="I93" s="261"/>
      <c r="J93" s="261"/>
      <c r="K93" s="261"/>
      <c r="L93" s="261"/>
      <c r="M93" s="261"/>
      <c r="N93" s="330"/>
      <c r="O93" s="261"/>
      <c r="P93" s="331">
        <v>35</v>
      </c>
      <c r="Q93" s="264"/>
      <c r="R93" s="5"/>
    </row>
    <row r="94" spans="1:18" ht="15.6" x14ac:dyDescent="0.3">
      <c r="A94" s="260"/>
      <c r="B94" s="261" t="s">
        <v>250</v>
      </c>
      <c r="C94" s="261"/>
      <c r="D94" s="261"/>
      <c r="E94" s="261"/>
      <c r="F94" s="292"/>
      <c r="G94" s="332"/>
      <c r="H94" s="333"/>
      <c r="I94" s="261"/>
      <c r="J94" s="261"/>
      <c r="K94" s="261"/>
      <c r="L94" s="261"/>
      <c r="M94" s="261"/>
      <c r="N94" s="330"/>
      <c r="O94" s="261"/>
      <c r="P94" s="331">
        <v>15</v>
      </c>
      <c r="Q94" s="264"/>
      <c r="R94" s="5"/>
    </row>
    <row r="95" spans="1:18" ht="15.6" x14ac:dyDescent="0.3">
      <c r="A95" s="260"/>
      <c r="B95" s="261" t="s">
        <v>259</v>
      </c>
      <c r="C95" s="261"/>
      <c r="D95" s="261"/>
      <c r="E95" s="261"/>
      <c r="F95" s="292"/>
      <c r="G95" s="332"/>
      <c r="H95" s="333"/>
      <c r="I95" s="261"/>
      <c r="J95" s="261"/>
      <c r="K95" s="261"/>
      <c r="L95" s="261"/>
      <c r="M95" s="261"/>
      <c r="N95" s="330"/>
      <c r="O95" s="261"/>
      <c r="P95" s="331">
        <v>0</v>
      </c>
      <c r="Q95" s="264"/>
      <c r="R95" s="5"/>
    </row>
    <row r="96" spans="1:18" ht="15.6" x14ac:dyDescent="0.3">
      <c r="A96" s="260"/>
      <c r="B96" s="261" t="s">
        <v>160</v>
      </c>
      <c r="C96" s="261"/>
      <c r="D96" s="261"/>
      <c r="E96" s="261"/>
      <c r="F96" s="261"/>
      <c r="G96" s="261"/>
      <c r="H96" s="261"/>
      <c r="I96" s="261"/>
      <c r="J96" s="261"/>
      <c r="K96" s="261"/>
      <c r="L96" s="261"/>
      <c r="M96" s="261"/>
      <c r="N96" s="330"/>
      <c r="O96" s="261"/>
      <c r="P96" s="331">
        <v>0</v>
      </c>
      <c r="Q96" s="264"/>
      <c r="R96" s="5"/>
    </row>
    <row r="97" spans="1:19" ht="15.6" x14ac:dyDescent="0.3">
      <c r="A97" s="260"/>
      <c r="B97" s="261" t="s">
        <v>192</v>
      </c>
      <c r="C97" s="261"/>
      <c r="D97" s="261"/>
      <c r="E97" s="261"/>
      <c r="F97" s="261"/>
      <c r="G97" s="261"/>
      <c r="H97" s="261"/>
      <c r="I97" s="261"/>
      <c r="J97" s="261"/>
      <c r="K97" s="261"/>
      <c r="L97" s="261"/>
      <c r="M97" s="261"/>
      <c r="N97" s="330"/>
      <c r="O97" s="261"/>
      <c r="P97" s="331">
        <v>142</v>
      </c>
      <c r="Q97" s="264"/>
      <c r="R97" s="5"/>
    </row>
    <row r="98" spans="1:19" ht="15.6" x14ac:dyDescent="0.3">
      <c r="A98" s="260"/>
      <c r="B98" s="402" t="s">
        <v>337</v>
      </c>
      <c r="C98" s="261"/>
      <c r="D98" s="261"/>
      <c r="E98" s="261"/>
      <c r="F98" s="261"/>
      <c r="G98" s="261"/>
      <c r="H98" s="261"/>
      <c r="I98" s="261"/>
      <c r="J98" s="261"/>
      <c r="K98" s="261"/>
      <c r="L98" s="261"/>
      <c r="M98" s="261"/>
      <c r="N98" s="330"/>
      <c r="O98" s="261"/>
      <c r="P98" s="331">
        <f>-P140</f>
        <v>19815</v>
      </c>
      <c r="Q98" s="264"/>
      <c r="R98" s="5"/>
    </row>
    <row r="99" spans="1:19" ht="15.6" x14ac:dyDescent="0.3">
      <c r="A99" s="260"/>
      <c r="B99" s="261" t="s">
        <v>35</v>
      </c>
      <c r="C99" s="261"/>
      <c r="D99" s="261"/>
      <c r="E99" s="261"/>
      <c r="F99" s="261"/>
      <c r="G99" s="261"/>
      <c r="H99" s="261"/>
      <c r="I99" s="261"/>
      <c r="J99" s="261"/>
      <c r="K99" s="261"/>
      <c r="L99" s="261"/>
      <c r="M99" s="261"/>
      <c r="N99" s="330">
        <f>SUM(N90:N97)</f>
        <v>321177</v>
      </c>
      <c r="O99" s="261"/>
      <c r="P99" s="330">
        <f>SUM(P92:P98)</f>
        <v>21634</v>
      </c>
      <c r="Q99" s="264"/>
      <c r="R99" s="5"/>
    </row>
    <row r="100" spans="1:19" ht="15.6" x14ac:dyDescent="0.3">
      <c r="A100" s="260"/>
      <c r="B100" s="261" t="s">
        <v>237</v>
      </c>
      <c r="C100" s="261"/>
      <c r="D100" s="261"/>
      <c r="E100" s="261"/>
      <c r="F100" s="261"/>
      <c r="G100" s="261"/>
      <c r="H100" s="261"/>
      <c r="I100" s="261"/>
      <c r="J100" s="261"/>
      <c r="K100" s="261"/>
      <c r="L100" s="261"/>
      <c r="M100" s="261"/>
      <c r="N100" s="330">
        <v>0</v>
      </c>
      <c r="O100" s="261"/>
      <c r="P100" s="330">
        <f>-N100</f>
        <v>0</v>
      </c>
      <c r="Q100" s="264"/>
      <c r="R100" s="5"/>
    </row>
    <row r="101" spans="1:19" ht="15.6" x14ac:dyDescent="0.3">
      <c r="A101" s="260"/>
      <c r="B101" s="261" t="s">
        <v>36</v>
      </c>
      <c r="C101" s="261"/>
      <c r="D101" s="261"/>
      <c r="E101" s="261"/>
      <c r="F101" s="261"/>
      <c r="G101" s="261"/>
      <c r="H101" s="261"/>
      <c r="I101" s="261"/>
      <c r="J101" s="261"/>
      <c r="K101" s="261"/>
      <c r="L101" s="261"/>
      <c r="M101" s="261"/>
      <c r="N101" s="330">
        <f>-P101</f>
        <v>0</v>
      </c>
      <c r="O101" s="261"/>
      <c r="P101" s="331">
        <v>0</v>
      </c>
      <c r="Q101" s="264"/>
      <c r="R101" s="5"/>
    </row>
    <row r="102" spans="1:19" ht="15.6" x14ac:dyDescent="0.3">
      <c r="A102" s="260"/>
      <c r="B102" s="261" t="s">
        <v>268</v>
      </c>
      <c r="C102" s="261"/>
      <c r="D102" s="261"/>
      <c r="E102" s="261"/>
      <c r="F102" s="261"/>
      <c r="G102" s="261"/>
      <c r="H102" s="261"/>
      <c r="I102" s="261"/>
      <c r="J102" s="261"/>
      <c r="K102" s="261"/>
      <c r="L102" s="261"/>
      <c r="M102" s="261"/>
      <c r="N102" s="330"/>
      <c r="O102" s="261"/>
      <c r="P102" s="331">
        <v>0</v>
      </c>
      <c r="Q102" s="264"/>
      <c r="R102" s="5"/>
    </row>
    <row r="103" spans="1:19" ht="15.6" x14ac:dyDescent="0.3">
      <c r="A103" s="260"/>
      <c r="B103" s="261" t="s">
        <v>37</v>
      </c>
      <c r="C103" s="261"/>
      <c r="D103" s="261"/>
      <c r="E103" s="261"/>
      <c r="F103" s="261"/>
      <c r="G103" s="261"/>
      <c r="H103" s="261"/>
      <c r="I103" s="261"/>
      <c r="J103" s="261"/>
      <c r="K103" s="261"/>
      <c r="L103" s="261"/>
      <c r="M103" s="261"/>
      <c r="N103" s="330">
        <f>N99+N101+N100</f>
        <v>321177</v>
      </c>
      <c r="O103" s="261"/>
      <c r="P103" s="330">
        <f>P99+P101+P100+P102</f>
        <v>21634</v>
      </c>
      <c r="Q103" s="264"/>
      <c r="R103" s="5"/>
      <c r="S103" s="154"/>
    </row>
    <row r="104" spans="1:19" ht="15.6" x14ac:dyDescent="0.3">
      <c r="A104" s="260"/>
      <c r="B104" s="334" t="s">
        <v>38</v>
      </c>
      <c r="C104" s="335"/>
      <c r="D104" s="335"/>
      <c r="E104" s="335"/>
      <c r="F104" s="335"/>
      <c r="G104" s="335"/>
      <c r="H104" s="335"/>
      <c r="I104" s="335"/>
      <c r="J104" s="335"/>
      <c r="K104" s="335"/>
      <c r="L104" s="335"/>
      <c r="M104" s="335"/>
      <c r="N104" s="336"/>
      <c r="O104" s="335"/>
      <c r="P104" s="337"/>
      <c r="Q104" s="338"/>
      <c r="R104" s="5"/>
    </row>
    <row r="105" spans="1:19" ht="15.6" x14ac:dyDescent="0.3">
      <c r="A105" s="339">
        <v>1</v>
      </c>
      <c r="B105" s="261" t="s">
        <v>39</v>
      </c>
      <c r="C105" s="261"/>
      <c r="D105" s="261"/>
      <c r="E105" s="261"/>
      <c r="F105" s="261"/>
      <c r="G105" s="261"/>
      <c r="H105" s="261"/>
      <c r="I105" s="261"/>
      <c r="J105" s="261"/>
      <c r="K105" s="261"/>
      <c r="L105" s="261"/>
      <c r="M105" s="261"/>
      <c r="N105" s="261"/>
      <c r="O105" s="261"/>
      <c r="P105" s="331">
        <v>0</v>
      </c>
      <c r="Q105" s="264"/>
      <c r="R105" s="5"/>
    </row>
    <row r="106" spans="1:19" ht="15.6" x14ac:dyDescent="0.3">
      <c r="A106" s="339">
        <f>+A105+1</f>
        <v>2</v>
      </c>
      <c r="B106" s="261" t="s">
        <v>304</v>
      </c>
      <c r="C106" s="261"/>
      <c r="D106" s="261"/>
      <c r="E106" s="261"/>
      <c r="F106" s="261"/>
      <c r="G106" s="261"/>
      <c r="H106" s="261"/>
      <c r="I106" s="261"/>
      <c r="J106" s="261"/>
      <c r="K106" s="261"/>
      <c r="L106" s="261"/>
      <c r="M106" s="261"/>
      <c r="N106" s="261"/>
      <c r="O106" s="261"/>
      <c r="P106" s="331">
        <v>-2</v>
      </c>
      <c r="Q106" s="264"/>
      <c r="R106" s="5"/>
    </row>
    <row r="107" spans="1:19" ht="15.6" x14ac:dyDescent="0.3">
      <c r="A107" s="339">
        <f>+A106+1</f>
        <v>3</v>
      </c>
      <c r="B107" s="261" t="s">
        <v>306</v>
      </c>
      <c r="C107" s="261"/>
      <c r="D107" s="261"/>
      <c r="E107" s="261"/>
      <c r="F107" s="261"/>
      <c r="G107" s="261"/>
      <c r="H107" s="261"/>
      <c r="I107" s="261"/>
      <c r="J107" s="261"/>
      <c r="K107" s="261"/>
      <c r="L107" s="261"/>
      <c r="M107" s="261"/>
      <c r="N107" s="261"/>
      <c r="O107" s="261"/>
      <c r="P107" s="331">
        <f>-82-36-5</f>
        <v>-123</v>
      </c>
      <c r="Q107" s="264"/>
      <c r="R107" s="5"/>
    </row>
    <row r="108" spans="1:19" ht="15.6" x14ac:dyDescent="0.3">
      <c r="A108" s="339" t="s">
        <v>151</v>
      </c>
      <c r="B108" s="261" t="s">
        <v>131</v>
      </c>
      <c r="C108" s="261"/>
      <c r="D108" s="261"/>
      <c r="E108" s="261"/>
      <c r="F108" s="261"/>
      <c r="G108" s="261"/>
      <c r="H108" s="261"/>
      <c r="I108" s="261"/>
      <c r="J108" s="261"/>
      <c r="K108" s="261"/>
      <c r="L108" s="261"/>
      <c r="M108" s="261"/>
      <c r="N108" s="261"/>
      <c r="O108" s="261"/>
      <c r="P108" s="331">
        <v>0</v>
      </c>
      <c r="Q108" s="264"/>
      <c r="R108" s="5"/>
    </row>
    <row r="109" spans="1:19" ht="15.6" x14ac:dyDescent="0.3">
      <c r="A109" s="339" t="s">
        <v>152</v>
      </c>
      <c r="B109" s="261" t="s">
        <v>195</v>
      </c>
      <c r="C109" s="261"/>
      <c r="D109" s="261"/>
      <c r="E109" s="261"/>
      <c r="F109" s="261"/>
      <c r="G109" s="261"/>
      <c r="H109" s="261"/>
      <c r="I109" s="261"/>
      <c r="J109" s="261"/>
      <c r="K109" s="261"/>
      <c r="L109" s="261"/>
      <c r="M109" s="261"/>
      <c r="N109" s="261"/>
      <c r="O109" s="261"/>
      <c r="P109" s="331">
        <v>-187</v>
      </c>
      <c r="Q109" s="264"/>
      <c r="R109" s="5"/>
      <c r="S109" s="109"/>
    </row>
    <row r="110" spans="1:19" ht="15.6" x14ac:dyDescent="0.3">
      <c r="A110" s="339" t="s">
        <v>217</v>
      </c>
      <c r="B110" s="261" t="s">
        <v>196</v>
      </c>
      <c r="C110" s="261"/>
      <c r="D110" s="261"/>
      <c r="E110" s="261"/>
      <c r="F110" s="261"/>
      <c r="G110" s="261"/>
      <c r="H110" s="261"/>
      <c r="I110" s="261"/>
      <c r="J110" s="261"/>
      <c r="K110" s="261"/>
      <c r="L110" s="261"/>
      <c r="M110" s="261"/>
      <c r="N110" s="261"/>
      <c r="O110" s="261"/>
      <c r="P110" s="331">
        <v>-129</v>
      </c>
      <c r="Q110" s="264"/>
      <c r="R110" s="5"/>
      <c r="S110" s="109"/>
    </row>
    <row r="111" spans="1:19" ht="15.6" x14ac:dyDescent="0.3">
      <c r="A111" s="339" t="s">
        <v>218</v>
      </c>
      <c r="B111" s="261" t="s">
        <v>197</v>
      </c>
      <c r="C111" s="261"/>
      <c r="D111" s="261"/>
      <c r="E111" s="261"/>
      <c r="F111" s="261"/>
      <c r="G111" s="261"/>
      <c r="H111" s="261"/>
      <c r="I111" s="261"/>
      <c r="J111" s="261"/>
      <c r="K111" s="261"/>
      <c r="L111" s="261"/>
      <c r="M111" s="261"/>
      <c r="N111" s="261"/>
      <c r="O111" s="261"/>
      <c r="P111" s="331">
        <v>-243</v>
      </c>
      <c r="Q111" s="264"/>
      <c r="R111" s="5"/>
      <c r="S111" s="109"/>
    </row>
    <row r="112" spans="1:19" ht="15.6" x14ac:dyDescent="0.3">
      <c r="A112" s="339" t="s">
        <v>147</v>
      </c>
      <c r="B112" s="261" t="s">
        <v>146</v>
      </c>
      <c r="C112" s="261"/>
      <c r="D112" s="261"/>
      <c r="E112" s="261"/>
      <c r="F112" s="261"/>
      <c r="G112" s="261"/>
      <c r="H112" s="261"/>
      <c r="I112" s="261"/>
      <c r="J112" s="261"/>
      <c r="K112" s="261"/>
      <c r="L112" s="261"/>
      <c r="M112" s="261"/>
      <c r="N112" s="261"/>
      <c r="O112" s="261"/>
      <c r="P112" s="331">
        <v>-179</v>
      </c>
      <c r="Q112" s="264"/>
      <c r="R112" s="5"/>
      <c r="S112" s="109"/>
    </row>
    <row r="113" spans="1:19" ht="15.6" x14ac:dyDescent="0.3">
      <c r="A113" s="339" t="s">
        <v>148</v>
      </c>
      <c r="B113" s="261" t="s">
        <v>198</v>
      </c>
      <c r="C113" s="261"/>
      <c r="D113" s="261"/>
      <c r="E113" s="261"/>
      <c r="F113" s="261"/>
      <c r="G113" s="261"/>
      <c r="H113" s="261"/>
      <c r="I113" s="261"/>
      <c r="J113" s="261"/>
      <c r="K113" s="261"/>
      <c r="L113" s="261"/>
      <c r="M113" s="261"/>
      <c r="N113" s="261"/>
      <c r="O113" s="261"/>
      <c r="P113" s="331">
        <v>-170</v>
      </c>
      <c r="Q113" s="264"/>
      <c r="R113" s="5"/>
      <c r="S113" s="109"/>
    </row>
    <row r="114" spans="1:19" ht="15.6" x14ac:dyDescent="0.3">
      <c r="A114" s="339">
        <v>6</v>
      </c>
      <c r="B114" s="261" t="s">
        <v>305</v>
      </c>
      <c r="C114" s="261"/>
      <c r="D114" s="261"/>
      <c r="E114" s="261"/>
      <c r="F114" s="261"/>
      <c r="G114" s="261"/>
      <c r="H114" s="261"/>
      <c r="I114" s="261"/>
      <c r="J114" s="261"/>
      <c r="K114" s="261"/>
      <c r="L114" s="261"/>
      <c r="M114" s="261"/>
      <c r="N114" s="261"/>
      <c r="O114" s="261"/>
      <c r="P114" s="331">
        <v>0</v>
      </c>
      <c r="Q114" s="264"/>
      <c r="R114" s="5"/>
      <c r="S114" s="109"/>
    </row>
    <row r="115" spans="1:19" ht="15.6" x14ac:dyDescent="0.3">
      <c r="A115" s="339">
        <v>7</v>
      </c>
      <c r="B115" s="261" t="s">
        <v>41</v>
      </c>
      <c r="C115" s="261"/>
      <c r="D115" s="261"/>
      <c r="E115" s="261"/>
      <c r="F115" s="261"/>
      <c r="G115" s="261"/>
      <c r="H115" s="261"/>
      <c r="I115" s="261"/>
      <c r="J115" s="261"/>
      <c r="K115" s="261"/>
      <c r="L115" s="261"/>
      <c r="M115" s="261"/>
      <c r="N115" s="261"/>
      <c r="O115" s="261"/>
      <c r="P115" s="331">
        <v>-8</v>
      </c>
      <c r="Q115" s="264"/>
      <c r="R115" s="5"/>
    </row>
    <row r="116" spans="1:19" ht="15.6" x14ac:dyDescent="0.3">
      <c r="A116" s="339">
        <f t="shared" ref="A116:A121" si="0">+A115+1</f>
        <v>8</v>
      </c>
      <c r="B116" s="261" t="s">
        <v>53</v>
      </c>
      <c r="C116" s="261"/>
      <c r="D116" s="261"/>
      <c r="E116" s="261"/>
      <c r="F116" s="261"/>
      <c r="G116" s="261"/>
      <c r="H116" s="261"/>
      <c r="I116" s="261"/>
      <c r="J116" s="261"/>
      <c r="K116" s="261"/>
      <c r="L116" s="261"/>
      <c r="M116" s="261"/>
      <c r="N116" s="330">
        <f>-P116</f>
        <v>-58</v>
      </c>
      <c r="O116" s="261"/>
      <c r="P116" s="331">
        <v>58</v>
      </c>
      <c r="Q116" s="264"/>
      <c r="R116" s="5"/>
    </row>
    <row r="117" spans="1:19" ht="15.6" x14ac:dyDescent="0.3">
      <c r="A117" s="339">
        <f t="shared" si="0"/>
        <v>9</v>
      </c>
      <c r="B117" s="261" t="s">
        <v>149</v>
      </c>
      <c r="C117" s="261"/>
      <c r="D117" s="261"/>
      <c r="E117" s="261"/>
      <c r="F117" s="261"/>
      <c r="G117" s="261"/>
      <c r="H117" s="261"/>
      <c r="I117" s="261"/>
      <c r="J117" s="261"/>
      <c r="K117" s="261"/>
      <c r="L117" s="261"/>
      <c r="M117" s="261"/>
      <c r="N117" s="261"/>
      <c r="O117" s="261"/>
      <c r="P117" s="331">
        <v>0</v>
      </c>
      <c r="Q117" s="264"/>
      <c r="R117" s="5"/>
    </row>
    <row r="118" spans="1:19" ht="15.6" x14ac:dyDescent="0.3">
      <c r="A118" s="339">
        <f t="shared" si="0"/>
        <v>10</v>
      </c>
      <c r="B118" s="261" t="s">
        <v>42</v>
      </c>
      <c r="C118" s="261"/>
      <c r="D118" s="261"/>
      <c r="E118" s="261"/>
      <c r="F118" s="261"/>
      <c r="G118" s="261"/>
      <c r="H118" s="261"/>
      <c r="I118" s="261"/>
      <c r="J118" s="261"/>
      <c r="K118" s="261"/>
      <c r="L118" s="261"/>
      <c r="M118" s="261"/>
      <c r="N118" s="261"/>
      <c r="O118" s="261"/>
      <c r="P118" s="331">
        <v>0</v>
      </c>
      <c r="Q118" s="264"/>
      <c r="R118" s="5"/>
    </row>
    <row r="119" spans="1:19" ht="15.6" x14ac:dyDescent="0.3">
      <c r="A119" s="339">
        <f t="shared" si="0"/>
        <v>11</v>
      </c>
      <c r="B119" s="261" t="s">
        <v>43</v>
      </c>
      <c r="C119" s="261"/>
      <c r="D119" s="261"/>
      <c r="E119" s="261"/>
      <c r="F119" s="261"/>
      <c r="G119" s="261"/>
      <c r="H119" s="261"/>
      <c r="I119" s="261"/>
      <c r="J119" s="261"/>
      <c r="K119" s="261"/>
      <c r="L119" s="261"/>
      <c r="M119" s="261"/>
      <c r="N119" s="261"/>
      <c r="O119" s="261"/>
      <c r="P119" s="331">
        <v>0</v>
      </c>
      <c r="Q119" s="264"/>
      <c r="R119" s="5"/>
    </row>
    <row r="120" spans="1:19" ht="15.6" x14ac:dyDescent="0.3">
      <c r="A120" s="339">
        <f t="shared" si="0"/>
        <v>12</v>
      </c>
      <c r="B120" s="261" t="s">
        <v>215</v>
      </c>
      <c r="C120" s="261"/>
      <c r="D120" s="261"/>
      <c r="E120" s="261"/>
      <c r="F120" s="261"/>
      <c r="G120" s="261"/>
      <c r="H120" s="261"/>
      <c r="I120" s="261"/>
      <c r="J120" s="261"/>
      <c r="K120" s="261"/>
      <c r="L120" s="261"/>
      <c r="M120" s="261"/>
      <c r="N120" s="261"/>
      <c r="O120" s="261"/>
      <c r="P120" s="331">
        <v>-166</v>
      </c>
      <c r="Q120" s="264"/>
      <c r="R120" s="5"/>
    </row>
    <row r="121" spans="1:19" ht="15.6" x14ac:dyDescent="0.3">
      <c r="A121" s="339">
        <f t="shared" si="0"/>
        <v>13</v>
      </c>
      <c r="B121" s="261" t="s">
        <v>150</v>
      </c>
      <c r="C121" s="261"/>
      <c r="D121" s="261"/>
      <c r="E121" s="261"/>
      <c r="F121" s="261"/>
      <c r="G121" s="261"/>
      <c r="H121" s="261"/>
      <c r="I121" s="261"/>
      <c r="J121" s="261"/>
      <c r="K121" s="261"/>
      <c r="L121" s="261"/>
      <c r="M121" s="261"/>
      <c r="N121" s="261"/>
      <c r="O121" s="261"/>
      <c r="P121" s="331">
        <f>-P103-SUM(P105:P120)</f>
        <v>-20485</v>
      </c>
      <c r="Q121" s="264"/>
      <c r="R121" s="5"/>
    </row>
    <row r="122" spans="1:19" ht="15.6" x14ac:dyDescent="0.3">
      <c r="A122" s="260"/>
      <c r="B122" s="334" t="s">
        <v>44</v>
      </c>
      <c r="C122" s="335"/>
      <c r="D122" s="335"/>
      <c r="E122" s="335"/>
      <c r="F122" s="335"/>
      <c r="G122" s="335"/>
      <c r="H122" s="335"/>
      <c r="I122" s="335"/>
      <c r="J122" s="335"/>
      <c r="K122" s="335"/>
      <c r="L122" s="335"/>
      <c r="M122" s="335"/>
      <c r="N122" s="335"/>
      <c r="O122" s="335"/>
      <c r="P122" s="340"/>
      <c r="Q122" s="338"/>
      <c r="R122" s="5"/>
    </row>
    <row r="123" spans="1:19" ht="15.6" x14ac:dyDescent="0.3">
      <c r="A123" s="339"/>
      <c r="B123" s="261" t="s">
        <v>45</v>
      </c>
      <c r="C123" s="261"/>
      <c r="D123" s="261"/>
      <c r="E123" s="261"/>
      <c r="F123" s="261"/>
      <c r="G123" s="261"/>
      <c r="H123" s="261"/>
      <c r="I123" s="261"/>
      <c r="J123" s="261"/>
      <c r="K123" s="261"/>
      <c r="L123" s="261"/>
      <c r="M123" s="261"/>
      <c r="N123" s="330">
        <v>0</v>
      </c>
      <c r="O123" s="330"/>
      <c r="P123" s="331"/>
      <c r="Q123" s="264"/>
      <c r="R123" s="5"/>
    </row>
    <row r="124" spans="1:19" ht="15.6" x14ac:dyDescent="0.3">
      <c r="A124" s="339"/>
      <c r="B124" s="261" t="s">
        <v>46</v>
      </c>
      <c r="C124" s="261"/>
      <c r="D124" s="261"/>
      <c r="E124" s="261"/>
      <c r="F124" s="261"/>
      <c r="G124" s="261"/>
      <c r="H124" s="261"/>
      <c r="I124" s="261"/>
      <c r="J124" s="261"/>
      <c r="K124" s="261"/>
      <c r="L124" s="261"/>
      <c r="M124" s="261"/>
      <c r="N124" s="330">
        <f>-M174</f>
        <v>0</v>
      </c>
      <c r="O124" s="330"/>
      <c r="P124" s="331"/>
      <c r="Q124" s="264"/>
      <c r="R124" s="5"/>
    </row>
    <row r="125" spans="1:19" ht="15.6" x14ac:dyDescent="0.3">
      <c r="A125" s="339"/>
      <c r="B125" s="261" t="s">
        <v>199</v>
      </c>
      <c r="C125" s="261"/>
      <c r="D125" s="261"/>
      <c r="E125" s="261"/>
      <c r="F125" s="261"/>
      <c r="G125" s="261"/>
      <c r="H125" s="261"/>
      <c r="I125" s="261"/>
      <c r="J125" s="261"/>
      <c r="K125" s="261"/>
      <c r="L125" s="261"/>
      <c r="M125" s="261"/>
      <c r="N125" s="330">
        <v>-80144</v>
      </c>
      <c r="O125" s="330"/>
      <c r="P125" s="331"/>
      <c r="Q125" s="264"/>
      <c r="R125" s="5"/>
    </row>
    <row r="126" spans="1:19" ht="15.6" x14ac:dyDescent="0.3">
      <c r="A126" s="339"/>
      <c r="B126" s="261" t="s">
        <v>200</v>
      </c>
      <c r="C126" s="261"/>
      <c r="D126" s="261"/>
      <c r="E126" s="261"/>
      <c r="F126" s="261"/>
      <c r="G126" s="261"/>
      <c r="H126" s="261"/>
      <c r="I126" s="261"/>
      <c r="J126" s="261"/>
      <c r="K126" s="261"/>
      <c r="L126" s="261"/>
      <c r="M126" s="261"/>
      <c r="N126" s="330">
        <v>-69684</v>
      </c>
      <c r="O126" s="330"/>
      <c r="P126" s="331"/>
      <c r="Q126" s="264"/>
      <c r="R126" s="5"/>
    </row>
    <row r="127" spans="1:19" ht="15.6" x14ac:dyDescent="0.3">
      <c r="A127" s="339"/>
      <c r="B127" s="261" t="s">
        <v>201</v>
      </c>
      <c r="C127" s="261"/>
      <c r="D127" s="261"/>
      <c r="E127" s="261"/>
      <c r="F127" s="261"/>
      <c r="G127" s="261"/>
      <c r="H127" s="261"/>
      <c r="I127" s="261"/>
      <c r="J127" s="261"/>
      <c r="K127" s="261"/>
      <c r="L127" s="261"/>
      <c r="M127" s="261"/>
      <c r="N127" s="330">
        <v>-106939</v>
      </c>
      <c r="O127" s="330"/>
      <c r="P127" s="331"/>
      <c r="Q127" s="264"/>
      <c r="R127" s="5"/>
    </row>
    <row r="128" spans="1:19" ht="15.6" x14ac:dyDescent="0.3">
      <c r="A128" s="339"/>
      <c r="B128" s="261" t="s">
        <v>159</v>
      </c>
      <c r="C128" s="261"/>
      <c r="D128" s="261"/>
      <c r="E128" s="261"/>
      <c r="F128" s="261"/>
      <c r="G128" s="261"/>
      <c r="H128" s="261"/>
      <c r="I128" s="261"/>
      <c r="J128" s="261"/>
      <c r="K128" s="261"/>
      <c r="L128" s="261"/>
      <c r="M128" s="261"/>
      <c r="N128" s="330">
        <v>-33067</v>
      </c>
      <c r="O128" s="330"/>
      <c r="P128" s="331"/>
      <c r="Q128" s="264"/>
      <c r="R128" s="5"/>
    </row>
    <row r="129" spans="1:18" ht="15.6" x14ac:dyDescent="0.3">
      <c r="A129" s="339"/>
      <c r="B129" s="261" t="s">
        <v>214</v>
      </c>
      <c r="C129" s="261"/>
      <c r="D129" s="261"/>
      <c r="E129" s="261"/>
      <c r="F129" s="261"/>
      <c r="G129" s="261"/>
      <c r="H129" s="261"/>
      <c r="I129" s="261"/>
      <c r="J129" s="261"/>
      <c r="K129" s="261"/>
      <c r="L129" s="261"/>
      <c r="M129" s="261"/>
      <c r="N129" s="330">
        <v>-31285</v>
      </c>
      <c r="O129" s="330"/>
      <c r="P129" s="331"/>
      <c r="Q129" s="264"/>
      <c r="R129" s="5"/>
    </row>
    <row r="130" spans="1:18" ht="15.6" x14ac:dyDescent="0.3">
      <c r="A130" s="339"/>
      <c r="B130" s="261" t="s">
        <v>47</v>
      </c>
      <c r="C130" s="261"/>
      <c r="D130" s="261"/>
      <c r="E130" s="261"/>
      <c r="F130" s="261"/>
      <c r="G130" s="261"/>
      <c r="H130" s="261"/>
      <c r="I130" s="261"/>
      <c r="J130" s="261"/>
      <c r="K130" s="261"/>
      <c r="L130" s="261"/>
      <c r="M130" s="261"/>
      <c r="N130" s="330">
        <f>SUM(N123:N129)</f>
        <v>-321119</v>
      </c>
      <c r="O130" s="330"/>
      <c r="P130" s="330">
        <f>SUM(P104:P129)</f>
        <v>-21634</v>
      </c>
      <c r="Q130" s="264"/>
      <c r="R130" s="5"/>
    </row>
    <row r="131" spans="1:18" ht="15.6" x14ac:dyDescent="0.3">
      <c r="A131" s="339"/>
      <c r="B131" s="261" t="s">
        <v>48</v>
      </c>
      <c r="C131" s="261"/>
      <c r="D131" s="261"/>
      <c r="E131" s="261"/>
      <c r="F131" s="261"/>
      <c r="G131" s="261"/>
      <c r="H131" s="261"/>
      <c r="I131" s="261"/>
      <c r="J131" s="261"/>
      <c r="K131" s="261"/>
      <c r="L131" s="261"/>
      <c r="M131" s="261"/>
      <c r="N131" s="330">
        <f>N103+N130+N116</f>
        <v>0</v>
      </c>
      <c r="O131" s="330"/>
      <c r="P131" s="330">
        <f>P103+P130</f>
        <v>0</v>
      </c>
      <c r="Q131" s="264"/>
      <c r="R131" s="5"/>
    </row>
    <row r="132" spans="1:18" ht="15.6" x14ac:dyDescent="0.3">
      <c r="A132" s="301"/>
      <c r="B132" s="257"/>
      <c r="C132" s="257"/>
      <c r="D132" s="257"/>
      <c r="E132" s="257"/>
      <c r="F132" s="257"/>
      <c r="G132" s="257"/>
      <c r="H132" s="257"/>
      <c r="I132" s="257"/>
      <c r="J132" s="257"/>
      <c r="K132" s="257"/>
      <c r="L132" s="257"/>
      <c r="M132" s="257"/>
      <c r="N132" s="302"/>
      <c r="O132" s="302"/>
      <c r="P132" s="302"/>
      <c r="Q132" s="409"/>
      <c r="R132" s="5"/>
    </row>
    <row r="133" spans="1:18" ht="15.6" x14ac:dyDescent="0.3">
      <c r="A133" s="301"/>
      <c r="B133" s="257"/>
      <c r="C133" s="257"/>
      <c r="D133" s="257"/>
      <c r="E133" s="257"/>
      <c r="F133" s="257"/>
      <c r="G133" s="257"/>
      <c r="H133" s="257"/>
      <c r="I133" s="257"/>
      <c r="J133" s="257"/>
      <c r="K133" s="257"/>
      <c r="L133" s="257"/>
      <c r="M133" s="257"/>
      <c r="N133" s="302"/>
      <c r="O133" s="302"/>
      <c r="P133" s="302"/>
      <c r="Q133" s="409"/>
      <c r="R133" s="5"/>
    </row>
    <row r="134" spans="1:18" ht="18" thickBot="1" x14ac:dyDescent="0.35">
      <c r="A134" s="303"/>
      <c r="B134" s="239" t="str">
        <f>B65</f>
        <v>PM7 INVESTOR REPORT QUARTER ENDING JULY 2017</v>
      </c>
      <c r="C134" s="240"/>
      <c r="D134" s="240"/>
      <c r="E134" s="240"/>
      <c r="F134" s="240"/>
      <c r="G134" s="240"/>
      <c r="H134" s="240"/>
      <c r="I134" s="240"/>
      <c r="J134" s="240"/>
      <c r="K134" s="240"/>
      <c r="L134" s="240"/>
      <c r="M134" s="240"/>
      <c r="N134" s="240"/>
      <c r="O134" s="240"/>
      <c r="P134" s="304"/>
      <c r="Q134" s="242"/>
      <c r="R134" s="5"/>
    </row>
    <row r="135" spans="1:18" ht="15.6" x14ac:dyDescent="0.3">
      <c r="A135" s="323"/>
      <c r="B135" s="397" t="s">
        <v>49</v>
      </c>
      <c r="C135" s="326"/>
      <c r="D135" s="326"/>
      <c r="E135" s="326"/>
      <c r="F135" s="326"/>
      <c r="G135" s="326"/>
      <c r="H135" s="326"/>
      <c r="I135" s="326"/>
      <c r="J135" s="326"/>
      <c r="K135" s="326"/>
      <c r="L135" s="326"/>
      <c r="M135" s="326"/>
      <c r="N135" s="326"/>
      <c r="O135" s="326"/>
      <c r="P135" s="328"/>
      <c r="Q135" s="412"/>
      <c r="R135" s="5"/>
    </row>
    <row r="136" spans="1:18" ht="15.6" x14ac:dyDescent="0.3">
      <c r="A136" s="183"/>
      <c r="B136" s="196"/>
      <c r="C136" s="185"/>
      <c r="D136" s="185"/>
      <c r="E136" s="185"/>
      <c r="F136" s="185"/>
      <c r="G136" s="185"/>
      <c r="H136" s="185"/>
      <c r="I136" s="185"/>
      <c r="J136" s="185"/>
      <c r="K136" s="185"/>
      <c r="L136" s="185"/>
      <c r="M136" s="185"/>
      <c r="N136" s="185"/>
      <c r="O136" s="185"/>
      <c r="P136" s="201"/>
      <c r="Q136" s="404"/>
      <c r="R136" s="5"/>
    </row>
    <row r="137" spans="1:18" ht="15.6" x14ac:dyDescent="0.3">
      <c r="A137" s="183"/>
      <c r="B137" s="209" t="s">
        <v>50</v>
      </c>
      <c r="C137" s="185"/>
      <c r="D137" s="185"/>
      <c r="E137" s="185"/>
      <c r="F137" s="185"/>
      <c r="G137" s="185"/>
      <c r="H137" s="185"/>
      <c r="I137" s="185"/>
      <c r="J137" s="185"/>
      <c r="K137" s="185"/>
      <c r="L137" s="185"/>
      <c r="M137" s="185"/>
      <c r="N137" s="185"/>
      <c r="O137" s="185"/>
      <c r="P137" s="201"/>
      <c r="Q137" s="404"/>
      <c r="R137" s="5"/>
    </row>
    <row r="138" spans="1:18" ht="15.6" x14ac:dyDescent="0.3">
      <c r="A138" s="260"/>
      <c r="B138" s="261" t="s">
        <v>51</v>
      </c>
      <c r="C138" s="261"/>
      <c r="D138" s="261"/>
      <c r="E138" s="261"/>
      <c r="F138" s="261"/>
      <c r="G138" s="261"/>
      <c r="H138" s="261"/>
      <c r="I138" s="261"/>
      <c r="J138" s="261"/>
      <c r="K138" s="261"/>
      <c r="L138" s="261"/>
      <c r="M138" s="261"/>
      <c r="N138" s="261"/>
      <c r="O138" s="261"/>
      <c r="P138" s="331">
        <f>+P36*0.022</f>
        <v>19815.399999999998</v>
      </c>
      <c r="Q138" s="264"/>
      <c r="R138" s="5"/>
    </row>
    <row r="139" spans="1:18" ht="15.6" x14ac:dyDescent="0.3">
      <c r="A139" s="260"/>
      <c r="B139" s="261" t="s">
        <v>52</v>
      </c>
      <c r="C139" s="261"/>
      <c r="D139" s="261"/>
      <c r="E139" s="261"/>
      <c r="F139" s="261"/>
      <c r="G139" s="261"/>
      <c r="H139" s="261"/>
      <c r="I139" s="261"/>
      <c r="J139" s="261"/>
      <c r="K139" s="261"/>
      <c r="L139" s="261"/>
      <c r="M139" s="261"/>
      <c r="N139" s="261"/>
      <c r="O139" s="261"/>
      <c r="P139" s="331">
        <v>19815</v>
      </c>
      <c r="Q139" s="264"/>
      <c r="R139" s="5"/>
    </row>
    <row r="140" spans="1:18" ht="15.6" x14ac:dyDescent="0.3">
      <c r="A140" s="260"/>
      <c r="B140" s="402" t="s">
        <v>336</v>
      </c>
      <c r="C140" s="261"/>
      <c r="D140" s="261"/>
      <c r="E140" s="261"/>
      <c r="F140" s="261"/>
      <c r="G140" s="261"/>
      <c r="H140" s="261"/>
      <c r="I140" s="261"/>
      <c r="J140" s="261"/>
      <c r="K140" s="261"/>
      <c r="L140" s="261"/>
      <c r="M140" s="261"/>
      <c r="N140" s="261"/>
      <c r="O140" s="261"/>
      <c r="P140" s="331">
        <v>-19815</v>
      </c>
      <c r="Q140" s="264"/>
      <c r="R140" s="5"/>
    </row>
    <row r="141" spans="1:18" ht="15.6" x14ac:dyDescent="0.3">
      <c r="A141" s="260"/>
      <c r="B141" s="261" t="s">
        <v>161</v>
      </c>
      <c r="C141" s="261"/>
      <c r="D141" s="261"/>
      <c r="E141" s="261"/>
      <c r="F141" s="261"/>
      <c r="G141" s="261"/>
      <c r="H141" s="261"/>
      <c r="I141" s="261"/>
      <c r="J141" s="261"/>
      <c r="K141" s="261"/>
      <c r="L141" s="261"/>
      <c r="M141" s="261"/>
      <c r="N141" s="261"/>
      <c r="O141" s="261"/>
      <c r="P141" s="331">
        <v>0</v>
      </c>
      <c r="Q141" s="264"/>
      <c r="R141" s="5"/>
    </row>
    <row r="142" spans="1:18" ht="15.6" x14ac:dyDescent="0.3">
      <c r="A142" s="260"/>
      <c r="B142" s="261" t="s">
        <v>144</v>
      </c>
      <c r="C142" s="261"/>
      <c r="D142" s="261"/>
      <c r="E142" s="261"/>
      <c r="F142" s="261"/>
      <c r="G142" s="261"/>
      <c r="H142" s="261"/>
      <c r="I142" s="261"/>
      <c r="J142" s="261"/>
      <c r="K142" s="261"/>
      <c r="L142" s="261"/>
      <c r="M142" s="261"/>
      <c r="N142" s="261"/>
      <c r="O142" s="261"/>
      <c r="P142" s="331">
        <v>0</v>
      </c>
      <c r="Q142" s="264"/>
      <c r="R142" s="5"/>
    </row>
    <row r="143" spans="1:18" ht="15.6" x14ac:dyDescent="0.3">
      <c r="A143" s="260"/>
      <c r="B143" s="261" t="s">
        <v>145</v>
      </c>
      <c r="C143" s="261"/>
      <c r="D143" s="261"/>
      <c r="E143" s="261"/>
      <c r="F143" s="261"/>
      <c r="G143" s="261"/>
      <c r="H143" s="261"/>
      <c r="I143" s="261"/>
      <c r="J143" s="261"/>
      <c r="K143" s="261"/>
      <c r="L143" s="261"/>
      <c r="M143" s="261"/>
      <c r="N143" s="261"/>
      <c r="O143" s="261"/>
      <c r="P143" s="331">
        <v>0</v>
      </c>
      <c r="Q143" s="264"/>
      <c r="R143" s="5"/>
    </row>
    <row r="144" spans="1:18" ht="15.6" x14ac:dyDescent="0.3">
      <c r="A144" s="260"/>
      <c r="B144" s="261" t="s">
        <v>53</v>
      </c>
      <c r="C144" s="261"/>
      <c r="D144" s="261"/>
      <c r="E144" s="261"/>
      <c r="F144" s="261"/>
      <c r="G144" s="261"/>
      <c r="H144" s="261"/>
      <c r="I144" s="261"/>
      <c r="J144" s="261"/>
      <c r="K144" s="261"/>
      <c r="L144" s="261"/>
      <c r="M144" s="261"/>
      <c r="N144" s="261"/>
      <c r="O144" s="261"/>
      <c r="P144" s="331">
        <v>0</v>
      </c>
      <c r="Q144" s="264"/>
      <c r="R144" s="5"/>
    </row>
    <row r="145" spans="1:19" ht="15.6" x14ac:dyDescent="0.3">
      <c r="A145" s="260"/>
      <c r="B145" s="261" t="s">
        <v>153</v>
      </c>
      <c r="C145" s="261"/>
      <c r="D145" s="261"/>
      <c r="E145" s="261"/>
      <c r="F145" s="261"/>
      <c r="G145" s="261"/>
      <c r="H145" s="261"/>
      <c r="I145" s="261"/>
      <c r="J145" s="261"/>
      <c r="K145" s="261"/>
      <c r="L145" s="261"/>
      <c r="M145" s="261"/>
      <c r="N145" s="261"/>
      <c r="O145" s="261"/>
      <c r="P145" s="331">
        <v>0</v>
      </c>
      <c r="Q145" s="264"/>
      <c r="R145" s="5"/>
    </row>
    <row r="146" spans="1:19" ht="15.6" x14ac:dyDescent="0.3">
      <c r="A146" s="260"/>
      <c r="B146" s="261" t="s">
        <v>202</v>
      </c>
      <c r="C146" s="261"/>
      <c r="D146" s="261"/>
      <c r="E146" s="261"/>
      <c r="F146" s="261"/>
      <c r="G146" s="261"/>
      <c r="H146" s="261"/>
      <c r="I146" s="261"/>
      <c r="J146" s="261"/>
      <c r="K146" s="261"/>
      <c r="L146" s="261"/>
      <c r="M146" s="261"/>
      <c r="N146" s="261"/>
      <c r="O146" s="261"/>
      <c r="P146" s="331">
        <v>0</v>
      </c>
      <c r="Q146" s="264"/>
      <c r="R146" s="5"/>
      <c r="S146" s="109"/>
    </row>
    <row r="147" spans="1:19" ht="15.6" x14ac:dyDescent="0.3">
      <c r="A147" s="260"/>
      <c r="B147" s="261" t="s">
        <v>54</v>
      </c>
      <c r="C147" s="261"/>
      <c r="D147" s="261"/>
      <c r="E147" s="261"/>
      <c r="F147" s="261"/>
      <c r="G147" s="261"/>
      <c r="H147" s="261"/>
      <c r="I147" s="261"/>
      <c r="J147" s="261"/>
      <c r="K147" s="261"/>
      <c r="L147" s="261"/>
      <c r="M147" s="261"/>
      <c r="N147" s="261"/>
      <c r="O147" s="261"/>
      <c r="P147" s="331">
        <f>SUM(P139:P146)</f>
        <v>0</v>
      </c>
      <c r="Q147" s="264"/>
      <c r="R147" s="5"/>
    </row>
    <row r="148" spans="1:19" ht="15.6" x14ac:dyDescent="0.3">
      <c r="A148" s="183"/>
      <c r="B148" s="190"/>
      <c r="C148" s="190"/>
      <c r="D148" s="190"/>
      <c r="E148" s="190"/>
      <c r="F148" s="190"/>
      <c r="G148" s="190"/>
      <c r="H148" s="190"/>
      <c r="I148" s="190"/>
      <c r="J148" s="190"/>
      <c r="K148" s="190"/>
      <c r="L148" s="190"/>
      <c r="M148" s="190"/>
      <c r="N148" s="190"/>
      <c r="O148" s="190"/>
      <c r="P148" s="341"/>
      <c r="Q148" s="404"/>
      <c r="R148" s="5"/>
    </row>
    <row r="149" spans="1:19" ht="15.6" x14ac:dyDescent="0.3">
      <c r="A149" s="183"/>
      <c r="B149" s="209" t="s">
        <v>28</v>
      </c>
      <c r="C149" s="185"/>
      <c r="D149" s="185"/>
      <c r="E149" s="185"/>
      <c r="F149" s="185"/>
      <c r="G149" s="185"/>
      <c r="H149" s="185"/>
      <c r="I149" s="185"/>
      <c r="J149" s="185"/>
      <c r="K149" s="185"/>
      <c r="L149" s="185"/>
      <c r="M149" s="185"/>
      <c r="N149" s="185"/>
      <c r="O149" s="185"/>
      <c r="P149" s="201"/>
      <c r="Q149" s="404"/>
      <c r="R149" s="5"/>
    </row>
    <row r="150" spans="1:19" ht="15.6" x14ac:dyDescent="0.3">
      <c r="A150" s="260"/>
      <c r="B150" s="261" t="s">
        <v>55</v>
      </c>
      <c r="C150" s="261"/>
      <c r="D150" s="261"/>
      <c r="E150" s="261"/>
      <c r="F150" s="261"/>
      <c r="G150" s="261"/>
      <c r="H150" s="261"/>
      <c r="I150" s="261"/>
      <c r="J150" s="261"/>
      <c r="K150" s="261"/>
      <c r="L150" s="261"/>
      <c r="M150" s="261"/>
      <c r="N150" s="261"/>
      <c r="O150" s="261"/>
      <c r="P150" s="342" t="s">
        <v>137</v>
      </c>
      <c r="Q150" s="338"/>
      <c r="R150" s="5"/>
    </row>
    <row r="151" spans="1:19" ht="15.6" x14ac:dyDescent="0.3">
      <c r="A151" s="260"/>
      <c r="B151" s="261" t="s">
        <v>56</v>
      </c>
      <c r="C151" s="263"/>
      <c r="D151" s="263"/>
      <c r="E151" s="263"/>
      <c r="F151" s="263"/>
      <c r="G151" s="263"/>
      <c r="H151" s="263"/>
      <c r="I151" s="263"/>
      <c r="J151" s="263"/>
      <c r="K151" s="263"/>
      <c r="L151" s="263"/>
      <c r="M151" s="263"/>
      <c r="N151" s="263"/>
      <c r="O151" s="263"/>
      <c r="P151" s="342" t="s">
        <v>137</v>
      </c>
      <c r="Q151" s="338"/>
      <c r="R151" s="5"/>
    </row>
    <row r="152" spans="1:19" ht="15.6" x14ac:dyDescent="0.3">
      <c r="A152" s="260"/>
      <c r="B152" s="261" t="s">
        <v>57</v>
      </c>
      <c r="C152" s="261"/>
      <c r="D152" s="261"/>
      <c r="E152" s="261"/>
      <c r="F152" s="261"/>
      <c r="G152" s="261"/>
      <c r="H152" s="261"/>
      <c r="I152" s="261"/>
      <c r="J152" s="261"/>
      <c r="K152" s="261"/>
      <c r="L152" s="261"/>
      <c r="M152" s="261"/>
      <c r="N152" s="261"/>
      <c r="O152" s="261"/>
      <c r="P152" s="342" t="s">
        <v>137</v>
      </c>
      <c r="Q152" s="338"/>
      <c r="R152" s="5"/>
    </row>
    <row r="153" spans="1:19" ht="15.6" x14ac:dyDescent="0.3">
      <c r="A153" s="260"/>
      <c r="B153" s="261" t="s">
        <v>58</v>
      </c>
      <c r="C153" s="261"/>
      <c r="D153" s="261"/>
      <c r="E153" s="261"/>
      <c r="F153" s="261"/>
      <c r="G153" s="261"/>
      <c r="H153" s="261"/>
      <c r="I153" s="261"/>
      <c r="J153" s="261"/>
      <c r="K153" s="261"/>
      <c r="L153" s="261"/>
      <c r="M153" s="261"/>
      <c r="N153" s="261"/>
      <c r="O153" s="261"/>
      <c r="P153" s="342" t="s">
        <v>137</v>
      </c>
      <c r="Q153" s="338"/>
      <c r="R153" s="5"/>
    </row>
    <row r="154" spans="1:19" ht="15.6" x14ac:dyDescent="0.3">
      <c r="A154" s="183"/>
      <c r="B154" s="190"/>
      <c r="C154" s="190"/>
      <c r="D154" s="190"/>
      <c r="E154" s="190"/>
      <c r="F154" s="190"/>
      <c r="G154" s="190"/>
      <c r="H154" s="190"/>
      <c r="I154" s="190"/>
      <c r="J154" s="190"/>
      <c r="K154" s="190"/>
      <c r="L154" s="190"/>
      <c r="M154" s="190"/>
      <c r="N154" s="190"/>
      <c r="O154" s="190"/>
      <c r="P154" s="341"/>
      <c r="Q154" s="404"/>
      <c r="R154" s="5"/>
    </row>
    <row r="155" spans="1:19" ht="15.6" x14ac:dyDescent="0.3">
      <c r="A155" s="183"/>
      <c r="B155" s="209" t="s">
        <v>59</v>
      </c>
      <c r="C155" s="185"/>
      <c r="D155" s="185"/>
      <c r="E155" s="185"/>
      <c r="F155" s="185"/>
      <c r="G155" s="185"/>
      <c r="H155" s="185"/>
      <c r="I155" s="185"/>
      <c r="J155" s="185"/>
      <c r="K155" s="185"/>
      <c r="L155" s="185"/>
      <c r="M155" s="185"/>
      <c r="N155" s="185"/>
      <c r="O155" s="185"/>
      <c r="P155" s="210"/>
      <c r="Q155" s="404"/>
      <c r="R155" s="5"/>
    </row>
    <row r="156" spans="1:19" ht="15.6" x14ac:dyDescent="0.3">
      <c r="A156" s="260"/>
      <c r="B156" s="261" t="s">
        <v>60</v>
      </c>
      <c r="C156" s="261"/>
      <c r="D156" s="261"/>
      <c r="E156" s="261"/>
      <c r="F156" s="261"/>
      <c r="G156" s="261"/>
      <c r="H156" s="261"/>
      <c r="I156" s="261"/>
      <c r="J156" s="261"/>
      <c r="K156" s="261"/>
      <c r="L156" s="261"/>
      <c r="M156" s="261"/>
      <c r="N156" s="261"/>
      <c r="O156" s="261"/>
      <c r="P156" s="331">
        <v>0</v>
      </c>
      <c r="Q156" s="264"/>
      <c r="R156" s="5"/>
    </row>
    <row r="157" spans="1:19" ht="15.6" x14ac:dyDescent="0.3">
      <c r="A157" s="260"/>
      <c r="B157" s="261" t="s">
        <v>61</v>
      </c>
      <c r="C157" s="261"/>
      <c r="D157" s="261"/>
      <c r="E157" s="261"/>
      <c r="F157" s="261"/>
      <c r="G157" s="261"/>
      <c r="H157" s="261"/>
      <c r="I157" s="261"/>
      <c r="J157" s="261"/>
      <c r="K157" s="261"/>
      <c r="L157" s="261"/>
      <c r="M157" s="261"/>
      <c r="N157" s="261"/>
      <c r="O157" s="261"/>
      <c r="P157" s="331">
        <f>-P116</f>
        <v>-58</v>
      </c>
      <c r="Q157" s="264"/>
      <c r="R157" s="5"/>
    </row>
    <row r="158" spans="1:19" ht="15.6" x14ac:dyDescent="0.3">
      <c r="A158" s="260"/>
      <c r="B158" s="261" t="s">
        <v>62</v>
      </c>
      <c r="C158" s="261"/>
      <c r="D158" s="261"/>
      <c r="E158" s="261"/>
      <c r="F158" s="261"/>
      <c r="G158" s="261"/>
      <c r="H158" s="261"/>
      <c r="I158" s="261"/>
      <c r="J158" s="261"/>
      <c r="K158" s="261"/>
      <c r="L158" s="261"/>
      <c r="M158" s="261"/>
      <c r="N158" s="261"/>
      <c r="O158" s="261"/>
      <c r="P158" s="331">
        <f>P157+P156</f>
        <v>-58</v>
      </c>
      <c r="Q158" s="264"/>
      <c r="R158" s="5"/>
    </row>
    <row r="159" spans="1:19" ht="15.6" x14ac:dyDescent="0.3">
      <c r="A159" s="260"/>
      <c r="B159" s="402" t="s">
        <v>297</v>
      </c>
      <c r="C159" s="261"/>
      <c r="D159" s="261"/>
      <c r="E159" s="261"/>
      <c r="F159" s="261"/>
      <c r="G159" s="261"/>
      <c r="H159" s="261"/>
      <c r="I159" s="261"/>
      <c r="J159" s="261"/>
      <c r="K159" s="261"/>
      <c r="L159" s="261"/>
      <c r="M159" s="261"/>
      <c r="N159" s="261"/>
      <c r="O159" s="261"/>
      <c r="P159" s="331">
        <f>P116</f>
        <v>58</v>
      </c>
      <c r="Q159" s="264"/>
      <c r="R159" s="5"/>
    </row>
    <row r="160" spans="1:19" ht="15.6" x14ac:dyDescent="0.3">
      <c r="A160" s="260"/>
      <c r="B160" s="261" t="s">
        <v>63</v>
      </c>
      <c r="C160" s="261"/>
      <c r="D160" s="261"/>
      <c r="E160" s="261"/>
      <c r="F160" s="261"/>
      <c r="G160" s="261"/>
      <c r="H160" s="261"/>
      <c r="I160" s="261"/>
      <c r="J160" s="261"/>
      <c r="K160" s="261"/>
      <c r="L160" s="261"/>
      <c r="M160" s="261"/>
      <c r="N160" s="261"/>
      <c r="O160" s="261"/>
      <c r="P160" s="331">
        <f>P158+P159</f>
        <v>0</v>
      </c>
      <c r="Q160" s="264"/>
      <c r="R160" s="5"/>
    </row>
    <row r="161" spans="1:19" ht="15.6" x14ac:dyDescent="0.3">
      <c r="A161" s="260"/>
      <c r="B161" s="261" t="s">
        <v>268</v>
      </c>
      <c r="C161" s="261"/>
      <c r="D161" s="261"/>
      <c r="E161" s="261"/>
      <c r="F161" s="261"/>
      <c r="G161" s="261"/>
      <c r="H161" s="261"/>
      <c r="I161" s="261"/>
      <c r="J161" s="261"/>
      <c r="K161" s="261"/>
      <c r="L161" s="261"/>
      <c r="M161" s="261"/>
      <c r="N161" s="261"/>
      <c r="O161" s="261"/>
      <c r="P161" s="331">
        <v>0</v>
      </c>
      <c r="Q161" s="264"/>
      <c r="R161" s="5"/>
    </row>
    <row r="162" spans="1:19" ht="16.2" thickBot="1" x14ac:dyDescent="0.35">
      <c r="A162" s="183"/>
      <c r="B162" s="190"/>
      <c r="C162" s="190"/>
      <c r="D162" s="190"/>
      <c r="E162" s="190"/>
      <c r="F162" s="190"/>
      <c r="G162" s="190"/>
      <c r="H162" s="190"/>
      <c r="I162" s="190"/>
      <c r="J162" s="190"/>
      <c r="K162" s="190"/>
      <c r="L162" s="190"/>
      <c r="M162" s="190"/>
      <c r="N162" s="190"/>
      <c r="O162" s="190"/>
      <c r="P162" s="341"/>
      <c r="Q162" s="404"/>
      <c r="R162" s="5"/>
    </row>
    <row r="163" spans="1:19" ht="15.6" x14ac:dyDescent="0.3">
      <c r="A163" s="180"/>
      <c r="B163" s="181"/>
      <c r="C163" s="181"/>
      <c r="D163" s="181"/>
      <c r="E163" s="181"/>
      <c r="F163" s="181"/>
      <c r="G163" s="181"/>
      <c r="H163" s="181"/>
      <c r="I163" s="181"/>
      <c r="J163" s="181"/>
      <c r="K163" s="181"/>
      <c r="L163" s="181"/>
      <c r="M163" s="181"/>
      <c r="N163" s="181"/>
      <c r="O163" s="181"/>
      <c r="P163" s="200"/>
      <c r="Q163" s="405"/>
      <c r="R163" s="5"/>
    </row>
    <row r="164" spans="1:19" ht="15.6" x14ac:dyDescent="0.3">
      <c r="A164" s="183"/>
      <c r="B164" s="209" t="s">
        <v>64</v>
      </c>
      <c r="C164" s="185"/>
      <c r="D164" s="185"/>
      <c r="E164" s="185"/>
      <c r="F164" s="185"/>
      <c r="G164" s="185"/>
      <c r="H164" s="185"/>
      <c r="I164" s="185"/>
      <c r="J164" s="185"/>
      <c r="K164" s="185"/>
      <c r="L164" s="185"/>
      <c r="M164" s="185"/>
      <c r="N164" s="185"/>
      <c r="O164" s="185"/>
      <c r="P164" s="201"/>
      <c r="Q164" s="404"/>
      <c r="R164" s="5"/>
    </row>
    <row r="165" spans="1:19" ht="15.6" x14ac:dyDescent="0.3">
      <c r="A165" s="183"/>
      <c r="B165" s="196"/>
      <c r="C165" s="185"/>
      <c r="D165" s="185"/>
      <c r="E165" s="185"/>
      <c r="F165" s="185"/>
      <c r="G165" s="185"/>
      <c r="H165" s="185"/>
      <c r="I165" s="185"/>
      <c r="J165" s="185"/>
      <c r="K165" s="185"/>
      <c r="L165" s="185"/>
      <c r="M165" s="185"/>
      <c r="N165" s="185"/>
      <c r="O165" s="185"/>
      <c r="P165" s="201"/>
      <c r="Q165" s="404"/>
      <c r="R165" s="5"/>
    </row>
    <row r="166" spans="1:19" ht="15.6" x14ac:dyDescent="0.3">
      <c r="A166" s="260"/>
      <c r="B166" s="261" t="s">
        <v>221</v>
      </c>
      <c r="C166" s="261"/>
      <c r="D166" s="261"/>
      <c r="E166" s="261"/>
      <c r="F166" s="261"/>
      <c r="G166" s="261"/>
      <c r="H166" s="261"/>
      <c r="I166" s="261"/>
      <c r="J166" s="261"/>
      <c r="K166" s="261"/>
      <c r="L166" s="261"/>
      <c r="M166" s="261"/>
      <c r="N166" s="261"/>
      <c r="O166" s="261"/>
      <c r="P166" s="331">
        <f>P72</f>
        <v>0</v>
      </c>
      <c r="Q166" s="264"/>
      <c r="R166" s="5"/>
    </row>
    <row r="167" spans="1:19" ht="15.6" x14ac:dyDescent="0.3">
      <c r="A167" s="260"/>
      <c r="B167" s="261" t="s">
        <v>273</v>
      </c>
      <c r="C167" s="261"/>
      <c r="D167" s="261"/>
      <c r="E167" s="261"/>
      <c r="F167" s="261"/>
      <c r="G167" s="261"/>
      <c r="H167" s="261"/>
      <c r="I167" s="261"/>
      <c r="J167" s="261"/>
      <c r="K167" s="261"/>
      <c r="L167" s="261"/>
      <c r="M167" s="261"/>
      <c r="N167" s="261"/>
      <c r="O167" s="261"/>
      <c r="P167" s="331">
        <f>+P85</f>
        <v>0</v>
      </c>
      <c r="Q167" s="264"/>
      <c r="R167" s="5"/>
    </row>
    <row r="168" spans="1:19" ht="15.6" x14ac:dyDescent="0.3">
      <c r="A168" s="260"/>
      <c r="B168" s="261" t="s">
        <v>65</v>
      </c>
      <c r="C168" s="261"/>
      <c r="D168" s="261"/>
      <c r="E168" s="261"/>
      <c r="F168" s="261"/>
      <c r="G168" s="261"/>
      <c r="H168" s="261"/>
      <c r="I168" s="261"/>
      <c r="J168" s="261"/>
      <c r="K168" s="261"/>
      <c r="L168" s="261"/>
      <c r="M168" s="261"/>
      <c r="N168" s="261"/>
      <c r="O168" s="261"/>
      <c r="P168" s="331">
        <f>P38</f>
        <v>0</v>
      </c>
      <c r="Q168" s="264"/>
      <c r="R168" s="5"/>
      <c r="S168" s="109"/>
    </row>
    <row r="169" spans="1:19" ht="16.2" thickBot="1" x14ac:dyDescent="0.35">
      <c r="A169" s="183"/>
      <c r="B169" s="190"/>
      <c r="C169" s="190"/>
      <c r="D169" s="190"/>
      <c r="E169" s="190"/>
      <c r="F169" s="190"/>
      <c r="G169" s="190"/>
      <c r="H169" s="190"/>
      <c r="I169" s="190"/>
      <c r="J169" s="190"/>
      <c r="K169" s="190"/>
      <c r="L169" s="190"/>
      <c r="M169" s="190"/>
      <c r="N169" s="190"/>
      <c r="O169" s="190"/>
      <c r="P169" s="341"/>
      <c r="Q169" s="404"/>
      <c r="R169" s="5"/>
    </row>
    <row r="170" spans="1:19" ht="15.6" x14ac:dyDescent="0.3">
      <c r="A170" s="180"/>
      <c r="B170" s="181"/>
      <c r="C170" s="181"/>
      <c r="D170" s="181"/>
      <c r="E170" s="181"/>
      <c r="F170" s="181"/>
      <c r="G170" s="181"/>
      <c r="H170" s="181"/>
      <c r="I170" s="181"/>
      <c r="J170" s="181"/>
      <c r="K170" s="181"/>
      <c r="L170" s="181"/>
      <c r="M170" s="181"/>
      <c r="N170" s="181"/>
      <c r="O170" s="181"/>
      <c r="P170" s="200"/>
      <c r="Q170" s="405"/>
      <c r="R170" s="5"/>
    </row>
    <row r="171" spans="1:19" ht="15.6" x14ac:dyDescent="0.3">
      <c r="A171" s="183"/>
      <c r="B171" s="209" t="s">
        <v>66</v>
      </c>
      <c r="C171" s="205"/>
      <c r="D171" s="205"/>
      <c r="E171" s="205"/>
      <c r="F171" s="211"/>
      <c r="G171" s="211"/>
      <c r="H171" s="211"/>
      <c r="I171" s="211"/>
      <c r="J171" s="211"/>
      <c r="K171" s="211"/>
      <c r="L171" s="211"/>
      <c r="M171" s="211" t="s">
        <v>112</v>
      </c>
      <c r="N171" s="211" t="s">
        <v>120</v>
      </c>
      <c r="O171" s="187"/>
      <c r="P171" s="212" t="s">
        <v>129</v>
      </c>
      <c r="Q171" s="413"/>
      <c r="R171" s="5"/>
    </row>
    <row r="172" spans="1:19" ht="15.6" x14ac:dyDescent="0.3">
      <c r="A172" s="260"/>
      <c r="B172" s="261" t="s">
        <v>67</v>
      </c>
      <c r="C172" s="261"/>
      <c r="D172" s="261"/>
      <c r="E172" s="261"/>
      <c r="F172" s="261"/>
      <c r="G172" s="261"/>
      <c r="H172" s="261"/>
      <c r="I172" s="261"/>
      <c r="J172" s="261"/>
      <c r="K172" s="261"/>
      <c r="L172" s="261"/>
      <c r="M172" s="331">
        <v>144000</v>
      </c>
      <c r="N172" s="292">
        <v>0</v>
      </c>
      <c r="O172" s="261"/>
      <c r="P172" s="331"/>
      <c r="Q172" s="264"/>
      <c r="R172" s="5"/>
    </row>
    <row r="173" spans="1:19" ht="15.6" x14ac:dyDescent="0.3">
      <c r="A173" s="260"/>
      <c r="B173" s="261" t="s">
        <v>68</v>
      </c>
      <c r="C173" s="261"/>
      <c r="D173" s="261"/>
      <c r="E173" s="261"/>
      <c r="F173" s="261"/>
      <c r="G173" s="261"/>
      <c r="H173" s="261"/>
      <c r="I173" s="261"/>
      <c r="J173" s="261"/>
      <c r="K173" s="261"/>
      <c r="L173" s="261"/>
      <c r="M173" s="331">
        <f>+'April 17'!M173</f>
        <v>92493</v>
      </c>
      <c r="N173" s="331">
        <f>+'April 17'!N173</f>
        <v>10233</v>
      </c>
      <c r="O173" s="261"/>
      <c r="P173" s="331">
        <f>M173+N173</f>
        <v>102726</v>
      </c>
      <c r="Q173" s="264"/>
      <c r="R173" s="5"/>
    </row>
    <row r="174" spans="1:19" ht="15.6" x14ac:dyDescent="0.3">
      <c r="A174" s="260"/>
      <c r="B174" s="261" t="s">
        <v>69</v>
      </c>
      <c r="C174" s="261"/>
      <c r="D174" s="261"/>
      <c r="E174" s="261"/>
      <c r="F174" s="261"/>
      <c r="G174" s="261"/>
      <c r="H174" s="261"/>
      <c r="I174" s="261"/>
      <c r="J174" s="261"/>
      <c r="K174" s="261"/>
      <c r="L174" s="261"/>
      <c r="M174" s="330">
        <v>0</v>
      </c>
      <c r="N174" s="330">
        <f>-N100-N123</f>
        <v>0</v>
      </c>
      <c r="O174" s="261"/>
      <c r="P174" s="331">
        <f>M174+N174</f>
        <v>0</v>
      </c>
      <c r="Q174" s="264"/>
      <c r="R174" s="5"/>
    </row>
    <row r="175" spans="1:19" ht="15.6" x14ac:dyDescent="0.3">
      <c r="A175" s="260"/>
      <c r="B175" s="261" t="s">
        <v>70</v>
      </c>
      <c r="C175" s="261"/>
      <c r="D175" s="261"/>
      <c r="E175" s="261"/>
      <c r="F175" s="261"/>
      <c r="G175" s="261"/>
      <c r="H175" s="261"/>
      <c r="I175" s="261"/>
      <c r="J175" s="261"/>
      <c r="K175" s="261"/>
      <c r="L175" s="261"/>
      <c r="M175" s="331">
        <f>M173+M174</f>
        <v>92493</v>
      </c>
      <c r="N175" s="331">
        <f>N174+N173</f>
        <v>10233</v>
      </c>
      <c r="O175" s="261"/>
      <c r="P175" s="331">
        <f>M175+N175</f>
        <v>102726</v>
      </c>
      <c r="Q175" s="264"/>
      <c r="R175" s="5"/>
    </row>
    <row r="176" spans="1:19" ht="15.6" x14ac:dyDescent="0.3">
      <c r="A176" s="260"/>
      <c r="B176" s="261" t="s">
        <v>71</v>
      </c>
      <c r="C176" s="261"/>
      <c r="D176" s="261"/>
      <c r="E176" s="261"/>
      <c r="F176" s="261"/>
      <c r="G176" s="261"/>
      <c r="H176" s="261"/>
      <c r="I176" s="261"/>
      <c r="J176" s="261"/>
      <c r="K176" s="261"/>
      <c r="L176" s="261"/>
      <c r="M176" s="331">
        <f>M172-M175-N175</f>
        <v>41274</v>
      </c>
      <c r="N176" s="292"/>
      <c r="O176" s="261"/>
      <c r="P176" s="331"/>
      <c r="Q176" s="264"/>
      <c r="R176" s="5"/>
    </row>
    <row r="177" spans="1:18" ht="16.2" thickBot="1" x14ac:dyDescent="0.35">
      <c r="A177" s="183"/>
      <c r="B177" s="190"/>
      <c r="C177" s="190"/>
      <c r="D177" s="190"/>
      <c r="E177" s="190"/>
      <c r="F177" s="190"/>
      <c r="G177" s="190"/>
      <c r="H177" s="190"/>
      <c r="I177" s="190"/>
      <c r="J177" s="190"/>
      <c r="K177" s="190"/>
      <c r="L177" s="190"/>
      <c r="M177" s="190"/>
      <c r="N177" s="190"/>
      <c r="O177" s="190"/>
      <c r="P177" s="341"/>
      <c r="Q177" s="404"/>
      <c r="R177" s="5"/>
    </row>
    <row r="178" spans="1:18" ht="15.6" x14ac:dyDescent="0.3">
      <c r="A178" s="180"/>
      <c r="B178" s="181"/>
      <c r="C178" s="181"/>
      <c r="D178" s="181"/>
      <c r="E178" s="181"/>
      <c r="F178" s="181"/>
      <c r="G178" s="181"/>
      <c r="H178" s="181"/>
      <c r="I178" s="181"/>
      <c r="J178" s="181"/>
      <c r="K178" s="181"/>
      <c r="L178" s="181"/>
      <c r="M178" s="181"/>
      <c r="N178" s="181"/>
      <c r="O178" s="181"/>
      <c r="P178" s="200"/>
      <c r="Q178" s="405"/>
      <c r="R178" s="5"/>
    </row>
    <row r="179" spans="1:18" ht="15.6" x14ac:dyDescent="0.3">
      <c r="A179" s="183"/>
      <c r="B179" s="209" t="s">
        <v>72</v>
      </c>
      <c r="C179" s="185"/>
      <c r="D179" s="185"/>
      <c r="E179" s="185"/>
      <c r="F179" s="185"/>
      <c r="G179" s="185"/>
      <c r="H179" s="185"/>
      <c r="I179" s="185"/>
      <c r="J179" s="185"/>
      <c r="K179" s="185"/>
      <c r="L179" s="185"/>
      <c r="M179" s="185"/>
      <c r="N179" s="185"/>
      <c r="O179" s="185"/>
      <c r="P179" s="214"/>
      <c r="Q179" s="404"/>
      <c r="R179" s="5"/>
    </row>
    <row r="180" spans="1:18" ht="15.6" x14ac:dyDescent="0.3">
      <c r="A180" s="260"/>
      <c r="B180" s="261" t="s">
        <v>73</v>
      </c>
      <c r="C180" s="261"/>
      <c r="D180" s="261"/>
      <c r="E180" s="261"/>
      <c r="F180" s="261"/>
      <c r="G180" s="261"/>
      <c r="H180" s="261"/>
      <c r="I180" s="261"/>
      <c r="J180" s="261"/>
      <c r="K180" s="261"/>
      <c r="L180" s="261"/>
      <c r="M180" s="261"/>
      <c r="N180" s="261"/>
      <c r="O180" s="261"/>
      <c r="P180" s="343">
        <v>0</v>
      </c>
      <c r="Q180" s="264"/>
      <c r="R180" s="5"/>
    </row>
    <row r="181" spans="1:18" ht="15.6" x14ac:dyDescent="0.3">
      <c r="A181" s="260"/>
      <c r="B181" s="261" t="s">
        <v>74</v>
      </c>
      <c r="C181" s="261"/>
      <c r="D181" s="261"/>
      <c r="E181" s="261"/>
      <c r="F181" s="261"/>
      <c r="G181" s="261"/>
      <c r="H181" s="261"/>
      <c r="I181" s="261"/>
      <c r="J181" s="261"/>
      <c r="K181" s="261"/>
      <c r="L181" s="261"/>
      <c r="M181" s="261"/>
      <c r="N181" s="261"/>
      <c r="O181" s="261"/>
      <c r="P181" s="343">
        <v>0</v>
      </c>
      <c r="Q181" s="264"/>
      <c r="R181" s="5"/>
    </row>
    <row r="182" spans="1:18" ht="15.6" x14ac:dyDescent="0.3">
      <c r="A182" s="260"/>
      <c r="B182" s="261" t="s">
        <v>75</v>
      </c>
      <c r="C182" s="261"/>
      <c r="D182" s="261"/>
      <c r="E182" s="261"/>
      <c r="F182" s="261"/>
      <c r="G182" s="261"/>
      <c r="H182" s="261"/>
      <c r="I182" s="261"/>
      <c r="J182" s="261"/>
      <c r="K182" s="261"/>
      <c r="L182" s="261"/>
      <c r="M182" s="261"/>
      <c r="N182" s="261"/>
      <c r="O182" s="261"/>
      <c r="P182" s="342">
        <v>0</v>
      </c>
      <c r="Q182" s="264"/>
      <c r="R182" s="5"/>
    </row>
    <row r="183" spans="1:18" ht="15.6" x14ac:dyDescent="0.3">
      <c r="A183" s="260"/>
      <c r="B183" s="261" t="s">
        <v>76</v>
      </c>
      <c r="C183" s="261"/>
      <c r="D183" s="261"/>
      <c r="E183" s="261"/>
      <c r="F183" s="261"/>
      <c r="G183" s="261"/>
      <c r="H183" s="261"/>
      <c r="I183" s="261"/>
      <c r="J183" s="261"/>
      <c r="K183" s="261"/>
      <c r="L183" s="261"/>
      <c r="M183" s="261"/>
      <c r="N183" s="261"/>
      <c r="O183" s="261"/>
      <c r="P183" s="343">
        <v>0</v>
      </c>
      <c r="Q183" s="264"/>
      <c r="R183" s="5"/>
    </row>
    <row r="184" spans="1:18" ht="15.6" x14ac:dyDescent="0.3">
      <c r="A184" s="260"/>
      <c r="B184" s="335"/>
      <c r="C184" s="335"/>
      <c r="D184" s="335"/>
      <c r="E184" s="335"/>
      <c r="F184" s="335"/>
      <c r="G184" s="335"/>
      <c r="H184" s="335"/>
      <c r="I184" s="335"/>
      <c r="J184" s="335"/>
      <c r="K184" s="335"/>
      <c r="L184" s="335"/>
      <c r="M184" s="335"/>
      <c r="N184" s="335"/>
      <c r="O184" s="335"/>
      <c r="P184" s="335"/>
      <c r="Q184" s="338"/>
      <c r="R184" s="5"/>
    </row>
    <row r="185" spans="1:18" ht="15.6" x14ac:dyDescent="0.3">
      <c r="A185" s="183"/>
      <c r="B185" s="190"/>
      <c r="C185" s="190"/>
      <c r="D185" s="190"/>
      <c r="E185" s="190"/>
      <c r="F185" s="190"/>
      <c r="G185" s="190"/>
      <c r="H185" s="190"/>
      <c r="I185" s="190"/>
      <c r="J185" s="190"/>
      <c r="K185" s="190"/>
      <c r="L185" s="190"/>
      <c r="M185" s="190"/>
      <c r="N185" s="190"/>
      <c r="O185" s="190"/>
      <c r="P185" s="190"/>
      <c r="Q185" s="404"/>
      <c r="R185" s="5"/>
    </row>
    <row r="186" spans="1:18" ht="15.6" x14ac:dyDescent="0.3">
      <c r="A186" s="183"/>
      <c r="B186" s="185"/>
      <c r="C186" s="185"/>
      <c r="D186" s="185"/>
      <c r="E186" s="185"/>
      <c r="F186" s="185"/>
      <c r="G186" s="185"/>
      <c r="H186" s="185"/>
      <c r="I186" s="185"/>
      <c r="J186" s="185"/>
      <c r="K186" s="185"/>
      <c r="L186" s="185"/>
      <c r="M186" s="185"/>
      <c r="N186" s="185"/>
      <c r="O186" s="185"/>
      <c r="P186" s="185"/>
      <c r="Q186" s="404"/>
      <c r="R186" s="5"/>
    </row>
    <row r="187" spans="1:18" ht="18" thickBot="1" x14ac:dyDescent="0.35">
      <c r="A187" s="199"/>
      <c r="B187" s="239" t="str">
        <f>B134</f>
        <v>PM7 INVESTOR REPORT QUARTER ENDING JULY 2017</v>
      </c>
      <c r="C187" s="215"/>
      <c r="D187" s="215"/>
      <c r="E187" s="215"/>
      <c r="F187" s="215"/>
      <c r="G187" s="215"/>
      <c r="H187" s="215"/>
      <c r="I187" s="215"/>
      <c r="J187" s="215"/>
      <c r="K187" s="215"/>
      <c r="L187" s="215"/>
      <c r="M187" s="215"/>
      <c r="N187" s="215"/>
      <c r="O187" s="215"/>
      <c r="P187" s="215"/>
      <c r="Q187" s="216"/>
      <c r="R187" s="5"/>
    </row>
    <row r="188" spans="1:18" ht="15.6" x14ac:dyDescent="0.3">
      <c r="A188" s="323"/>
      <c r="B188" s="397" t="s">
        <v>77</v>
      </c>
      <c r="C188" s="398"/>
      <c r="D188" s="398"/>
      <c r="E188" s="399"/>
      <c r="F188" s="399"/>
      <c r="G188" s="399"/>
      <c r="H188" s="399"/>
      <c r="I188" s="399"/>
      <c r="J188" s="399"/>
      <c r="K188" s="399"/>
      <c r="L188" s="399"/>
      <c r="M188" s="399"/>
      <c r="N188" s="399">
        <v>42947</v>
      </c>
      <c r="O188" s="326"/>
      <c r="P188" s="326"/>
      <c r="Q188" s="412"/>
      <c r="R188" s="5"/>
    </row>
    <row r="189" spans="1:18" ht="15.6" x14ac:dyDescent="0.3">
      <c r="A189" s="217"/>
      <c r="B189" s="218"/>
      <c r="C189" s="219"/>
      <c r="D189" s="219"/>
      <c r="E189" s="220"/>
      <c r="F189" s="220"/>
      <c r="G189" s="220"/>
      <c r="H189" s="220"/>
      <c r="I189" s="220"/>
      <c r="J189" s="220"/>
      <c r="K189" s="220"/>
      <c r="L189" s="220"/>
      <c r="M189" s="220"/>
      <c r="N189" s="220"/>
      <c r="O189" s="185"/>
      <c r="P189" s="185"/>
      <c r="Q189" s="404"/>
      <c r="R189" s="5"/>
    </row>
    <row r="190" spans="1:18" ht="15.6" x14ac:dyDescent="0.3">
      <c r="A190" s="345"/>
      <c r="B190" s="261" t="s">
        <v>78</v>
      </c>
      <c r="C190" s="346"/>
      <c r="D190" s="346"/>
      <c r="E190" s="295"/>
      <c r="F190" s="295"/>
      <c r="G190" s="295"/>
      <c r="H190" s="295"/>
      <c r="I190" s="295"/>
      <c r="J190" s="295"/>
      <c r="K190" s="295"/>
      <c r="L190" s="295"/>
      <c r="M190" s="295"/>
      <c r="N190" s="290">
        <v>5.8069999999999997E-2</v>
      </c>
      <c r="O190" s="261"/>
      <c r="P190" s="261"/>
      <c r="Q190" s="264"/>
      <c r="R190" s="5"/>
    </row>
    <row r="191" spans="1:18" ht="15.6" x14ac:dyDescent="0.3">
      <c r="A191" s="345"/>
      <c r="B191" s="261" t="s">
        <v>219</v>
      </c>
      <c r="C191" s="346"/>
      <c r="D191" s="346"/>
      <c r="E191" s="295"/>
      <c r="F191" s="295"/>
      <c r="G191" s="295"/>
      <c r="H191" s="295"/>
      <c r="I191" s="295"/>
      <c r="J191" s="295"/>
      <c r="K191" s="295"/>
      <c r="L191" s="295"/>
      <c r="M191" s="295"/>
      <c r="N191" s="290">
        <v>5.1499999999999997E-2</v>
      </c>
      <c r="O191" s="261"/>
      <c r="P191" s="261"/>
      <c r="Q191" s="264"/>
      <c r="R191" s="5"/>
    </row>
    <row r="192" spans="1:18" ht="15.6" x14ac:dyDescent="0.3">
      <c r="A192" s="345"/>
      <c r="B192" s="261" t="s">
        <v>79</v>
      </c>
      <c r="C192" s="346"/>
      <c r="D192" s="346"/>
      <c r="E192" s="295"/>
      <c r="F192" s="295"/>
      <c r="G192" s="295"/>
      <c r="H192" s="295"/>
      <c r="I192" s="295"/>
      <c r="J192" s="295"/>
      <c r="K192" s="295"/>
      <c r="L192" s="295"/>
      <c r="M192" s="295"/>
      <c r="N192" s="290">
        <f>N190-N191</f>
        <v>6.5699999999999995E-3</v>
      </c>
      <c r="O192" s="261"/>
      <c r="P192" s="261"/>
      <c r="Q192" s="264"/>
      <c r="R192" s="5"/>
    </row>
    <row r="193" spans="1:18" ht="15.6" x14ac:dyDescent="0.3">
      <c r="A193" s="345"/>
      <c r="B193" s="261" t="s">
        <v>80</v>
      </c>
      <c r="C193" s="346"/>
      <c r="D193" s="346"/>
      <c r="E193" s="295"/>
      <c r="F193" s="295"/>
      <c r="G193" s="295"/>
      <c r="H193" s="295"/>
      <c r="I193" s="295"/>
      <c r="J193" s="295"/>
      <c r="K193" s="295"/>
      <c r="L193" s="295"/>
      <c r="M193" s="295"/>
      <c r="N193" s="290">
        <v>0</v>
      </c>
      <c r="O193" s="261"/>
      <c r="P193" s="261"/>
      <c r="Q193" s="264"/>
      <c r="R193" s="5"/>
    </row>
    <row r="194" spans="1:18" ht="15.6" x14ac:dyDescent="0.3">
      <c r="A194" s="345"/>
      <c r="B194" s="261" t="s">
        <v>241</v>
      </c>
      <c r="C194" s="346"/>
      <c r="D194" s="346"/>
      <c r="E194" s="295"/>
      <c r="F194" s="295"/>
      <c r="G194" s="295"/>
      <c r="H194" s="295"/>
      <c r="I194" s="295"/>
      <c r="J194" s="295"/>
      <c r="K194" s="295"/>
      <c r="L194" s="295"/>
      <c r="M194" s="295"/>
      <c r="N194" s="290">
        <v>0</v>
      </c>
      <c r="O194" s="261"/>
      <c r="P194" s="261"/>
      <c r="Q194" s="264"/>
      <c r="R194" s="5"/>
    </row>
    <row r="195" spans="1:18" ht="15.6" x14ac:dyDescent="0.3">
      <c r="A195" s="345"/>
      <c r="B195" s="261" t="s">
        <v>81</v>
      </c>
      <c r="C195" s="346"/>
      <c r="D195" s="346"/>
      <c r="E195" s="295"/>
      <c r="F195" s="295"/>
      <c r="G195" s="295"/>
      <c r="H195" s="295"/>
      <c r="I195" s="295"/>
      <c r="J195" s="295"/>
      <c r="K195" s="295"/>
      <c r="L195" s="295"/>
      <c r="M195" s="295"/>
      <c r="N195" s="290">
        <f>N193-N194</f>
        <v>0</v>
      </c>
      <c r="O195" s="261"/>
      <c r="P195" s="261"/>
      <c r="Q195" s="264"/>
      <c r="R195" s="5"/>
    </row>
    <row r="196" spans="1:18" ht="15.6" x14ac:dyDescent="0.3">
      <c r="A196" s="345"/>
      <c r="B196" s="261" t="s">
        <v>257</v>
      </c>
      <c r="C196" s="346"/>
      <c r="D196" s="346"/>
      <c r="E196" s="295"/>
      <c r="F196" s="295"/>
      <c r="G196" s="295"/>
      <c r="H196" s="295"/>
      <c r="I196" s="295"/>
      <c r="J196" s="295"/>
      <c r="K196" s="295"/>
      <c r="L196" s="295"/>
      <c r="M196" s="295"/>
      <c r="N196" s="290">
        <v>0</v>
      </c>
      <c r="O196" s="261"/>
      <c r="P196" s="261"/>
      <c r="Q196" s="264"/>
      <c r="R196" s="5"/>
    </row>
    <row r="197" spans="1:18" ht="15.6" x14ac:dyDescent="0.3">
      <c r="A197" s="345"/>
      <c r="B197" s="261" t="s">
        <v>170</v>
      </c>
      <c r="C197" s="346"/>
      <c r="D197" s="346"/>
      <c r="E197" s="295"/>
      <c r="F197" s="295"/>
      <c r="G197" s="295"/>
      <c r="H197" s="295"/>
      <c r="I197" s="295"/>
      <c r="J197" s="295"/>
      <c r="K197" s="295"/>
      <c r="L197" s="295"/>
      <c r="M197" s="295"/>
      <c r="N197" s="347">
        <v>49065</v>
      </c>
      <c r="O197" s="261"/>
      <c r="P197" s="261"/>
      <c r="Q197" s="264"/>
      <c r="R197" s="5"/>
    </row>
    <row r="198" spans="1:18" ht="15.6" x14ac:dyDescent="0.3">
      <c r="A198" s="345"/>
      <c r="B198" s="261" t="s">
        <v>171</v>
      </c>
      <c r="C198" s="346"/>
      <c r="D198" s="346"/>
      <c r="E198" s="295"/>
      <c r="F198" s="295"/>
      <c r="G198" s="295"/>
      <c r="H198" s="295"/>
      <c r="I198" s="295"/>
      <c r="J198" s="295"/>
      <c r="K198" s="295"/>
      <c r="L198" s="295"/>
      <c r="M198" s="295"/>
      <c r="N198" s="347">
        <v>49065</v>
      </c>
      <c r="O198" s="261"/>
      <c r="P198" s="261"/>
      <c r="Q198" s="264"/>
      <c r="R198" s="5"/>
    </row>
    <row r="199" spans="1:18" ht="15.6" x14ac:dyDescent="0.3">
      <c r="A199" s="345"/>
      <c r="B199" s="261" t="s">
        <v>172</v>
      </c>
      <c r="C199" s="346"/>
      <c r="D199" s="346"/>
      <c r="E199" s="295"/>
      <c r="F199" s="295"/>
      <c r="G199" s="295"/>
      <c r="H199" s="295"/>
      <c r="I199" s="295"/>
      <c r="J199" s="295"/>
      <c r="K199" s="295"/>
      <c r="L199" s="295"/>
      <c r="M199" s="295"/>
      <c r="N199" s="347">
        <v>49065</v>
      </c>
      <c r="O199" s="261"/>
      <c r="P199" s="261"/>
      <c r="Q199" s="264"/>
      <c r="R199" s="5"/>
    </row>
    <row r="200" spans="1:18" ht="15.6" x14ac:dyDescent="0.3">
      <c r="A200" s="345"/>
      <c r="B200" s="261" t="s">
        <v>138</v>
      </c>
      <c r="C200" s="346"/>
      <c r="D200" s="346"/>
      <c r="E200" s="295"/>
      <c r="F200" s="295"/>
      <c r="G200" s="295"/>
      <c r="H200" s="295"/>
      <c r="I200" s="295"/>
      <c r="J200" s="295"/>
      <c r="K200" s="295"/>
      <c r="L200" s="295"/>
      <c r="M200" s="295"/>
      <c r="N200" s="347">
        <v>52352</v>
      </c>
      <c r="O200" s="261"/>
      <c r="P200" s="261"/>
      <c r="Q200" s="264"/>
      <c r="R200" s="5"/>
    </row>
    <row r="201" spans="1:18" ht="15.6" x14ac:dyDescent="0.3">
      <c r="A201" s="345"/>
      <c r="B201" s="261" t="s">
        <v>139</v>
      </c>
      <c r="C201" s="346"/>
      <c r="D201" s="346"/>
      <c r="E201" s="295"/>
      <c r="F201" s="295"/>
      <c r="G201" s="295"/>
      <c r="H201" s="295"/>
      <c r="I201" s="295"/>
      <c r="J201" s="295"/>
      <c r="K201" s="295"/>
      <c r="L201" s="295"/>
      <c r="M201" s="295"/>
      <c r="N201" s="347">
        <v>52352</v>
      </c>
      <c r="O201" s="261"/>
      <c r="P201" s="261"/>
      <c r="Q201" s="264"/>
      <c r="R201" s="5"/>
    </row>
    <row r="202" spans="1:18" ht="15.6" x14ac:dyDescent="0.3">
      <c r="A202" s="345"/>
      <c r="B202" s="261" t="s">
        <v>82</v>
      </c>
      <c r="C202" s="346"/>
      <c r="D202" s="346"/>
      <c r="E202" s="295"/>
      <c r="F202" s="295"/>
      <c r="G202" s="295"/>
      <c r="H202" s="295"/>
      <c r="I202" s="295"/>
      <c r="J202" s="295"/>
      <c r="K202" s="295"/>
      <c r="L202" s="295"/>
      <c r="M202" s="295"/>
      <c r="N202" s="294">
        <v>20.45</v>
      </c>
      <c r="O202" s="261" t="s">
        <v>125</v>
      </c>
      <c r="P202" s="261"/>
      <c r="Q202" s="264"/>
      <c r="R202" s="5"/>
    </row>
    <row r="203" spans="1:18" ht="15.6" x14ac:dyDescent="0.3">
      <c r="A203" s="345"/>
      <c r="B203" s="261" t="s">
        <v>83</v>
      </c>
      <c r="C203" s="346"/>
      <c r="D203" s="346"/>
      <c r="E203" s="295"/>
      <c r="F203" s="295"/>
      <c r="G203" s="295"/>
      <c r="H203" s="295"/>
      <c r="I203" s="295"/>
      <c r="J203" s="295"/>
      <c r="K203" s="295"/>
      <c r="L203" s="295"/>
      <c r="M203" s="295"/>
      <c r="N203" s="294">
        <v>0</v>
      </c>
      <c r="O203" s="261" t="s">
        <v>125</v>
      </c>
      <c r="P203" s="261"/>
      <c r="Q203" s="264"/>
      <c r="R203" s="5"/>
    </row>
    <row r="204" spans="1:18" ht="15.6" x14ac:dyDescent="0.3">
      <c r="A204" s="345"/>
      <c r="B204" s="261" t="s">
        <v>84</v>
      </c>
      <c r="C204" s="346"/>
      <c r="D204" s="346"/>
      <c r="E204" s="295"/>
      <c r="F204" s="295"/>
      <c r="G204" s="295"/>
      <c r="H204" s="295"/>
      <c r="I204" s="295"/>
      <c r="J204" s="295"/>
      <c r="K204" s="295"/>
      <c r="L204" s="295"/>
      <c r="M204" s="295"/>
      <c r="N204" s="290">
        <f>J69/H69</f>
        <v>1</v>
      </c>
      <c r="O204" s="261"/>
      <c r="P204" s="261"/>
      <c r="Q204" s="264"/>
      <c r="R204" s="5"/>
    </row>
    <row r="205" spans="1:18" ht="15.6" x14ac:dyDescent="0.3">
      <c r="A205" s="345"/>
      <c r="B205" s="261" t="s">
        <v>85</v>
      </c>
      <c r="C205" s="346"/>
      <c r="D205" s="346"/>
      <c r="E205" s="295"/>
      <c r="F205" s="295"/>
      <c r="G205" s="295"/>
      <c r="H205" s="295"/>
      <c r="I205" s="295"/>
      <c r="J205" s="295"/>
      <c r="K205" s="295"/>
      <c r="L205" s="295"/>
      <c r="M205" s="295"/>
      <c r="N205" s="290">
        <v>1</v>
      </c>
      <c r="O205" s="261"/>
      <c r="P205" s="261"/>
      <c r="Q205" s="264"/>
      <c r="R205" s="5"/>
    </row>
    <row r="206" spans="1:18" ht="15.6" x14ac:dyDescent="0.3">
      <c r="A206" s="217"/>
      <c r="B206" s="222"/>
      <c r="C206" s="222"/>
      <c r="D206" s="222"/>
      <c r="E206" s="190"/>
      <c r="F206" s="190"/>
      <c r="G206" s="190"/>
      <c r="H206" s="190"/>
      <c r="I206" s="190"/>
      <c r="J206" s="190"/>
      <c r="K206" s="190"/>
      <c r="L206" s="190"/>
      <c r="M206" s="190"/>
      <c r="N206" s="341"/>
      <c r="O206" s="190"/>
      <c r="P206" s="344"/>
      <c r="Q206" s="404"/>
      <c r="R206" s="5"/>
    </row>
    <row r="207" spans="1:18" ht="15.6" x14ac:dyDescent="0.3">
      <c r="A207" s="322"/>
      <c r="B207" s="393" t="s">
        <v>86</v>
      </c>
      <c r="C207" s="395"/>
      <c r="D207" s="400"/>
      <c r="E207" s="395"/>
      <c r="F207" s="395"/>
      <c r="G207" s="395"/>
      <c r="H207" s="395"/>
      <c r="I207" s="395"/>
      <c r="J207" s="395"/>
      <c r="K207" s="395"/>
      <c r="L207" s="395"/>
      <c r="M207" s="395" t="s">
        <v>113</v>
      </c>
      <c r="N207" s="400" t="s">
        <v>121</v>
      </c>
      <c r="O207" s="252"/>
      <c r="P207" s="252"/>
      <c r="Q207" s="407"/>
      <c r="R207" s="5"/>
    </row>
    <row r="208" spans="1:18" ht="15.6" x14ac:dyDescent="0.3">
      <c r="A208" s="221"/>
      <c r="B208" s="230" t="s">
        <v>87</v>
      </c>
      <c r="C208" s="235"/>
      <c r="D208" s="230"/>
      <c r="E208" s="230"/>
      <c r="F208" s="234"/>
      <c r="G208" s="234"/>
      <c r="H208" s="234"/>
      <c r="I208" s="234"/>
      <c r="J208" s="234"/>
      <c r="K208" s="234"/>
      <c r="L208" s="234"/>
      <c r="M208" s="234">
        <v>0</v>
      </c>
      <c r="N208" s="305">
        <v>0</v>
      </c>
      <c r="O208" s="230"/>
      <c r="P208" s="306"/>
      <c r="Q208" s="414"/>
      <c r="R208" s="5"/>
    </row>
    <row r="209" spans="1:18" ht="15.6" x14ac:dyDescent="0.3">
      <c r="A209" s="351"/>
      <c r="B209" s="261" t="s">
        <v>203</v>
      </c>
      <c r="C209" s="330"/>
      <c r="D209" s="261"/>
      <c r="E209" s="261"/>
      <c r="F209" s="268"/>
      <c r="G209" s="268"/>
      <c r="H209" s="268"/>
      <c r="I209" s="268"/>
      <c r="J209" s="268"/>
      <c r="K209" s="268"/>
      <c r="L209" s="268"/>
      <c r="M209" s="352">
        <f>+L257</f>
        <v>0</v>
      </c>
      <c r="N209" s="353">
        <f>+N257</f>
        <v>0</v>
      </c>
      <c r="O209" s="261"/>
      <c r="P209" s="354"/>
      <c r="Q209" s="355"/>
      <c r="R209" s="5"/>
    </row>
    <row r="210" spans="1:18" ht="15.6" x14ac:dyDescent="0.3">
      <c r="A210" s="351"/>
      <c r="B210" s="261" t="s">
        <v>88</v>
      </c>
      <c r="C210" s="330"/>
      <c r="D210" s="261"/>
      <c r="E210" s="261"/>
      <c r="F210" s="268"/>
      <c r="G210" s="268"/>
      <c r="H210" s="268"/>
      <c r="I210" s="268"/>
      <c r="J210" s="268"/>
      <c r="K210" s="268"/>
      <c r="L210" s="268"/>
      <c r="M210" s="352">
        <f>+L268</f>
        <v>0</v>
      </c>
      <c r="N210" s="353">
        <f>+N268</f>
        <v>0</v>
      </c>
      <c r="O210" s="261"/>
      <c r="P210" s="354"/>
      <c r="Q210" s="355"/>
      <c r="R210" s="5"/>
    </row>
    <row r="211" spans="1:18" ht="15.6" x14ac:dyDescent="0.3">
      <c r="A211" s="351"/>
      <c r="B211" s="282" t="s">
        <v>89</v>
      </c>
      <c r="C211" s="356"/>
      <c r="D211" s="335"/>
      <c r="E211" s="335"/>
      <c r="F211" s="335"/>
      <c r="G211" s="335"/>
      <c r="H211" s="335"/>
      <c r="I211" s="335"/>
      <c r="J211" s="335"/>
      <c r="K211" s="335"/>
      <c r="L211" s="335"/>
      <c r="M211" s="335"/>
      <c r="N211" s="353">
        <v>0</v>
      </c>
      <c r="O211" s="335"/>
      <c r="P211" s="358"/>
      <c r="Q211" s="359"/>
      <c r="R211" s="5"/>
    </row>
    <row r="212" spans="1:18" ht="15.6" x14ac:dyDescent="0.3">
      <c r="A212" s="351"/>
      <c r="B212" s="282" t="s">
        <v>90</v>
      </c>
      <c r="C212" s="356"/>
      <c r="D212" s="335"/>
      <c r="E212" s="335"/>
      <c r="F212" s="335"/>
      <c r="G212" s="335"/>
      <c r="H212" s="335"/>
      <c r="I212" s="335"/>
      <c r="J212" s="335"/>
      <c r="K212" s="335"/>
      <c r="L212" s="335"/>
      <c r="M212" s="335"/>
      <c r="N212" s="369" t="s">
        <v>122</v>
      </c>
      <c r="O212" s="335"/>
      <c r="P212" s="358"/>
      <c r="Q212" s="359"/>
      <c r="R212" s="5"/>
    </row>
    <row r="213" spans="1:18" ht="15.6" x14ac:dyDescent="0.3">
      <c r="A213" s="360"/>
      <c r="B213" s="282" t="s">
        <v>91</v>
      </c>
      <c r="C213" s="361"/>
      <c r="D213" s="361"/>
      <c r="E213" s="335"/>
      <c r="F213" s="335"/>
      <c r="G213" s="335"/>
      <c r="H213" s="335"/>
      <c r="I213" s="335"/>
      <c r="J213" s="362"/>
      <c r="K213" s="335"/>
      <c r="L213" s="335"/>
      <c r="M213" s="335"/>
      <c r="N213" s="357"/>
      <c r="O213" s="335"/>
      <c r="P213" s="358"/>
      <c r="Q213" s="363"/>
      <c r="R213" s="5"/>
    </row>
    <row r="214" spans="1:18" ht="15.6" x14ac:dyDescent="0.3">
      <c r="A214" s="360"/>
      <c r="B214" s="261" t="s">
        <v>92</v>
      </c>
      <c r="C214" s="261"/>
      <c r="D214" s="261"/>
      <c r="E214" s="261"/>
      <c r="F214" s="261"/>
      <c r="G214" s="261"/>
      <c r="H214" s="261"/>
      <c r="I214" s="261"/>
      <c r="J214" s="261"/>
      <c r="K214" s="261"/>
      <c r="L214" s="261"/>
      <c r="M214" s="261"/>
      <c r="N214" s="353">
        <f>P157</f>
        <v>-58</v>
      </c>
      <c r="O214" s="261"/>
      <c r="P214" s="354"/>
      <c r="Q214" s="363"/>
      <c r="R214" s="5"/>
    </row>
    <row r="215" spans="1:18" ht="15.6" x14ac:dyDescent="0.3">
      <c r="A215" s="351"/>
      <c r="B215" s="261" t="s">
        <v>93</v>
      </c>
      <c r="C215" s="330"/>
      <c r="D215" s="330"/>
      <c r="E215" s="261"/>
      <c r="F215" s="261"/>
      <c r="G215" s="261"/>
      <c r="H215" s="261"/>
      <c r="I215" s="261"/>
      <c r="J215" s="261"/>
      <c r="K215" s="261"/>
      <c r="L215" s="261"/>
      <c r="M215" s="261"/>
      <c r="N215" s="353">
        <f>'April 17'!N213+'July 17'!N214</f>
        <v>6540</v>
      </c>
      <c r="O215" s="261"/>
      <c r="P215" s="354"/>
      <c r="Q215" s="363"/>
      <c r="R215" s="5"/>
    </row>
    <row r="216" spans="1:18" ht="15.6" x14ac:dyDescent="0.3">
      <c r="A216" s="360"/>
      <c r="B216" s="282" t="s">
        <v>278</v>
      </c>
      <c r="C216" s="361"/>
      <c r="D216" s="361"/>
      <c r="E216" s="335"/>
      <c r="F216" s="335"/>
      <c r="G216" s="335"/>
      <c r="H216" s="335"/>
      <c r="I216" s="335"/>
      <c r="J216" s="335"/>
      <c r="K216" s="335"/>
      <c r="L216" s="335"/>
      <c r="M216" s="335"/>
      <c r="N216" s="357"/>
      <c r="O216" s="335"/>
      <c r="P216" s="358"/>
      <c r="Q216" s="363"/>
      <c r="R216" s="5"/>
    </row>
    <row r="217" spans="1:18" ht="15.6" x14ac:dyDescent="0.3">
      <c r="A217" s="360"/>
      <c r="B217" s="261" t="s">
        <v>276</v>
      </c>
      <c r="C217" s="261"/>
      <c r="D217" s="261"/>
      <c r="E217" s="261"/>
      <c r="F217" s="261"/>
      <c r="G217" s="261"/>
      <c r="H217" s="261"/>
      <c r="I217" s="261"/>
      <c r="J217" s="261"/>
      <c r="K217" s="261"/>
      <c r="L217" s="261"/>
      <c r="M217" s="268">
        <v>0</v>
      </c>
      <c r="N217" s="353">
        <v>0</v>
      </c>
      <c r="O217" s="261"/>
      <c r="P217" s="354"/>
      <c r="Q217" s="363"/>
      <c r="R217" s="5"/>
    </row>
    <row r="218" spans="1:18" ht="15.6" x14ac:dyDescent="0.3">
      <c r="A218" s="351"/>
      <c r="B218" s="261" t="s">
        <v>95</v>
      </c>
      <c r="C218" s="292"/>
      <c r="D218" s="368"/>
      <c r="E218" s="261"/>
      <c r="F218" s="261"/>
      <c r="G218" s="261"/>
      <c r="H218" s="261"/>
      <c r="I218" s="261"/>
      <c r="J218" s="261"/>
      <c r="K218" s="261"/>
      <c r="L218" s="261"/>
      <c r="M218" s="261"/>
      <c r="N218" s="369">
        <v>0</v>
      </c>
      <c r="O218" s="261"/>
      <c r="P218" s="354"/>
      <c r="Q218" s="363"/>
      <c r="R218" s="5"/>
    </row>
    <row r="219" spans="1:18" ht="15.6" x14ac:dyDescent="0.3">
      <c r="A219" s="351"/>
      <c r="B219" s="261" t="s">
        <v>96</v>
      </c>
      <c r="C219" s="292"/>
      <c r="D219" s="368"/>
      <c r="E219" s="261"/>
      <c r="F219" s="261"/>
      <c r="G219" s="261"/>
      <c r="H219" s="261"/>
      <c r="I219" s="261"/>
      <c r="J219" s="261"/>
      <c r="K219" s="261"/>
      <c r="L219" s="261"/>
      <c r="M219" s="261"/>
      <c r="N219" s="369">
        <v>0</v>
      </c>
      <c r="O219" s="261"/>
      <c r="P219" s="354"/>
      <c r="Q219" s="363"/>
      <c r="R219" s="5"/>
    </row>
    <row r="220" spans="1:18" ht="15.6" x14ac:dyDescent="0.3">
      <c r="A220" s="351"/>
      <c r="B220" s="282" t="s">
        <v>251</v>
      </c>
      <c r="C220" s="370"/>
      <c r="D220" s="371"/>
      <c r="E220" s="335"/>
      <c r="F220" s="335"/>
      <c r="G220" s="335"/>
      <c r="H220" s="335"/>
      <c r="I220" s="335"/>
      <c r="J220" s="335"/>
      <c r="K220" s="335"/>
      <c r="L220" s="335"/>
      <c r="M220" s="335"/>
      <c r="N220" s="372"/>
      <c r="O220" s="335"/>
      <c r="P220" s="358"/>
      <c r="Q220" s="363"/>
      <c r="R220" s="5"/>
    </row>
    <row r="221" spans="1:18" ht="15.6" x14ac:dyDescent="0.3">
      <c r="A221" s="351"/>
      <c r="B221" s="261" t="s">
        <v>276</v>
      </c>
      <c r="C221" s="292"/>
      <c r="D221" s="368"/>
      <c r="E221" s="261"/>
      <c r="F221" s="261"/>
      <c r="G221" s="261"/>
      <c r="H221" s="261"/>
      <c r="I221" s="261"/>
      <c r="J221" s="261"/>
      <c r="K221" s="261"/>
      <c r="L221" s="261"/>
      <c r="M221" s="421">
        <v>1</v>
      </c>
      <c r="N221" s="422">
        <v>194</v>
      </c>
      <c r="O221" s="261"/>
      <c r="P221" s="354"/>
      <c r="Q221" s="373"/>
      <c r="R221" s="308"/>
    </row>
    <row r="222" spans="1:18" ht="15.6" x14ac:dyDescent="0.3">
      <c r="A222" s="351"/>
      <c r="B222" s="261" t="s">
        <v>252</v>
      </c>
      <c r="C222" s="292"/>
      <c r="D222" s="368"/>
      <c r="E222" s="261"/>
      <c r="F222" s="261"/>
      <c r="G222" s="261"/>
      <c r="H222" s="261"/>
      <c r="I222" s="261"/>
      <c r="J222" s="261"/>
      <c r="K222" s="261"/>
      <c r="L222" s="261"/>
      <c r="M222" s="423"/>
      <c r="N222" s="420">
        <v>0</v>
      </c>
      <c r="O222" s="261"/>
      <c r="P222" s="354"/>
      <c r="Q222" s="373"/>
      <c r="R222" s="308"/>
    </row>
    <row r="223" spans="1:18" ht="15.6" x14ac:dyDescent="0.3">
      <c r="A223" s="351"/>
      <c r="B223" s="361"/>
      <c r="C223" s="370"/>
      <c r="D223" s="371"/>
      <c r="E223" s="335"/>
      <c r="F223" s="335"/>
      <c r="G223" s="335"/>
      <c r="H223" s="335"/>
      <c r="I223" s="335"/>
      <c r="J223" s="335"/>
      <c r="K223" s="335"/>
      <c r="L223" s="335"/>
      <c r="M223" s="335"/>
      <c r="N223" s="374"/>
      <c r="O223" s="335"/>
      <c r="P223" s="358"/>
      <c r="Q223" s="363"/>
      <c r="R223" s="5"/>
    </row>
    <row r="224" spans="1:18" ht="17.399999999999999" x14ac:dyDescent="0.3">
      <c r="A224" s="351"/>
      <c r="B224" s="375" t="s">
        <v>244</v>
      </c>
      <c r="C224" s="370"/>
      <c r="D224" s="371"/>
      <c r="E224" s="335"/>
      <c r="F224" s="335"/>
      <c r="G224" s="335"/>
      <c r="H224" s="335"/>
      <c r="I224" s="376"/>
      <c r="J224" s="377" t="s">
        <v>243</v>
      </c>
      <c r="K224" s="335"/>
      <c r="L224" s="335"/>
      <c r="M224" s="335"/>
      <c r="N224" s="374"/>
      <c r="O224" s="335"/>
      <c r="P224" s="358"/>
      <c r="Q224" s="363"/>
      <c r="R224" s="5"/>
    </row>
    <row r="225" spans="1:18" ht="15.6" x14ac:dyDescent="0.3">
      <c r="A225" s="348"/>
      <c r="B225" s="222"/>
      <c r="C225" s="223"/>
      <c r="D225" s="224"/>
      <c r="E225" s="190"/>
      <c r="F225" s="190"/>
      <c r="G225" s="190"/>
      <c r="H225" s="190"/>
      <c r="I225" s="190"/>
      <c r="J225" s="190"/>
      <c r="K225" s="190"/>
      <c r="L225" s="190"/>
      <c r="M225" s="190"/>
      <c r="N225" s="349"/>
      <c r="O225" s="190"/>
      <c r="P225" s="344"/>
      <c r="Q225" s="415"/>
      <c r="R225" s="5"/>
    </row>
    <row r="226" spans="1:18" ht="15.6" x14ac:dyDescent="0.3">
      <c r="A226" s="251"/>
      <c r="B226" s="393" t="s">
        <v>290</v>
      </c>
      <c r="C226" s="395"/>
      <c r="D226" s="400"/>
      <c r="E226" s="395"/>
      <c r="F226" s="395"/>
      <c r="G226" s="395"/>
      <c r="H226" s="395"/>
      <c r="I226" s="395"/>
      <c r="J226" s="395"/>
      <c r="K226" s="395"/>
      <c r="L226" s="400" t="s">
        <v>113</v>
      </c>
      <c r="M226" s="395" t="s">
        <v>114</v>
      </c>
      <c r="N226" s="400" t="s">
        <v>123</v>
      </c>
      <c r="O226" s="395" t="s">
        <v>114</v>
      </c>
      <c r="P226" s="252"/>
      <c r="Q226" s="416"/>
      <c r="R226" s="5"/>
    </row>
    <row r="227" spans="1:18" ht="15.6" x14ac:dyDescent="0.3">
      <c r="A227" s="198"/>
      <c r="B227" s="235" t="s">
        <v>98</v>
      </c>
      <c r="C227" s="309"/>
      <c r="D227" s="230"/>
      <c r="E227" s="309"/>
      <c r="F227" s="309"/>
      <c r="G227" s="309"/>
      <c r="H227" s="309"/>
      <c r="I227" s="309"/>
      <c r="J227" s="309"/>
      <c r="K227" s="309"/>
      <c r="L227" s="330">
        <f t="shared" ref="L227:L234" si="1">+L238+L249+L260</f>
        <v>0</v>
      </c>
      <c r="M227" s="382">
        <v>0</v>
      </c>
      <c r="N227" s="331">
        <f t="shared" ref="N227:N232" si="2">+N238+N249+N260</f>
        <v>0</v>
      </c>
      <c r="O227" s="382">
        <v>0</v>
      </c>
      <c r="P227" s="306"/>
      <c r="Q227" s="417"/>
      <c r="R227" s="5"/>
    </row>
    <row r="228" spans="1:18" ht="15.6" x14ac:dyDescent="0.3">
      <c r="A228" s="260"/>
      <c r="B228" s="330" t="s">
        <v>99</v>
      </c>
      <c r="C228" s="381"/>
      <c r="D228" s="261"/>
      <c r="E228" s="382"/>
      <c r="F228" s="381"/>
      <c r="G228" s="381"/>
      <c r="H228" s="381"/>
      <c r="I228" s="381"/>
      <c r="J228" s="381"/>
      <c r="K228" s="381"/>
      <c r="L228" s="330">
        <f t="shared" si="1"/>
        <v>0</v>
      </c>
      <c r="M228" s="382">
        <v>0</v>
      </c>
      <c r="N228" s="331">
        <f t="shared" si="2"/>
        <v>0</v>
      </c>
      <c r="O228" s="382">
        <v>0</v>
      </c>
      <c r="P228" s="354"/>
      <c r="Q228" s="373"/>
      <c r="R228" s="5"/>
    </row>
    <row r="229" spans="1:18" ht="15.6" x14ac:dyDescent="0.3">
      <c r="A229" s="260"/>
      <c r="B229" s="330" t="s">
        <v>100</v>
      </c>
      <c r="C229" s="381"/>
      <c r="D229" s="261"/>
      <c r="E229" s="382"/>
      <c r="F229" s="381"/>
      <c r="G229" s="381"/>
      <c r="H229" s="381"/>
      <c r="I229" s="381"/>
      <c r="J229" s="381"/>
      <c r="K229" s="381"/>
      <c r="L229" s="330">
        <f t="shared" si="1"/>
        <v>0</v>
      </c>
      <c r="M229" s="382">
        <v>0</v>
      </c>
      <c r="N229" s="331">
        <f t="shared" si="2"/>
        <v>0</v>
      </c>
      <c r="O229" s="382">
        <v>0</v>
      </c>
      <c r="P229" s="354"/>
      <c r="Q229" s="373"/>
      <c r="R229" s="5"/>
    </row>
    <row r="230" spans="1:18" ht="15.6" x14ac:dyDescent="0.3">
      <c r="A230" s="260"/>
      <c r="B230" s="330" t="s">
        <v>227</v>
      </c>
      <c r="C230" s="381"/>
      <c r="D230" s="261"/>
      <c r="E230" s="382"/>
      <c r="F230" s="381"/>
      <c r="G230" s="381"/>
      <c r="H230" s="381"/>
      <c r="I230" s="381"/>
      <c r="J230" s="381"/>
      <c r="K230" s="381"/>
      <c r="L230" s="330">
        <f t="shared" si="1"/>
        <v>0</v>
      </c>
      <c r="M230" s="382">
        <v>0</v>
      </c>
      <c r="N230" s="331">
        <f t="shared" si="2"/>
        <v>0</v>
      </c>
      <c r="O230" s="382">
        <v>0</v>
      </c>
      <c r="P230" s="354"/>
      <c r="Q230" s="373"/>
      <c r="R230" s="5"/>
    </row>
    <row r="231" spans="1:18" ht="15.6" x14ac:dyDescent="0.3">
      <c r="A231" s="260"/>
      <c r="B231" s="330" t="s">
        <v>228</v>
      </c>
      <c r="C231" s="381"/>
      <c r="D231" s="261"/>
      <c r="E231" s="382"/>
      <c r="F231" s="381"/>
      <c r="G231" s="381"/>
      <c r="H231" s="381"/>
      <c r="I231" s="381"/>
      <c r="J231" s="381"/>
      <c r="K231" s="381"/>
      <c r="L231" s="330">
        <f t="shared" si="1"/>
        <v>0</v>
      </c>
      <c r="M231" s="382">
        <v>0</v>
      </c>
      <c r="N231" s="331">
        <f t="shared" si="2"/>
        <v>0</v>
      </c>
      <c r="O231" s="382">
        <v>0</v>
      </c>
      <c r="P231" s="354"/>
      <c r="Q231" s="373"/>
      <c r="R231" s="5"/>
    </row>
    <row r="232" spans="1:18" ht="15.6" x14ac:dyDescent="0.3">
      <c r="A232" s="260"/>
      <c r="B232" s="330" t="s">
        <v>229</v>
      </c>
      <c r="C232" s="381"/>
      <c r="D232" s="261"/>
      <c r="E232" s="382"/>
      <c r="F232" s="381"/>
      <c r="G232" s="381"/>
      <c r="H232" s="381"/>
      <c r="I232" s="381"/>
      <c r="J232" s="381"/>
      <c r="K232" s="381"/>
      <c r="L232" s="330">
        <f t="shared" si="1"/>
        <v>0</v>
      </c>
      <c r="M232" s="382">
        <v>0</v>
      </c>
      <c r="N232" s="331">
        <f t="shared" si="2"/>
        <v>0</v>
      </c>
      <c r="O232" s="382">
        <v>0</v>
      </c>
      <c r="P232" s="354"/>
      <c r="Q232" s="373"/>
      <c r="R232" s="5"/>
    </row>
    <row r="233" spans="1:18" ht="15.6" x14ac:dyDescent="0.3">
      <c r="A233" s="260"/>
      <c r="B233" s="330" t="s">
        <v>230</v>
      </c>
      <c r="C233" s="381"/>
      <c r="D233" s="261"/>
      <c r="E233" s="382"/>
      <c r="F233" s="381"/>
      <c r="G233" s="381"/>
      <c r="H233" s="381"/>
      <c r="I233" s="381"/>
      <c r="J233" s="381"/>
      <c r="K233" s="381"/>
      <c r="L233" s="330">
        <f t="shared" si="1"/>
        <v>0</v>
      </c>
      <c r="M233" s="382">
        <v>0</v>
      </c>
      <c r="N233" s="331">
        <f>+N244+N255+N266</f>
        <v>0</v>
      </c>
      <c r="O233" s="382">
        <v>0</v>
      </c>
      <c r="P233" s="354"/>
      <c r="Q233" s="373"/>
      <c r="R233" s="5"/>
    </row>
    <row r="234" spans="1:18" ht="15.6" x14ac:dyDescent="0.3">
      <c r="A234" s="260"/>
      <c r="B234" s="330" t="s">
        <v>231</v>
      </c>
      <c r="C234" s="381"/>
      <c r="D234" s="261"/>
      <c r="E234" s="382"/>
      <c r="F234" s="381"/>
      <c r="G234" s="381"/>
      <c r="H234" s="381"/>
      <c r="I234" s="381"/>
      <c r="J234" s="381"/>
      <c r="K234" s="381"/>
      <c r="L234" s="330">
        <f t="shared" si="1"/>
        <v>0</v>
      </c>
      <c r="M234" s="382">
        <v>0</v>
      </c>
      <c r="N234" s="331">
        <f>+N245+N256+N267</f>
        <v>0</v>
      </c>
      <c r="O234" s="382">
        <v>0</v>
      </c>
      <c r="P234" s="354"/>
      <c r="Q234" s="373"/>
      <c r="R234" s="5"/>
    </row>
    <row r="235" spans="1:18" ht="15.6" x14ac:dyDescent="0.3">
      <c r="A235" s="260"/>
      <c r="B235" s="261" t="s">
        <v>129</v>
      </c>
      <c r="C235" s="261"/>
      <c r="D235" s="261"/>
      <c r="E235" s="261"/>
      <c r="F235" s="383"/>
      <c r="G235" s="383"/>
      <c r="H235" s="383"/>
      <c r="I235" s="383"/>
      <c r="J235" s="383"/>
      <c r="K235" s="383"/>
      <c r="L235" s="330">
        <f>SUM(L227:L234)</f>
        <v>0</v>
      </c>
      <c r="M235" s="382">
        <f>SUM(M227:M234)</f>
        <v>0</v>
      </c>
      <c r="N235" s="330">
        <f>SUM(N227:N234)</f>
        <v>0</v>
      </c>
      <c r="O235" s="382">
        <f>SUM(O227:O234)</f>
        <v>0</v>
      </c>
      <c r="P235" s="261"/>
      <c r="Q235" s="264"/>
      <c r="R235" s="5"/>
    </row>
    <row r="236" spans="1:18" ht="15.6" x14ac:dyDescent="0.3">
      <c r="A236" s="348"/>
      <c r="B236" s="222"/>
      <c r="C236" s="223"/>
      <c r="D236" s="224"/>
      <c r="E236" s="190"/>
      <c r="F236" s="190"/>
      <c r="G236" s="190"/>
      <c r="H236" s="190"/>
      <c r="I236" s="190"/>
      <c r="J236" s="190"/>
      <c r="K236" s="190"/>
      <c r="L236" s="190"/>
      <c r="M236" s="190"/>
      <c r="N236" s="349"/>
      <c r="O236" s="190"/>
      <c r="P236" s="344"/>
      <c r="Q236" s="415"/>
      <c r="R236" s="5"/>
    </row>
    <row r="237" spans="1:18" ht="15.6" x14ac:dyDescent="0.3">
      <c r="A237" s="251"/>
      <c r="B237" s="393" t="s">
        <v>236</v>
      </c>
      <c r="C237" s="395"/>
      <c r="D237" s="400"/>
      <c r="E237" s="395"/>
      <c r="F237" s="395"/>
      <c r="G237" s="395"/>
      <c r="H237" s="395"/>
      <c r="I237" s="395"/>
      <c r="J237" s="395"/>
      <c r="K237" s="395"/>
      <c r="L237" s="400" t="s">
        <v>113</v>
      </c>
      <c r="M237" s="395" t="s">
        <v>114</v>
      </c>
      <c r="N237" s="400" t="s">
        <v>123</v>
      </c>
      <c r="O237" s="395" t="s">
        <v>114</v>
      </c>
      <c r="P237" s="252"/>
      <c r="Q237" s="416"/>
      <c r="R237" s="5"/>
    </row>
    <row r="238" spans="1:18" ht="15.6" x14ac:dyDescent="0.3">
      <c r="A238" s="198"/>
      <c r="B238" s="235" t="s">
        <v>98</v>
      </c>
      <c r="C238" s="309"/>
      <c r="D238" s="230"/>
      <c r="E238" s="309"/>
      <c r="F238" s="309"/>
      <c r="G238" s="309"/>
      <c r="H238" s="309"/>
      <c r="I238" s="309"/>
      <c r="J238" s="309"/>
      <c r="K238" s="309"/>
      <c r="L238" s="235">
        <v>0</v>
      </c>
      <c r="M238" s="310">
        <v>0</v>
      </c>
      <c r="N238" s="300">
        <v>0</v>
      </c>
      <c r="O238" s="310">
        <v>0</v>
      </c>
      <c r="P238" s="306"/>
      <c r="Q238" s="417"/>
      <c r="R238" s="5"/>
    </row>
    <row r="239" spans="1:18" ht="15.6" x14ac:dyDescent="0.3">
      <c r="A239" s="260"/>
      <c r="B239" s="330" t="s">
        <v>99</v>
      </c>
      <c r="C239" s="381"/>
      <c r="D239" s="261"/>
      <c r="E239" s="382"/>
      <c r="F239" s="381"/>
      <c r="G239" s="381"/>
      <c r="H239" s="381"/>
      <c r="I239" s="381"/>
      <c r="J239" s="381"/>
      <c r="K239" s="381"/>
      <c r="L239" s="330">
        <v>0</v>
      </c>
      <c r="M239" s="382">
        <v>0</v>
      </c>
      <c r="N239" s="331">
        <v>0</v>
      </c>
      <c r="O239" s="382">
        <v>0</v>
      </c>
      <c r="P239" s="354"/>
      <c r="Q239" s="373"/>
      <c r="R239" s="5"/>
    </row>
    <row r="240" spans="1:18" ht="15.6" x14ac:dyDescent="0.3">
      <c r="A240" s="260"/>
      <c r="B240" s="330" t="s">
        <v>100</v>
      </c>
      <c r="C240" s="381"/>
      <c r="D240" s="261"/>
      <c r="E240" s="382"/>
      <c r="F240" s="381"/>
      <c r="G240" s="381"/>
      <c r="H240" s="381"/>
      <c r="I240" s="381"/>
      <c r="J240" s="381"/>
      <c r="K240" s="381"/>
      <c r="L240" s="330">
        <v>0</v>
      </c>
      <c r="M240" s="382">
        <v>0</v>
      </c>
      <c r="N240" s="331">
        <v>0</v>
      </c>
      <c r="O240" s="382">
        <v>0</v>
      </c>
      <c r="P240" s="354"/>
      <c r="Q240" s="373"/>
      <c r="R240" s="5"/>
    </row>
    <row r="241" spans="1:18" ht="15.6" x14ac:dyDescent="0.3">
      <c r="A241" s="260"/>
      <c r="B241" s="330" t="s">
        <v>227</v>
      </c>
      <c r="C241" s="381"/>
      <c r="D241" s="261"/>
      <c r="E241" s="382"/>
      <c r="F241" s="381"/>
      <c r="G241" s="381"/>
      <c r="H241" s="381"/>
      <c r="I241" s="381"/>
      <c r="J241" s="381"/>
      <c r="K241" s="381"/>
      <c r="L241" s="330">
        <v>0</v>
      </c>
      <c r="M241" s="382">
        <v>0</v>
      </c>
      <c r="N241" s="331">
        <v>0</v>
      </c>
      <c r="O241" s="382">
        <v>0</v>
      </c>
      <c r="P241" s="354"/>
      <c r="Q241" s="373"/>
      <c r="R241" s="5"/>
    </row>
    <row r="242" spans="1:18" ht="15.6" x14ac:dyDescent="0.3">
      <c r="A242" s="260"/>
      <c r="B242" s="330" t="s">
        <v>228</v>
      </c>
      <c r="C242" s="381"/>
      <c r="D242" s="261"/>
      <c r="E242" s="382"/>
      <c r="F242" s="381"/>
      <c r="G242" s="381"/>
      <c r="H242" s="381"/>
      <c r="I242" s="381"/>
      <c r="J242" s="381"/>
      <c r="K242" s="381"/>
      <c r="L242" s="330">
        <v>0</v>
      </c>
      <c r="M242" s="382">
        <v>0</v>
      </c>
      <c r="N242" s="331">
        <v>0</v>
      </c>
      <c r="O242" s="382">
        <v>0</v>
      </c>
      <c r="P242" s="354"/>
      <c r="Q242" s="373"/>
      <c r="R242" s="5"/>
    </row>
    <row r="243" spans="1:18" ht="15.6" x14ac:dyDescent="0.3">
      <c r="A243" s="260"/>
      <c r="B243" s="330" t="s">
        <v>229</v>
      </c>
      <c r="C243" s="381"/>
      <c r="D243" s="261"/>
      <c r="E243" s="382"/>
      <c r="F243" s="381"/>
      <c r="G243" s="381"/>
      <c r="H243" s="381"/>
      <c r="I243" s="381"/>
      <c r="J243" s="381"/>
      <c r="K243" s="381"/>
      <c r="L243" s="330">
        <v>0</v>
      </c>
      <c r="M243" s="382">
        <v>0</v>
      </c>
      <c r="N243" s="331">
        <v>0</v>
      </c>
      <c r="O243" s="382">
        <v>0</v>
      </c>
      <c r="P243" s="354"/>
      <c r="Q243" s="373"/>
      <c r="R243" s="5"/>
    </row>
    <row r="244" spans="1:18" ht="15.6" x14ac:dyDescent="0.3">
      <c r="A244" s="260"/>
      <c r="B244" s="330" t="s">
        <v>230</v>
      </c>
      <c r="C244" s="381"/>
      <c r="D244" s="261"/>
      <c r="E244" s="382"/>
      <c r="F244" s="381"/>
      <c r="G244" s="381"/>
      <c r="H244" s="381"/>
      <c r="I244" s="381"/>
      <c r="J244" s="381"/>
      <c r="K244" s="381"/>
      <c r="L244" s="330">
        <v>0</v>
      </c>
      <c r="M244" s="382">
        <v>0</v>
      </c>
      <c r="N244" s="331">
        <v>0</v>
      </c>
      <c r="O244" s="382">
        <v>0</v>
      </c>
      <c r="P244" s="354"/>
      <c r="Q244" s="373"/>
      <c r="R244" s="5"/>
    </row>
    <row r="245" spans="1:18" ht="15.6" x14ac:dyDescent="0.3">
      <c r="A245" s="260"/>
      <c r="B245" s="330" t="s">
        <v>231</v>
      </c>
      <c r="C245" s="381"/>
      <c r="D245" s="261"/>
      <c r="E245" s="382"/>
      <c r="F245" s="381"/>
      <c r="G245" s="381"/>
      <c r="H245" s="381"/>
      <c r="I245" s="381"/>
      <c r="J245" s="381"/>
      <c r="K245" s="381"/>
      <c r="L245" s="330">
        <v>0</v>
      </c>
      <c r="M245" s="382">
        <v>0</v>
      </c>
      <c r="N245" s="331">
        <v>0</v>
      </c>
      <c r="O245" s="382">
        <v>0</v>
      </c>
      <c r="P245" s="354"/>
      <c r="Q245" s="373"/>
      <c r="R245" s="5"/>
    </row>
    <row r="246" spans="1:18" ht="15.6" x14ac:dyDescent="0.3">
      <c r="A246" s="260"/>
      <c r="B246" s="261" t="s">
        <v>129</v>
      </c>
      <c r="C246" s="261"/>
      <c r="D246" s="261"/>
      <c r="E246" s="261"/>
      <c r="F246" s="383"/>
      <c r="G246" s="383"/>
      <c r="H246" s="383"/>
      <c r="I246" s="383"/>
      <c r="J246" s="383"/>
      <c r="K246" s="383"/>
      <c r="L246" s="330">
        <f>SUM(L238:L245)</f>
        <v>0</v>
      </c>
      <c r="M246" s="382">
        <f>SUM(M238:M245)</f>
        <v>0</v>
      </c>
      <c r="N246" s="331">
        <f>SUM(N238:N245)</f>
        <v>0</v>
      </c>
      <c r="O246" s="382">
        <f>SUM(O238:O245)</f>
        <v>0</v>
      </c>
      <c r="P246" s="261"/>
      <c r="Q246" s="264"/>
      <c r="R246" s="5"/>
    </row>
    <row r="247" spans="1:18" ht="15.6" x14ac:dyDescent="0.3">
      <c r="A247" s="183"/>
      <c r="B247" s="257"/>
      <c r="C247" s="257"/>
      <c r="D247" s="257"/>
      <c r="E247" s="257"/>
      <c r="F247" s="378"/>
      <c r="G247" s="378"/>
      <c r="H247" s="378"/>
      <c r="I247" s="378"/>
      <c r="J247" s="378"/>
      <c r="K247" s="378"/>
      <c r="L247" s="302"/>
      <c r="M247" s="379"/>
      <c r="N247" s="380"/>
      <c r="O247" s="379"/>
      <c r="P247" s="257"/>
      <c r="Q247" s="409"/>
      <c r="R247" s="5"/>
    </row>
    <row r="248" spans="1:18" ht="15.6" x14ac:dyDescent="0.3">
      <c r="A248" s="316"/>
      <c r="B248" s="393" t="s">
        <v>238</v>
      </c>
      <c r="C248" s="395"/>
      <c r="D248" s="400"/>
      <c r="E248" s="395"/>
      <c r="F248" s="395"/>
      <c r="G248" s="395"/>
      <c r="H248" s="395"/>
      <c r="I248" s="395"/>
      <c r="J248" s="395"/>
      <c r="K248" s="395"/>
      <c r="L248" s="400" t="s">
        <v>113</v>
      </c>
      <c r="M248" s="395" t="s">
        <v>114</v>
      </c>
      <c r="N248" s="400" t="s">
        <v>123</v>
      </c>
      <c r="O248" s="395" t="s">
        <v>114</v>
      </c>
      <c r="P248" s="252"/>
      <c r="Q248" s="321"/>
      <c r="R248" s="5"/>
    </row>
    <row r="249" spans="1:18" ht="15.6" x14ac:dyDescent="0.3">
      <c r="A249" s="198"/>
      <c r="B249" s="235" t="s">
        <v>98</v>
      </c>
      <c r="C249" s="309"/>
      <c r="D249" s="230"/>
      <c r="E249" s="309"/>
      <c r="F249" s="309"/>
      <c r="G249" s="309"/>
      <c r="H249" s="309"/>
      <c r="I249" s="309"/>
      <c r="J249" s="309"/>
      <c r="K249" s="309"/>
      <c r="L249" s="235">
        <v>0</v>
      </c>
      <c r="M249" s="310">
        <v>0</v>
      </c>
      <c r="N249" s="300">
        <v>0</v>
      </c>
      <c r="O249" s="310">
        <v>0</v>
      </c>
      <c r="P249" s="306"/>
      <c r="Q249" s="408"/>
      <c r="R249" s="5"/>
    </row>
    <row r="250" spans="1:18" ht="15.6" x14ac:dyDescent="0.3">
      <c r="A250" s="260"/>
      <c r="B250" s="330" t="s">
        <v>99</v>
      </c>
      <c r="C250" s="381"/>
      <c r="D250" s="261"/>
      <c r="E250" s="382"/>
      <c r="F250" s="381"/>
      <c r="G250" s="381"/>
      <c r="H250" s="381"/>
      <c r="I250" s="381"/>
      <c r="J250" s="381"/>
      <c r="K250" s="381"/>
      <c r="L250" s="330">
        <v>0</v>
      </c>
      <c r="M250" s="382">
        <v>0</v>
      </c>
      <c r="N250" s="331">
        <v>0</v>
      </c>
      <c r="O250" s="382">
        <v>0</v>
      </c>
      <c r="P250" s="354"/>
      <c r="Q250" s="264"/>
      <c r="R250" s="5"/>
    </row>
    <row r="251" spans="1:18" ht="15.6" x14ac:dyDescent="0.3">
      <c r="A251" s="260"/>
      <c r="B251" s="330" t="s">
        <v>100</v>
      </c>
      <c r="C251" s="381"/>
      <c r="D251" s="261"/>
      <c r="E251" s="382"/>
      <c r="F251" s="381"/>
      <c r="G251" s="381"/>
      <c r="H251" s="381"/>
      <c r="I251" s="381"/>
      <c r="J251" s="381"/>
      <c r="K251" s="381"/>
      <c r="L251" s="330">
        <v>0</v>
      </c>
      <c r="M251" s="382">
        <v>0</v>
      </c>
      <c r="N251" s="331">
        <v>0</v>
      </c>
      <c r="O251" s="382">
        <v>0</v>
      </c>
      <c r="P251" s="354"/>
      <c r="Q251" s="264"/>
      <c r="R251" s="5"/>
    </row>
    <row r="252" spans="1:18" ht="15.6" x14ac:dyDescent="0.3">
      <c r="A252" s="260"/>
      <c r="B252" s="330" t="s">
        <v>227</v>
      </c>
      <c r="C252" s="381"/>
      <c r="D252" s="261"/>
      <c r="E252" s="382"/>
      <c r="F252" s="381"/>
      <c r="G252" s="381"/>
      <c r="H252" s="381"/>
      <c r="I252" s="381"/>
      <c r="J252" s="381"/>
      <c r="K252" s="381"/>
      <c r="L252" s="330">
        <v>0</v>
      </c>
      <c r="M252" s="382">
        <v>0</v>
      </c>
      <c r="N252" s="331">
        <v>0</v>
      </c>
      <c r="O252" s="382">
        <v>0</v>
      </c>
      <c r="P252" s="354"/>
      <c r="Q252" s="264"/>
      <c r="R252" s="5"/>
    </row>
    <row r="253" spans="1:18" ht="15.6" x14ac:dyDescent="0.3">
      <c r="A253" s="260"/>
      <c r="B253" s="330" t="s">
        <v>228</v>
      </c>
      <c r="C253" s="381"/>
      <c r="D253" s="261"/>
      <c r="E253" s="382"/>
      <c r="F253" s="381"/>
      <c r="G253" s="381"/>
      <c r="H253" s="381"/>
      <c r="I253" s="381"/>
      <c r="J253" s="381"/>
      <c r="K253" s="381"/>
      <c r="L253" s="330">
        <v>0</v>
      </c>
      <c r="M253" s="382">
        <v>0</v>
      </c>
      <c r="N253" s="331">
        <v>0</v>
      </c>
      <c r="O253" s="382">
        <v>0</v>
      </c>
      <c r="P253" s="354"/>
      <c r="Q253" s="264"/>
      <c r="R253" s="5"/>
    </row>
    <row r="254" spans="1:18" ht="15.6" x14ac:dyDescent="0.3">
      <c r="A254" s="260"/>
      <c r="B254" s="330" t="s">
        <v>229</v>
      </c>
      <c r="C254" s="381"/>
      <c r="D254" s="261"/>
      <c r="E254" s="382"/>
      <c r="F254" s="381"/>
      <c r="G254" s="381"/>
      <c r="H254" s="381"/>
      <c r="I254" s="381"/>
      <c r="J254" s="381"/>
      <c r="K254" s="381"/>
      <c r="L254" s="330">
        <v>0</v>
      </c>
      <c r="M254" s="382">
        <v>0</v>
      </c>
      <c r="N254" s="331">
        <v>0</v>
      </c>
      <c r="O254" s="382">
        <v>0</v>
      </c>
      <c r="P254" s="354"/>
      <c r="Q254" s="264"/>
      <c r="R254" s="5"/>
    </row>
    <row r="255" spans="1:18" ht="15.6" x14ac:dyDescent="0.3">
      <c r="A255" s="260"/>
      <c r="B255" s="330" t="s">
        <v>230</v>
      </c>
      <c r="C255" s="381"/>
      <c r="D255" s="261"/>
      <c r="E255" s="382"/>
      <c r="F255" s="381"/>
      <c r="G255" s="381"/>
      <c r="H255" s="381"/>
      <c r="I255" s="381"/>
      <c r="J255" s="381"/>
      <c r="K255" s="381"/>
      <c r="L255" s="330">
        <v>0</v>
      </c>
      <c r="M255" s="382">
        <v>0</v>
      </c>
      <c r="N255" s="331">
        <v>0</v>
      </c>
      <c r="O255" s="382">
        <v>0</v>
      </c>
      <c r="P255" s="354"/>
      <c r="Q255" s="264"/>
      <c r="R255" s="5"/>
    </row>
    <row r="256" spans="1:18" ht="15.6" x14ac:dyDescent="0.3">
      <c r="A256" s="260"/>
      <c r="B256" s="330" t="s">
        <v>231</v>
      </c>
      <c r="C256" s="381"/>
      <c r="D256" s="261"/>
      <c r="E256" s="382"/>
      <c r="F256" s="381"/>
      <c r="G256" s="381"/>
      <c r="H256" s="381"/>
      <c r="I256" s="381"/>
      <c r="J256" s="381"/>
      <c r="K256" s="381"/>
      <c r="L256" s="330">
        <v>0</v>
      </c>
      <c r="M256" s="382">
        <v>0</v>
      </c>
      <c r="N256" s="331">
        <v>0</v>
      </c>
      <c r="O256" s="382">
        <v>0</v>
      </c>
      <c r="P256" s="354"/>
      <c r="Q256" s="264"/>
      <c r="R256" s="5"/>
    </row>
    <row r="257" spans="1:18" ht="15.6" x14ac:dyDescent="0.3">
      <c r="A257" s="260"/>
      <c r="B257" s="261" t="s">
        <v>129</v>
      </c>
      <c r="C257" s="261"/>
      <c r="D257" s="261"/>
      <c r="E257" s="261"/>
      <c r="F257" s="383"/>
      <c r="G257" s="383"/>
      <c r="H257" s="383"/>
      <c r="I257" s="383"/>
      <c r="J257" s="383"/>
      <c r="K257" s="383"/>
      <c r="L257" s="330">
        <f>SUM(L249:L256)</f>
        <v>0</v>
      </c>
      <c r="M257" s="382">
        <f>SUM(M249:M256)</f>
        <v>0</v>
      </c>
      <c r="N257" s="331">
        <f>SUM(N249:N256)</f>
        <v>0</v>
      </c>
      <c r="O257" s="382">
        <f>SUM(O249:O256)</f>
        <v>0</v>
      </c>
      <c r="P257" s="261"/>
      <c r="Q257" s="264"/>
      <c r="R257" s="5"/>
    </row>
    <row r="258" spans="1:18" ht="15.6" x14ac:dyDescent="0.3">
      <c r="A258" s="183"/>
      <c r="B258" s="257"/>
      <c r="C258" s="257"/>
      <c r="D258" s="257"/>
      <c r="E258" s="257"/>
      <c r="F258" s="378"/>
      <c r="G258" s="378"/>
      <c r="H258" s="378"/>
      <c r="I258" s="378"/>
      <c r="J258" s="378"/>
      <c r="K258" s="378"/>
      <c r="L258" s="302"/>
      <c r="M258" s="379"/>
      <c r="N258" s="380"/>
      <c r="O258" s="379"/>
      <c r="P258" s="257"/>
      <c r="Q258" s="409"/>
      <c r="R258" s="5"/>
    </row>
    <row r="259" spans="1:18" ht="15.6" x14ac:dyDescent="0.3">
      <c r="A259" s="316"/>
      <c r="B259" s="393" t="s">
        <v>239</v>
      </c>
      <c r="C259" s="395"/>
      <c r="D259" s="400"/>
      <c r="E259" s="395"/>
      <c r="F259" s="395"/>
      <c r="G259" s="395"/>
      <c r="H259" s="395"/>
      <c r="I259" s="395"/>
      <c r="J259" s="395"/>
      <c r="K259" s="395"/>
      <c r="L259" s="400" t="s">
        <v>113</v>
      </c>
      <c r="M259" s="395" t="s">
        <v>114</v>
      </c>
      <c r="N259" s="400" t="s">
        <v>123</v>
      </c>
      <c r="O259" s="395" t="s">
        <v>114</v>
      </c>
      <c r="P259" s="320"/>
      <c r="Q259" s="321"/>
      <c r="R259" s="5"/>
    </row>
    <row r="260" spans="1:18" ht="15.6" x14ac:dyDescent="0.3">
      <c r="A260" s="198"/>
      <c r="B260" s="235" t="s">
        <v>98</v>
      </c>
      <c r="C260" s="309"/>
      <c r="D260" s="230"/>
      <c r="E260" s="309"/>
      <c r="F260" s="309"/>
      <c r="G260" s="309"/>
      <c r="H260" s="309"/>
      <c r="I260" s="309"/>
      <c r="J260" s="309"/>
      <c r="K260" s="309"/>
      <c r="L260" s="235">
        <v>0</v>
      </c>
      <c r="M260" s="310">
        <v>0</v>
      </c>
      <c r="N260" s="300">
        <v>0</v>
      </c>
      <c r="O260" s="310">
        <v>0</v>
      </c>
      <c r="P260" s="230"/>
      <c r="Q260" s="408"/>
      <c r="R260" s="5"/>
    </row>
    <row r="261" spans="1:18" ht="15.6" x14ac:dyDescent="0.3">
      <c r="A261" s="260"/>
      <c r="B261" s="330" t="s">
        <v>99</v>
      </c>
      <c r="C261" s="381"/>
      <c r="D261" s="261"/>
      <c r="E261" s="382"/>
      <c r="F261" s="381"/>
      <c r="G261" s="381"/>
      <c r="H261" s="381"/>
      <c r="I261" s="381"/>
      <c r="J261" s="381"/>
      <c r="K261" s="381"/>
      <c r="L261" s="330">
        <v>0</v>
      </c>
      <c r="M261" s="382">
        <v>0</v>
      </c>
      <c r="N261" s="331">
        <v>0</v>
      </c>
      <c r="O261" s="382">
        <v>0</v>
      </c>
      <c r="P261" s="261"/>
      <c r="Q261" s="264"/>
      <c r="R261" s="5"/>
    </row>
    <row r="262" spans="1:18" ht="15.6" x14ac:dyDescent="0.3">
      <c r="A262" s="260"/>
      <c r="B262" s="330" t="s">
        <v>100</v>
      </c>
      <c r="C262" s="381"/>
      <c r="D262" s="261"/>
      <c r="E262" s="382"/>
      <c r="F262" s="381"/>
      <c r="G262" s="381"/>
      <c r="H262" s="381"/>
      <c r="I262" s="381"/>
      <c r="J262" s="381"/>
      <c r="K262" s="381"/>
      <c r="L262" s="330">
        <v>0</v>
      </c>
      <c r="M262" s="382">
        <v>0</v>
      </c>
      <c r="N262" s="331">
        <v>0</v>
      </c>
      <c r="O262" s="382">
        <v>0</v>
      </c>
      <c r="P262" s="261"/>
      <c r="Q262" s="264"/>
      <c r="R262" s="5"/>
    </row>
    <row r="263" spans="1:18" ht="15.6" x14ac:dyDescent="0.3">
      <c r="A263" s="260"/>
      <c r="B263" s="330" t="s">
        <v>227</v>
      </c>
      <c r="C263" s="381"/>
      <c r="D263" s="261"/>
      <c r="E263" s="382"/>
      <c r="F263" s="381"/>
      <c r="G263" s="381"/>
      <c r="H263" s="381"/>
      <c r="I263" s="381"/>
      <c r="J263" s="381"/>
      <c r="K263" s="381"/>
      <c r="L263" s="330">
        <v>0</v>
      </c>
      <c r="M263" s="382">
        <v>0</v>
      </c>
      <c r="N263" s="331">
        <v>0</v>
      </c>
      <c r="O263" s="382">
        <v>0</v>
      </c>
      <c r="P263" s="261"/>
      <c r="Q263" s="264"/>
      <c r="R263" s="5"/>
    </row>
    <row r="264" spans="1:18" ht="15.6" x14ac:dyDescent="0.3">
      <c r="A264" s="260"/>
      <c r="B264" s="330" t="s">
        <v>228</v>
      </c>
      <c r="C264" s="381"/>
      <c r="D264" s="261"/>
      <c r="E264" s="382"/>
      <c r="F264" s="381"/>
      <c r="G264" s="381"/>
      <c r="H264" s="381"/>
      <c r="I264" s="381"/>
      <c r="J264" s="381"/>
      <c r="K264" s="381"/>
      <c r="L264" s="330">
        <v>0</v>
      </c>
      <c r="M264" s="382">
        <v>0</v>
      </c>
      <c r="N264" s="331">
        <v>0</v>
      </c>
      <c r="O264" s="382">
        <v>0</v>
      </c>
      <c r="P264" s="261"/>
      <c r="Q264" s="264"/>
      <c r="R264" s="5"/>
    </row>
    <row r="265" spans="1:18" ht="15.6" x14ac:dyDescent="0.3">
      <c r="A265" s="260"/>
      <c r="B265" s="330" t="s">
        <v>229</v>
      </c>
      <c r="C265" s="381"/>
      <c r="D265" s="261"/>
      <c r="E265" s="382"/>
      <c r="F265" s="381"/>
      <c r="G265" s="381"/>
      <c r="H265" s="381"/>
      <c r="I265" s="381"/>
      <c r="J265" s="381"/>
      <c r="K265" s="381"/>
      <c r="L265" s="330">
        <v>0</v>
      </c>
      <c r="M265" s="382">
        <v>0</v>
      </c>
      <c r="N265" s="331">
        <v>0</v>
      </c>
      <c r="O265" s="382">
        <v>0</v>
      </c>
      <c r="P265" s="261"/>
      <c r="Q265" s="264"/>
      <c r="R265" s="5"/>
    </row>
    <row r="266" spans="1:18" ht="15.6" x14ac:dyDescent="0.3">
      <c r="A266" s="260"/>
      <c r="B266" s="330" t="s">
        <v>230</v>
      </c>
      <c r="C266" s="381"/>
      <c r="D266" s="261"/>
      <c r="E266" s="382"/>
      <c r="F266" s="381"/>
      <c r="G266" s="381"/>
      <c r="H266" s="381"/>
      <c r="I266" s="381"/>
      <c r="J266" s="381"/>
      <c r="K266" s="381"/>
      <c r="L266" s="330">
        <v>0</v>
      </c>
      <c r="M266" s="382">
        <v>0</v>
      </c>
      <c r="N266" s="331">
        <v>0</v>
      </c>
      <c r="O266" s="382">
        <v>0</v>
      </c>
      <c r="P266" s="261"/>
      <c r="Q266" s="264"/>
      <c r="R266" s="5"/>
    </row>
    <row r="267" spans="1:18" ht="15.6" x14ac:dyDescent="0.3">
      <c r="A267" s="260"/>
      <c r="B267" s="330" t="s">
        <v>231</v>
      </c>
      <c r="C267" s="381"/>
      <c r="D267" s="261"/>
      <c r="E267" s="382"/>
      <c r="F267" s="381"/>
      <c r="G267" s="381"/>
      <c r="H267" s="381"/>
      <c r="I267" s="381"/>
      <c r="J267" s="381"/>
      <c r="K267" s="381"/>
      <c r="L267" s="330">
        <v>0</v>
      </c>
      <c r="M267" s="382">
        <v>0</v>
      </c>
      <c r="N267" s="331">
        <v>0</v>
      </c>
      <c r="O267" s="382">
        <v>0</v>
      </c>
      <c r="P267" s="261"/>
      <c r="Q267" s="264"/>
      <c r="R267" s="5"/>
    </row>
    <row r="268" spans="1:18" ht="15.6" x14ac:dyDescent="0.3">
      <c r="A268" s="260"/>
      <c r="B268" s="261" t="s">
        <v>129</v>
      </c>
      <c r="C268" s="261"/>
      <c r="D268" s="261"/>
      <c r="E268" s="261"/>
      <c r="F268" s="383"/>
      <c r="G268" s="383"/>
      <c r="H268" s="383"/>
      <c r="I268" s="383"/>
      <c r="J268" s="383"/>
      <c r="K268" s="383"/>
      <c r="L268" s="330">
        <f>SUM(L260:L267)</f>
        <v>0</v>
      </c>
      <c r="M268" s="382">
        <f>SUM(M260:M267)</f>
        <v>0</v>
      </c>
      <c r="N268" s="331">
        <f>SUM(N260:N267)</f>
        <v>0</v>
      </c>
      <c r="O268" s="382">
        <f>SUM(O260:O267)</f>
        <v>0</v>
      </c>
      <c r="P268" s="261"/>
      <c r="Q268" s="264"/>
      <c r="R268" s="5"/>
    </row>
    <row r="269" spans="1:18" ht="15.6" x14ac:dyDescent="0.3">
      <c r="A269" s="260"/>
      <c r="B269" s="261"/>
      <c r="C269" s="261"/>
      <c r="D269" s="261"/>
      <c r="E269" s="261"/>
      <c r="F269" s="383"/>
      <c r="G269" s="383"/>
      <c r="H269" s="383"/>
      <c r="I269" s="383"/>
      <c r="J269" s="383"/>
      <c r="K269" s="383"/>
      <c r="L269" s="330"/>
      <c r="M269" s="382"/>
      <c r="N269" s="331"/>
      <c r="O269" s="382"/>
      <c r="P269" s="261"/>
      <c r="Q269" s="264"/>
      <c r="R269" s="5"/>
    </row>
    <row r="270" spans="1:18" ht="15.6" x14ac:dyDescent="0.3">
      <c r="A270" s="260"/>
      <c r="B270" s="266" t="s">
        <v>240</v>
      </c>
      <c r="C270" s="261"/>
      <c r="D270" s="261"/>
      <c r="E270" s="261"/>
      <c r="F270" s="383"/>
      <c r="G270" s="383"/>
      <c r="H270" s="383"/>
      <c r="I270" s="383"/>
      <c r="J270" s="383"/>
      <c r="K270" s="383"/>
      <c r="L270" s="401">
        <f>+L246+L257+L268</f>
        <v>0</v>
      </c>
      <c r="M270" s="382"/>
      <c r="N270" s="386">
        <f>+N268+N257+N246</f>
        <v>0</v>
      </c>
      <c r="O270" s="382"/>
      <c r="P270" s="261"/>
      <c r="Q270" s="264"/>
      <c r="R270" s="5"/>
    </row>
    <row r="271" spans="1:18" ht="15.6" x14ac:dyDescent="0.3">
      <c r="A271" s="183"/>
      <c r="B271" s="257"/>
      <c r="C271" s="257"/>
      <c r="D271" s="257"/>
      <c r="E271" s="257"/>
      <c r="F271" s="378"/>
      <c r="G271" s="378"/>
      <c r="H271" s="378"/>
      <c r="I271" s="378"/>
      <c r="J271" s="378"/>
      <c r="K271" s="378"/>
      <c r="L271" s="378"/>
      <c r="M271" s="378"/>
      <c r="N271" s="380"/>
      <c r="O271" s="378"/>
      <c r="P271" s="257"/>
      <c r="Q271" s="409"/>
      <c r="R271" s="5"/>
    </row>
    <row r="272" spans="1:18" ht="15.6" x14ac:dyDescent="0.3">
      <c r="A272" s="183"/>
      <c r="B272" s="236"/>
      <c r="C272" s="236"/>
      <c r="D272" s="236"/>
      <c r="E272" s="236"/>
      <c r="F272" s="311"/>
      <c r="G272" s="311"/>
      <c r="H272" s="311"/>
      <c r="I272" s="311"/>
      <c r="J272" s="311"/>
      <c r="K272" s="311"/>
      <c r="L272" s="311"/>
      <c r="M272" s="311"/>
      <c r="N272" s="312"/>
      <c r="O272" s="311"/>
      <c r="P272" s="236"/>
      <c r="Q272" s="409"/>
      <c r="R272" s="5"/>
    </row>
    <row r="273" spans="1:18" ht="15.6" x14ac:dyDescent="0.3">
      <c r="A273" s="225"/>
      <c r="B273" s="228" t="s">
        <v>102</v>
      </c>
      <c r="C273" s="236"/>
      <c r="D273" s="236"/>
      <c r="E273" s="236"/>
      <c r="F273" s="246" t="s">
        <v>108</v>
      </c>
      <c r="G273" s="236"/>
      <c r="H273" s="228" t="s">
        <v>110</v>
      </c>
      <c r="I273" s="249"/>
      <c r="J273" s="249"/>
      <c r="K273" s="249"/>
      <c r="L273" s="249"/>
      <c r="M273" s="249"/>
      <c r="N273" s="249"/>
      <c r="O273" s="249"/>
      <c r="P273" s="249"/>
      <c r="Q273" s="418"/>
      <c r="R273" s="5"/>
    </row>
    <row r="274" spans="1:18" ht="15.6" x14ac:dyDescent="0.3">
      <c r="A274" s="225"/>
      <c r="B274" s="249"/>
      <c r="C274" s="236"/>
      <c r="D274" s="236"/>
      <c r="E274" s="236"/>
      <c r="F274" s="236"/>
      <c r="G274" s="236"/>
      <c r="H274" s="236"/>
      <c r="I274" s="249"/>
      <c r="J274" s="249"/>
      <c r="K274" s="249"/>
      <c r="L274" s="249"/>
      <c r="M274" s="249"/>
      <c r="N274" s="249"/>
      <c r="O274" s="249"/>
      <c r="P274" s="249"/>
      <c r="Q274" s="418"/>
      <c r="R274" s="5"/>
    </row>
    <row r="275" spans="1:18" ht="15.6" x14ac:dyDescent="0.3">
      <c r="A275" s="225"/>
      <c r="B275" s="228" t="s">
        <v>310</v>
      </c>
      <c r="C275" s="228"/>
      <c r="D275" s="228"/>
      <c r="E275" s="228"/>
      <c r="F275" s="313" t="s">
        <v>264</v>
      </c>
      <c r="G275" s="228"/>
      <c r="H275" s="228" t="s">
        <v>265</v>
      </c>
      <c r="I275" s="249"/>
      <c r="J275" s="249"/>
      <c r="K275" s="249"/>
      <c r="L275" s="249"/>
      <c r="M275" s="249"/>
      <c r="N275" s="249"/>
      <c r="O275" s="249"/>
      <c r="P275" s="249"/>
      <c r="Q275" s="418"/>
      <c r="R275" s="5"/>
    </row>
    <row r="276" spans="1:18" ht="15.6" x14ac:dyDescent="0.3">
      <c r="A276" s="225"/>
      <c r="B276" s="228" t="s">
        <v>311</v>
      </c>
      <c r="C276" s="228"/>
      <c r="D276" s="228"/>
      <c r="E276" s="228"/>
      <c r="F276" s="313" t="s">
        <v>211</v>
      </c>
      <c r="G276" s="228"/>
      <c r="H276" s="228" t="s">
        <v>223</v>
      </c>
      <c r="I276" s="249"/>
      <c r="J276" s="249"/>
      <c r="K276" s="249"/>
      <c r="L276" s="249"/>
      <c r="M276" s="249"/>
      <c r="N276" s="249"/>
      <c r="O276" s="249"/>
      <c r="P276" s="249"/>
      <c r="Q276" s="418"/>
      <c r="R276" s="5"/>
    </row>
    <row r="277" spans="1:18" ht="15.6" x14ac:dyDescent="0.3">
      <c r="A277" s="225"/>
      <c r="B277" s="228"/>
      <c r="C277" s="228"/>
      <c r="D277" s="228"/>
      <c r="E277" s="314"/>
      <c r="F277" s="249"/>
      <c r="G277" s="249"/>
      <c r="H277" s="249"/>
      <c r="I277" s="249"/>
      <c r="J277" s="249"/>
      <c r="K277" s="249"/>
      <c r="L277" s="249"/>
      <c r="M277" s="249"/>
      <c r="N277" s="249"/>
      <c r="O277" s="249"/>
      <c r="P277" s="249"/>
      <c r="Q277" s="418"/>
      <c r="R277" s="5"/>
    </row>
    <row r="278" spans="1:18" ht="15.6" x14ac:dyDescent="0.3">
      <c r="A278" s="225"/>
      <c r="B278" s="228"/>
      <c r="C278" s="228"/>
      <c r="D278" s="228"/>
      <c r="E278" s="314"/>
      <c r="F278" s="249"/>
      <c r="G278" s="249"/>
      <c r="H278" s="249"/>
      <c r="I278" s="249"/>
      <c r="J278" s="249"/>
      <c r="K278" s="249"/>
      <c r="L278" s="249"/>
      <c r="M278" s="249"/>
      <c r="N278" s="249"/>
      <c r="O278" s="249"/>
      <c r="P278" s="249"/>
      <c r="Q278" s="418"/>
      <c r="R278" s="5"/>
    </row>
    <row r="279" spans="1:18" ht="18" thickBot="1" x14ac:dyDescent="0.35">
      <c r="A279" s="225"/>
      <c r="B279" s="315" t="str">
        <f>B187</f>
        <v>PM7 INVESTOR REPORT QUARTER ENDING JULY 2017</v>
      </c>
      <c r="C279" s="228"/>
      <c r="D279" s="228"/>
      <c r="E279" s="314"/>
      <c r="F279" s="249"/>
      <c r="G279" s="249"/>
      <c r="H279" s="249"/>
      <c r="I279" s="249"/>
      <c r="J279" s="249"/>
      <c r="K279" s="249"/>
      <c r="L279" s="249"/>
      <c r="M279" s="249"/>
      <c r="N279" s="249"/>
      <c r="O279" s="249"/>
      <c r="P279" s="249"/>
      <c r="Q279" s="419"/>
      <c r="R279" s="5"/>
    </row>
    <row r="280" spans="1:18" x14ac:dyDescent="0.25">
      <c r="A280" s="100"/>
      <c r="B280" s="100"/>
      <c r="C280" s="100"/>
      <c r="D280" s="100"/>
      <c r="E280" s="100"/>
      <c r="F280" s="100"/>
      <c r="G280" s="100"/>
      <c r="H280" s="100"/>
      <c r="I280" s="100"/>
      <c r="J280" s="100"/>
      <c r="K280" s="100"/>
      <c r="L280" s="100"/>
      <c r="M280" s="100"/>
      <c r="N280" s="100"/>
      <c r="O280" s="100"/>
      <c r="P280" s="100"/>
      <c r="Q280" s="100"/>
    </row>
  </sheetData>
  <hyperlinks>
    <hyperlink ref="H9" r:id="rId1"/>
    <hyperlink ref="J224" r:id="rId2"/>
  </hyperlinks>
  <printOptions horizontalCentered="1" verticalCentered="1"/>
  <pageMargins left="0.19685039370078741" right="0.19685039370078741" top="0.27559055118110237" bottom="0.27559055118110237" header="0" footer="0"/>
  <pageSetup scale="40" orientation="landscape" r:id="rId3"/>
  <headerFooter alignWithMargins="0"/>
  <rowBreaks count="4" manualBreakCount="4">
    <brk id="65" max="16" man="1"/>
    <brk id="134" max="16" man="1"/>
    <brk id="187" max="16" man="1"/>
    <brk id="279" max="16"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8"/>
  </sheetPr>
  <dimension ref="A1:S262"/>
  <sheetViews>
    <sheetView showOutlineSymbols="0" zoomScale="70" zoomScaleNormal="70" workbookViewId="0">
      <selection sqref="A1:A2"/>
    </sheetView>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0.93969999999999998</v>
      </c>
      <c r="N17" s="17" t="s">
        <v>173</v>
      </c>
      <c r="O17" s="138">
        <v>6.0699999999999997E-2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38772</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178</v>
      </c>
      <c r="K28" s="123"/>
      <c r="L28" s="123" t="s">
        <v>178</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375032.25</v>
      </c>
      <c r="E34" s="31"/>
      <c r="F34" s="131">
        <f>+F33*F40</f>
        <v>183341.40000000002</v>
      </c>
      <c r="G34" s="31"/>
      <c r="H34" s="124">
        <f>+H33*H40</f>
        <v>416706</v>
      </c>
      <c r="I34" s="31"/>
      <c r="J34" s="130">
        <v>82500</v>
      </c>
      <c r="K34" s="31"/>
      <c r="L34" s="124">
        <v>65000</v>
      </c>
      <c r="M34" s="31"/>
      <c r="N34" s="31"/>
      <c r="O34" s="142"/>
      <c r="P34" s="31"/>
      <c r="Q34" s="34"/>
      <c r="R34" s="5"/>
    </row>
    <row r="35" spans="1:18" ht="15.6" x14ac:dyDescent="0.3">
      <c r="A35" s="28"/>
      <c r="B35" s="29" t="s">
        <v>158</v>
      </c>
      <c r="C35" s="36"/>
      <c r="D35" s="129">
        <f>+D33*D39</f>
        <v>358903.80000000005</v>
      </c>
      <c r="E35" s="35"/>
      <c r="F35" s="132">
        <f>+F33*F39</f>
        <v>175455.06</v>
      </c>
      <c r="G35" s="35"/>
      <c r="H35" s="125">
        <f>+H33*H39</f>
        <v>398787</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210810.70826306916</v>
      </c>
      <c r="E37" s="31"/>
      <c r="F37" s="31">
        <f>+F34</f>
        <v>183341.40000000002</v>
      </c>
      <c r="G37" s="31"/>
      <c r="H37" s="31">
        <f>+H34/1.481481</f>
        <v>281276.64141490846</v>
      </c>
      <c r="I37" s="31"/>
      <c r="J37" s="31">
        <v>46374</v>
      </c>
      <c r="K37" s="31"/>
      <c r="L37" s="31">
        <v>43875</v>
      </c>
      <c r="M37" s="31"/>
      <c r="N37" s="31"/>
      <c r="O37" s="142"/>
      <c r="P37" s="31">
        <f>SUM(C37:L37)+1</f>
        <v>765678.74967797764</v>
      </c>
      <c r="Q37" s="34"/>
      <c r="R37" s="5"/>
    </row>
    <row r="38" spans="1:18" ht="15.6" x14ac:dyDescent="0.3">
      <c r="A38" s="28"/>
      <c r="B38" s="29" t="s">
        <v>281</v>
      </c>
      <c r="C38" s="36"/>
      <c r="D38" s="35">
        <f>D35/1.779</f>
        <v>201744.68802698149</v>
      </c>
      <c r="E38" s="35"/>
      <c r="F38" s="35">
        <f>+F35</f>
        <v>175455.06</v>
      </c>
      <c r="G38" s="35"/>
      <c r="H38" s="35">
        <f>H35/1.481481</f>
        <v>269181.31248392654</v>
      </c>
      <c r="I38" s="35"/>
      <c r="J38" s="35">
        <v>46374</v>
      </c>
      <c r="K38" s="35"/>
      <c r="L38" s="35">
        <v>43875</v>
      </c>
      <c r="M38" s="35"/>
      <c r="N38" s="35"/>
      <c r="O38" s="37"/>
      <c r="P38" s="35">
        <f>SUM(D38:L38)</f>
        <v>736630.06051090802</v>
      </c>
      <c r="Q38" s="34"/>
      <c r="R38" s="5"/>
    </row>
    <row r="39" spans="1:18" ht="15.6" x14ac:dyDescent="0.3">
      <c r="A39" s="28"/>
      <c r="B39" s="122" t="s">
        <v>154</v>
      </c>
      <c r="C39" s="126"/>
      <c r="D39" s="139">
        <v>0.79756400000000005</v>
      </c>
      <c r="E39" s="139"/>
      <c r="F39" s="139">
        <v>0.79752299999999998</v>
      </c>
      <c r="G39" s="139"/>
      <c r="H39" s="139">
        <v>0.79757400000000001</v>
      </c>
      <c r="I39" s="139"/>
      <c r="J39" s="139">
        <v>1</v>
      </c>
      <c r="K39" s="139"/>
      <c r="L39" s="139">
        <v>1</v>
      </c>
      <c r="M39" s="31"/>
      <c r="N39" s="31"/>
      <c r="O39" s="142"/>
      <c r="P39" s="31"/>
      <c r="Q39" s="34"/>
      <c r="R39" s="5"/>
    </row>
    <row r="40" spans="1:18" ht="15.6" x14ac:dyDescent="0.3">
      <c r="A40" s="28"/>
      <c r="B40" s="122" t="s">
        <v>155</v>
      </c>
      <c r="C40" s="126"/>
      <c r="D40" s="139">
        <v>0.83340499999999995</v>
      </c>
      <c r="E40" s="139"/>
      <c r="F40" s="139">
        <v>0.83337000000000006</v>
      </c>
      <c r="G40" s="139"/>
      <c r="H40" s="139">
        <v>0.83341200000000004</v>
      </c>
      <c r="I40" s="139"/>
      <c r="J40" s="139">
        <v>1</v>
      </c>
      <c r="K40" s="139"/>
      <c r="L40" s="139">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4.5499999999999999E-2</v>
      </c>
      <c r="E42" s="39"/>
      <c r="F42" s="38">
        <v>4.8362500000000003E-2</v>
      </c>
      <c r="G42" s="39"/>
      <c r="H42" s="38">
        <v>2.5309999999999999E-2</v>
      </c>
      <c r="I42" s="39"/>
      <c r="J42" s="38">
        <v>5.0900000000000001E-2</v>
      </c>
      <c r="K42" s="39"/>
      <c r="L42" s="38">
        <v>3.0710000000000001E-2</v>
      </c>
      <c r="M42" s="39"/>
      <c r="N42" s="38"/>
      <c r="O42" s="141"/>
      <c r="P42" s="39"/>
      <c r="Q42" s="25"/>
      <c r="R42" s="5"/>
    </row>
    <row r="43" spans="1:18" ht="15.6" x14ac:dyDescent="0.3">
      <c r="A43" s="24"/>
      <c r="B43" s="25" t="s">
        <v>14</v>
      </c>
      <c r="C43" s="25"/>
      <c r="D43" s="38">
        <v>0.04</v>
      </c>
      <c r="E43" s="39"/>
      <c r="F43" s="38">
        <v>4.7962499999999998E-2</v>
      </c>
      <c r="G43" s="39"/>
      <c r="H43" s="38">
        <v>2.3439999999999999E-2</v>
      </c>
      <c r="I43" s="39"/>
      <c r="J43" s="38">
        <v>4.5400000000000003E-2</v>
      </c>
      <c r="K43" s="39"/>
      <c r="L43" s="38">
        <v>2.8840000000000001E-2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4.9307499999999997E-2</v>
      </c>
      <c r="E45" s="39"/>
      <c r="F45" s="38">
        <v>4.8362500000000003E-2</v>
      </c>
      <c r="G45" s="39"/>
      <c r="H45" s="38">
        <v>4.9187500000000002E-2</v>
      </c>
      <c r="I45" s="39"/>
      <c r="J45" s="38">
        <v>5.5437500000000001E-2</v>
      </c>
      <c r="K45" s="39"/>
      <c r="L45" s="38">
        <v>5.5437500000000001E-2</v>
      </c>
      <c r="M45" s="39"/>
      <c r="N45" s="38"/>
      <c r="O45" s="141"/>
      <c r="P45" s="39">
        <f>SUMPRODUCT(D45:L45,D37:L37)/P37</f>
        <v>4.9759603761108433E-2</v>
      </c>
      <c r="Q45" s="25"/>
      <c r="R45" s="5"/>
    </row>
    <row r="46" spans="1:18" ht="15.6" x14ac:dyDescent="0.3">
      <c r="A46" s="24"/>
      <c r="B46" s="25" t="s">
        <v>283</v>
      </c>
      <c r="C46" s="25"/>
      <c r="D46" s="38">
        <v>4.89075E-2</v>
      </c>
      <c r="E46" s="39"/>
      <c r="F46" s="38">
        <v>4.7962499999999998E-2</v>
      </c>
      <c r="G46" s="39"/>
      <c r="H46" s="38">
        <v>4.8787499999999998E-2</v>
      </c>
      <c r="I46" s="39"/>
      <c r="J46" s="38">
        <v>5.5037500000000003E-2</v>
      </c>
      <c r="K46" s="39"/>
      <c r="L46" s="38">
        <v>5.5037500000000003E-2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0.13962197458054543</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38763</v>
      </c>
      <c r="Q57" s="25"/>
      <c r="R57" s="5"/>
    </row>
    <row r="58" spans="1:18" ht="15.6" x14ac:dyDescent="0.3">
      <c r="A58" s="24"/>
      <c r="B58" s="25" t="s">
        <v>142</v>
      </c>
      <c r="C58" s="25"/>
      <c r="D58" s="25"/>
      <c r="E58" s="25"/>
      <c r="F58" s="58"/>
      <c r="G58" s="58"/>
      <c r="H58" s="58"/>
      <c r="I58" s="58"/>
      <c r="J58" s="58"/>
      <c r="K58" s="58"/>
      <c r="L58" s="25">
        <f>+P58-N58+1</f>
        <v>92</v>
      </c>
      <c r="M58" s="58"/>
      <c r="N58" s="45">
        <v>38579</v>
      </c>
      <c r="O58" s="46"/>
      <c r="P58" s="45">
        <v>38670</v>
      </c>
      <c r="Q58" s="25"/>
      <c r="R58" s="5"/>
    </row>
    <row r="59" spans="1:18" ht="15.6" x14ac:dyDescent="0.3">
      <c r="A59" s="24"/>
      <c r="B59" s="25" t="s">
        <v>143</v>
      </c>
      <c r="C59" s="25"/>
      <c r="D59" s="25"/>
      <c r="E59" s="25"/>
      <c r="F59" s="25"/>
      <c r="G59" s="25"/>
      <c r="H59" s="25"/>
      <c r="I59" s="25"/>
      <c r="J59" s="25"/>
      <c r="K59" s="25"/>
      <c r="L59" s="25">
        <f>+P59-N59+1</f>
        <v>92</v>
      </c>
      <c r="M59" s="25"/>
      <c r="N59" s="45">
        <v>38671</v>
      </c>
      <c r="O59" s="46"/>
      <c r="P59" s="45">
        <v>38762</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38749</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247</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765678</v>
      </c>
      <c r="I70" s="34"/>
      <c r="J70" s="34">
        <f>29048+3340+198-1</f>
        <v>32585</v>
      </c>
      <c r="K70" s="34"/>
      <c r="L70" s="34">
        <f>3340+198</f>
        <v>3538</v>
      </c>
      <c r="M70" s="34"/>
      <c r="N70" s="34">
        <v>0</v>
      </c>
      <c r="O70" s="34"/>
      <c r="P70" s="53">
        <f>+H70-J70+L70-N70</f>
        <v>736631</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765678</v>
      </c>
      <c r="I73" s="34"/>
      <c r="J73" s="34">
        <f>SUM(J70:J72)</f>
        <v>32585</v>
      </c>
      <c r="K73" s="34"/>
      <c r="L73" s="34">
        <f>SUM(L70:L72)</f>
        <v>3538</v>
      </c>
      <c r="M73" s="34"/>
      <c r="N73" s="34">
        <f>SUM(N70:N72)</f>
        <v>0</v>
      </c>
      <c r="O73" s="34"/>
      <c r="P73" s="54">
        <f>SUM(P70:P72)</f>
        <v>736631</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v>0</v>
      </c>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v>0</v>
      </c>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765678</v>
      </c>
      <c r="I86" s="34"/>
      <c r="J86" s="34"/>
      <c r="K86" s="34"/>
      <c r="L86" s="34"/>
      <c r="M86" s="34"/>
      <c r="N86" s="54"/>
      <c r="O86" s="34"/>
      <c r="P86" s="54">
        <f>SUM(P73:P85)</f>
        <v>736631</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38748</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v>32585</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12290+721-1718-96</f>
        <v>11197</v>
      </c>
      <c r="Q92" s="25"/>
      <c r="R92" s="5"/>
    </row>
    <row r="93" spans="1:18" ht="15.6" x14ac:dyDescent="0.3">
      <c r="A93" s="24"/>
      <c r="B93" s="25" t="s">
        <v>249</v>
      </c>
      <c r="C93" s="25"/>
      <c r="D93" s="25"/>
      <c r="E93" s="25"/>
      <c r="F93" s="40"/>
      <c r="G93" s="57"/>
      <c r="H93" s="127"/>
      <c r="I93" s="25"/>
      <c r="J93" s="25"/>
      <c r="K93" s="25"/>
      <c r="L93" s="25"/>
      <c r="M93" s="25"/>
      <c r="N93" s="34"/>
      <c r="O93" s="25"/>
      <c r="P93" s="53">
        <f>573+44</f>
        <v>617</v>
      </c>
      <c r="Q93" s="25"/>
      <c r="R93" s="5"/>
    </row>
    <row r="94" spans="1:18" ht="15.6" x14ac:dyDescent="0.3">
      <c r="A94" s="24"/>
      <c r="B94" s="25" t="s">
        <v>250</v>
      </c>
      <c r="C94" s="25"/>
      <c r="D94" s="25"/>
      <c r="E94" s="25"/>
      <c r="F94" s="40"/>
      <c r="G94" s="57"/>
      <c r="H94" s="127"/>
      <c r="I94" s="25"/>
      <c r="J94" s="25"/>
      <c r="K94" s="25"/>
      <c r="L94" s="25"/>
      <c r="M94" s="25"/>
      <c r="N94" s="34"/>
      <c r="O94" s="25"/>
      <c r="P94" s="53">
        <v>491</v>
      </c>
      <c r="Q94" s="25"/>
      <c r="R94" s="5"/>
    </row>
    <row r="95" spans="1:18" ht="15.6" x14ac:dyDescent="0.3">
      <c r="A95" s="24"/>
      <c r="B95" s="25" t="s">
        <v>160</v>
      </c>
      <c r="C95" s="25"/>
      <c r="D95" s="25"/>
      <c r="E95" s="25"/>
      <c r="F95" s="25"/>
      <c r="G95" s="25"/>
      <c r="H95" s="25"/>
      <c r="I95" s="25"/>
      <c r="J95" s="25"/>
      <c r="K95" s="25"/>
      <c r="L95" s="25"/>
      <c r="M95" s="25"/>
      <c r="N95" s="34"/>
      <c r="O95" s="25"/>
      <c r="P95" s="53">
        <v>0</v>
      </c>
      <c r="Q95" s="25"/>
      <c r="R95" s="5"/>
    </row>
    <row r="96" spans="1:18" ht="15.6" x14ac:dyDescent="0.3">
      <c r="A96" s="24"/>
      <c r="B96" s="25" t="s">
        <v>192</v>
      </c>
      <c r="C96" s="25"/>
      <c r="D96" s="25"/>
      <c r="E96" s="25"/>
      <c r="F96" s="25"/>
      <c r="G96" s="25"/>
      <c r="H96" s="25"/>
      <c r="I96" s="25"/>
      <c r="J96" s="25"/>
      <c r="K96" s="25"/>
      <c r="L96" s="25"/>
      <c r="M96" s="25"/>
      <c r="N96" s="34"/>
      <c r="O96" s="25"/>
      <c r="P96" s="53">
        <v>0</v>
      </c>
      <c r="Q96" s="25"/>
      <c r="R96" s="5"/>
    </row>
    <row r="97" spans="1:19" ht="15.6" x14ac:dyDescent="0.3">
      <c r="A97" s="24"/>
      <c r="B97" s="25" t="s">
        <v>35</v>
      </c>
      <c r="C97" s="25"/>
      <c r="D97" s="25"/>
      <c r="E97" s="25"/>
      <c r="F97" s="25"/>
      <c r="G97" s="25"/>
      <c r="H97" s="25"/>
      <c r="I97" s="25"/>
      <c r="J97" s="25"/>
      <c r="K97" s="25"/>
      <c r="L97" s="25"/>
      <c r="M97" s="25"/>
      <c r="N97" s="34">
        <f>SUM(N90:N96)</f>
        <v>32585</v>
      </c>
      <c r="O97" s="25"/>
      <c r="P97" s="54">
        <f>SUM(P90:P96)</f>
        <v>12305</v>
      </c>
      <c r="Q97" s="25"/>
      <c r="R97" s="5"/>
    </row>
    <row r="98" spans="1:19" ht="15.6" x14ac:dyDescent="0.3">
      <c r="A98" s="24"/>
      <c r="B98" s="25" t="s">
        <v>237</v>
      </c>
      <c r="C98" s="25"/>
      <c r="D98" s="25"/>
      <c r="E98" s="25"/>
      <c r="F98" s="25"/>
      <c r="G98" s="25"/>
      <c r="H98" s="25"/>
      <c r="I98" s="25"/>
      <c r="J98" s="25"/>
      <c r="K98" s="25"/>
      <c r="L98" s="25"/>
      <c r="M98" s="25"/>
      <c r="N98" s="34">
        <v>-6</v>
      </c>
      <c r="O98" s="25"/>
      <c r="P98" s="54">
        <f>-N98</f>
        <v>6</v>
      </c>
      <c r="Q98" s="25"/>
      <c r="R98" s="5"/>
    </row>
    <row r="99" spans="1:19" ht="15.6" x14ac:dyDescent="0.3">
      <c r="A99" s="24"/>
      <c r="B99" s="25" t="s">
        <v>36</v>
      </c>
      <c r="C99" s="25"/>
      <c r="D99" s="25"/>
      <c r="E99" s="25"/>
      <c r="F99" s="25"/>
      <c r="G99" s="25"/>
      <c r="H99" s="25"/>
      <c r="I99" s="25"/>
      <c r="J99" s="25"/>
      <c r="K99" s="25"/>
      <c r="L99" s="25"/>
      <c r="M99" s="25"/>
      <c r="N99" s="34">
        <f>-P99</f>
        <v>0</v>
      </c>
      <c r="O99" s="25"/>
      <c r="P99" s="53">
        <v>0</v>
      </c>
      <c r="Q99" s="25"/>
      <c r="R99" s="5"/>
    </row>
    <row r="100" spans="1:19" ht="15.6" x14ac:dyDescent="0.3">
      <c r="A100" s="24"/>
      <c r="B100" s="25" t="s">
        <v>37</v>
      </c>
      <c r="C100" s="25"/>
      <c r="D100" s="25"/>
      <c r="E100" s="25"/>
      <c r="F100" s="25"/>
      <c r="G100" s="25"/>
      <c r="H100" s="25"/>
      <c r="I100" s="25"/>
      <c r="J100" s="25"/>
      <c r="K100" s="25"/>
      <c r="L100" s="25"/>
      <c r="M100" s="25"/>
      <c r="N100" s="34">
        <f>N97+N99+N98</f>
        <v>32579</v>
      </c>
      <c r="O100" s="25"/>
      <c r="P100" s="54">
        <f>P97+P99+P98</f>
        <v>12311</v>
      </c>
      <c r="Q100" s="25"/>
      <c r="R100" s="5"/>
      <c r="S100" s="154"/>
    </row>
    <row r="101" spans="1:19" ht="15.6" x14ac:dyDescent="0.3">
      <c r="A101" s="24"/>
      <c r="B101" s="118" t="s">
        <v>38</v>
      </c>
      <c r="C101" s="25"/>
      <c r="D101" s="25"/>
      <c r="E101" s="25"/>
      <c r="F101" s="25"/>
      <c r="G101" s="25"/>
      <c r="H101" s="25"/>
      <c r="I101" s="25"/>
      <c r="J101" s="25"/>
      <c r="K101" s="25"/>
      <c r="L101" s="25"/>
      <c r="M101" s="25"/>
      <c r="N101" s="34"/>
      <c r="O101" s="25"/>
      <c r="P101" s="53"/>
      <c r="Q101" s="25"/>
      <c r="R101" s="5"/>
    </row>
    <row r="102" spans="1:19" ht="15.6" x14ac:dyDescent="0.3">
      <c r="A102" s="24">
        <v>1</v>
      </c>
      <c r="B102" s="25" t="s">
        <v>39</v>
      </c>
      <c r="C102" s="25"/>
      <c r="D102" s="25"/>
      <c r="E102" s="25"/>
      <c r="F102" s="25"/>
      <c r="G102" s="25"/>
      <c r="H102" s="25"/>
      <c r="I102" s="25"/>
      <c r="J102" s="25"/>
      <c r="K102" s="25"/>
      <c r="L102" s="25"/>
      <c r="M102" s="25"/>
      <c r="N102" s="25"/>
      <c r="O102" s="25"/>
      <c r="P102" s="53">
        <v>0</v>
      </c>
      <c r="Q102" s="25"/>
      <c r="R102" s="5"/>
    </row>
    <row r="103" spans="1:19" ht="15.6" x14ac:dyDescent="0.3">
      <c r="A103" s="24">
        <f>+A102+1</f>
        <v>2</v>
      </c>
      <c r="B103" s="25" t="s">
        <v>40</v>
      </c>
      <c r="C103" s="25"/>
      <c r="D103" s="25"/>
      <c r="E103" s="25"/>
      <c r="F103" s="25"/>
      <c r="G103" s="25"/>
      <c r="H103" s="25"/>
      <c r="I103" s="25"/>
      <c r="J103" s="25"/>
      <c r="K103" s="25"/>
      <c r="L103" s="25"/>
      <c r="M103" s="25"/>
      <c r="N103" s="25"/>
      <c r="O103" s="25"/>
      <c r="P103" s="53">
        <v>-2</v>
      </c>
      <c r="Q103" s="25"/>
      <c r="R103" s="5"/>
    </row>
    <row r="104" spans="1:19" ht="15.6" x14ac:dyDescent="0.3">
      <c r="A104" s="24">
        <f>+A103+1</f>
        <v>3</v>
      </c>
      <c r="B104" s="25" t="s">
        <v>226</v>
      </c>
      <c r="C104" s="25"/>
      <c r="D104" s="25"/>
      <c r="E104" s="25"/>
      <c r="F104" s="25"/>
      <c r="G104" s="25"/>
      <c r="H104" s="25"/>
      <c r="I104" s="25"/>
      <c r="J104" s="25"/>
      <c r="K104" s="25"/>
      <c r="L104" s="25"/>
      <c r="M104" s="25"/>
      <c r="N104" s="25"/>
      <c r="O104" s="25"/>
      <c r="P104" s="53">
        <f>-191-30-15</f>
        <v>-236</v>
      </c>
      <c r="Q104" s="25"/>
      <c r="R104" s="5"/>
    </row>
    <row r="105" spans="1:19" ht="15.6" x14ac:dyDescent="0.3">
      <c r="A105" s="24" t="s">
        <v>151</v>
      </c>
      <c r="B105" s="25" t="s">
        <v>131</v>
      </c>
      <c r="C105" s="25"/>
      <c r="D105" s="25"/>
      <c r="E105" s="25"/>
      <c r="F105" s="25"/>
      <c r="G105" s="25"/>
      <c r="H105" s="25"/>
      <c r="I105" s="25"/>
      <c r="J105" s="25"/>
      <c r="K105" s="25"/>
      <c r="L105" s="25"/>
      <c r="M105" s="25"/>
      <c r="N105" s="25"/>
      <c r="O105" s="25"/>
      <c r="P105" s="53">
        <v>-148</v>
      </c>
      <c r="Q105" s="25"/>
      <c r="R105" s="5"/>
    </row>
    <row r="106" spans="1:19" ht="15.6" x14ac:dyDescent="0.3">
      <c r="A106" s="24" t="s">
        <v>152</v>
      </c>
      <c r="B106" s="25" t="s">
        <v>195</v>
      </c>
      <c r="C106" s="25"/>
      <c r="D106" s="25"/>
      <c r="E106" s="25"/>
      <c r="F106" s="25"/>
      <c r="G106" s="25"/>
      <c r="H106" s="25"/>
      <c r="I106" s="25"/>
      <c r="J106" s="25"/>
      <c r="K106" s="25"/>
      <c r="L106" s="25"/>
      <c r="M106" s="25"/>
      <c r="N106" s="25"/>
      <c r="O106" s="25"/>
      <c r="P106" s="53">
        <v>-2620</v>
      </c>
      <c r="Q106" s="25"/>
      <c r="R106" s="5"/>
      <c r="S106" s="109"/>
    </row>
    <row r="107" spans="1:19" ht="15.6" x14ac:dyDescent="0.3">
      <c r="A107" s="24" t="s">
        <v>217</v>
      </c>
      <c r="B107" s="25" t="s">
        <v>196</v>
      </c>
      <c r="C107" s="25"/>
      <c r="D107" s="25"/>
      <c r="E107" s="25"/>
      <c r="F107" s="25"/>
      <c r="G107" s="25"/>
      <c r="H107" s="25"/>
      <c r="I107" s="25"/>
      <c r="J107" s="25"/>
      <c r="K107" s="25"/>
      <c r="L107" s="25"/>
      <c r="M107" s="25"/>
      <c r="N107" s="25"/>
      <c r="O107" s="25"/>
      <c r="P107" s="53">
        <v>-2235</v>
      </c>
      <c r="Q107" s="25"/>
      <c r="R107" s="5"/>
      <c r="S107" s="109"/>
    </row>
    <row r="108" spans="1:19" ht="15.6" x14ac:dyDescent="0.3">
      <c r="A108" s="24" t="s">
        <v>218</v>
      </c>
      <c r="B108" s="25" t="s">
        <v>197</v>
      </c>
      <c r="C108" s="25"/>
      <c r="D108" s="25"/>
      <c r="E108" s="25"/>
      <c r="F108" s="25"/>
      <c r="G108" s="25"/>
      <c r="H108" s="25"/>
      <c r="I108" s="25"/>
      <c r="J108" s="25"/>
      <c r="K108" s="25"/>
      <c r="L108" s="25"/>
      <c r="M108" s="25"/>
      <c r="N108" s="25"/>
      <c r="O108" s="25"/>
      <c r="P108" s="53">
        <v>-3487</v>
      </c>
      <c r="Q108" s="25"/>
      <c r="R108" s="5"/>
      <c r="S108" s="109"/>
    </row>
    <row r="109" spans="1:19" ht="15.6" x14ac:dyDescent="0.3">
      <c r="A109" s="24" t="s">
        <v>147</v>
      </c>
      <c r="B109" s="25" t="s">
        <v>146</v>
      </c>
      <c r="C109" s="25"/>
      <c r="D109" s="25"/>
      <c r="E109" s="25"/>
      <c r="F109" s="25"/>
      <c r="G109" s="25"/>
      <c r="H109" s="25"/>
      <c r="I109" s="25"/>
      <c r="J109" s="25"/>
      <c r="K109" s="25"/>
      <c r="L109" s="25"/>
      <c r="M109" s="25"/>
      <c r="N109" s="25"/>
      <c r="O109" s="25"/>
      <c r="P109" s="53">
        <v>-648</v>
      </c>
      <c r="Q109" s="25"/>
      <c r="R109" s="5"/>
      <c r="S109" s="109"/>
    </row>
    <row r="110" spans="1:19" ht="15.6" x14ac:dyDescent="0.3">
      <c r="A110" s="24" t="s">
        <v>148</v>
      </c>
      <c r="B110" s="25" t="s">
        <v>198</v>
      </c>
      <c r="C110" s="25"/>
      <c r="D110" s="25"/>
      <c r="E110" s="25"/>
      <c r="F110" s="25"/>
      <c r="G110" s="25"/>
      <c r="H110" s="25"/>
      <c r="I110" s="25"/>
      <c r="J110" s="25"/>
      <c r="K110" s="25"/>
      <c r="L110" s="25"/>
      <c r="M110" s="25"/>
      <c r="N110" s="25"/>
      <c r="O110" s="25"/>
      <c r="P110" s="53">
        <v>-613</v>
      </c>
      <c r="Q110" s="25"/>
      <c r="R110" s="5"/>
      <c r="S110" s="109"/>
    </row>
    <row r="111" spans="1:19" ht="15.6" x14ac:dyDescent="0.3">
      <c r="A111" s="24">
        <v>6</v>
      </c>
      <c r="B111" s="25" t="s">
        <v>41</v>
      </c>
      <c r="C111" s="25"/>
      <c r="D111" s="25"/>
      <c r="E111" s="25"/>
      <c r="F111" s="25"/>
      <c r="G111" s="25"/>
      <c r="H111" s="25"/>
      <c r="I111" s="25"/>
      <c r="J111" s="25"/>
      <c r="K111" s="25"/>
      <c r="L111" s="25"/>
      <c r="M111" s="25"/>
      <c r="N111" s="25"/>
      <c r="O111" s="25"/>
      <c r="P111" s="53">
        <v>-10</v>
      </c>
      <c r="Q111" s="25"/>
      <c r="R111" s="5"/>
    </row>
    <row r="112" spans="1:19" ht="15.6" x14ac:dyDescent="0.3">
      <c r="A112" s="24">
        <f t="shared" ref="A112:A117" si="0">+A111+1</f>
        <v>7</v>
      </c>
      <c r="B112" s="25" t="s">
        <v>53</v>
      </c>
      <c r="C112" s="25"/>
      <c r="D112" s="25"/>
      <c r="E112" s="25"/>
      <c r="F112" s="25"/>
      <c r="G112" s="25"/>
      <c r="H112" s="25"/>
      <c r="I112" s="25"/>
      <c r="J112" s="25"/>
      <c r="K112" s="25"/>
      <c r="L112" s="25"/>
      <c r="M112" s="25"/>
      <c r="N112" s="25"/>
      <c r="O112" s="25"/>
      <c r="P112" s="53">
        <v>0</v>
      </c>
      <c r="Q112" s="25"/>
      <c r="R112" s="5"/>
    </row>
    <row r="113" spans="1:18" ht="15.6" x14ac:dyDescent="0.3">
      <c r="A113" s="24">
        <f t="shared" si="0"/>
        <v>8</v>
      </c>
      <c r="B113" s="25" t="s">
        <v>149</v>
      </c>
      <c r="C113" s="25"/>
      <c r="D113" s="25"/>
      <c r="E113" s="25"/>
      <c r="F113" s="25"/>
      <c r="G113" s="25"/>
      <c r="H113" s="25"/>
      <c r="I113" s="25"/>
      <c r="J113" s="25"/>
      <c r="K113" s="25"/>
      <c r="L113" s="25"/>
      <c r="M113" s="25"/>
      <c r="N113" s="25"/>
      <c r="O113" s="25"/>
      <c r="P113" s="53">
        <v>0</v>
      </c>
      <c r="Q113" s="25"/>
      <c r="R113" s="5"/>
    </row>
    <row r="114" spans="1:18" ht="15.6" x14ac:dyDescent="0.3">
      <c r="A114" s="24">
        <f t="shared" si="0"/>
        <v>9</v>
      </c>
      <c r="B114" s="25" t="s">
        <v>42</v>
      </c>
      <c r="C114" s="25"/>
      <c r="D114" s="25"/>
      <c r="E114" s="25"/>
      <c r="F114" s="25"/>
      <c r="G114" s="25"/>
      <c r="H114" s="25"/>
      <c r="I114" s="25"/>
      <c r="J114" s="25"/>
      <c r="K114" s="25"/>
      <c r="L114" s="25"/>
      <c r="M114" s="25"/>
      <c r="N114" s="25"/>
      <c r="O114" s="25"/>
      <c r="P114" s="53">
        <v>0</v>
      </c>
      <c r="Q114" s="25"/>
      <c r="R114" s="5"/>
    </row>
    <row r="115" spans="1:18" ht="15.6" x14ac:dyDescent="0.3">
      <c r="A115" s="24">
        <f t="shared" si="0"/>
        <v>10</v>
      </c>
      <c r="B115" s="25" t="s">
        <v>43</v>
      </c>
      <c r="C115" s="25"/>
      <c r="D115" s="25"/>
      <c r="E115" s="25"/>
      <c r="F115" s="25"/>
      <c r="G115" s="25"/>
      <c r="H115" s="25"/>
      <c r="I115" s="25"/>
      <c r="J115" s="25"/>
      <c r="K115" s="25"/>
      <c r="L115" s="25"/>
      <c r="M115" s="25"/>
      <c r="N115" s="25"/>
      <c r="O115" s="25"/>
      <c r="P115" s="53">
        <v>0</v>
      </c>
      <c r="Q115" s="25"/>
      <c r="R115" s="5"/>
    </row>
    <row r="116" spans="1:18" ht="15.6" x14ac:dyDescent="0.3">
      <c r="A116" s="24">
        <f t="shared" si="0"/>
        <v>11</v>
      </c>
      <c r="B116" s="25" t="s">
        <v>215</v>
      </c>
      <c r="C116" s="25"/>
      <c r="D116" s="25"/>
      <c r="E116" s="25"/>
      <c r="F116" s="25"/>
      <c r="G116" s="25"/>
      <c r="H116" s="25"/>
      <c r="I116" s="25"/>
      <c r="J116" s="25"/>
      <c r="K116" s="25"/>
      <c r="L116" s="25"/>
      <c r="M116" s="25"/>
      <c r="N116" s="25"/>
      <c r="O116" s="25"/>
      <c r="P116" s="53">
        <v>-389</v>
      </c>
      <c r="Q116" s="25"/>
      <c r="R116" s="5"/>
    </row>
    <row r="117" spans="1:18" ht="15.6" x14ac:dyDescent="0.3">
      <c r="A117" s="24">
        <f t="shared" si="0"/>
        <v>12</v>
      </c>
      <c r="B117" s="25" t="s">
        <v>150</v>
      </c>
      <c r="C117" s="25"/>
      <c r="D117" s="25"/>
      <c r="E117" s="25"/>
      <c r="F117" s="25"/>
      <c r="G117" s="25"/>
      <c r="H117" s="25"/>
      <c r="I117" s="25"/>
      <c r="J117" s="25"/>
      <c r="K117" s="25"/>
      <c r="L117" s="25"/>
      <c r="M117" s="25"/>
      <c r="N117" s="25"/>
      <c r="O117" s="25"/>
      <c r="P117" s="53">
        <f>-P100-SUM(P102:P116)</f>
        <v>-1923</v>
      </c>
      <c r="Q117" s="25"/>
      <c r="R117" s="5"/>
    </row>
    <row r="118" spans="1:18" ht="15.6" x14ac:dyDescent="0.3">
      <c r="A118" s="24"/>
      <c r="B118" s="118" t="s">
        <v>44</v>
      </c>
      <c r="C118" s="25"/>
      <c r="D118" s="25"/>
      <c r="E118" s="25"/>
      <c r="F118" s="25"/>
      <c r="G118" s="25"/>
      <c r="H118" s="25"/>
      <c r="I118" s="25"/>
      <c r="J118" s="25"/>
      <c r="K118" s="25"/>
      <c r="L118" s="25"/>
      <c r="M118" s="25"/>
      <c r="N118" s="25"/>
      <c r="O118" s="25"/>
      <c r="P118" s="59"/>
      <c r="Q118" s="25"/>
      <c r="R118" s="5"/>
    </row>
    <row r="119" spans="1:18" ht="15.6" x14ac:dyDescent="0.3">
      <c r="A119" s="24"/>
      <c r="B119" s="25" t="s">
        <v>45</v>
      </c>
      <c r="C119" s="25"/>
      <c r="D119" s="25"/>
      <c r="E119" s="25"/>
      <c r="F119" s="25"/>
      <c r="G119" s="25"/>
      <c r="H119" s="25"/>
      <c r="I119" s="25"/>
      <c r="J119" s="25"/>
      <c r="K119" s="25"/>
      <c r="L119" s="25"/>
      <c r="M119" s="25"/>
      <c r="N119" s="34">
        <v>-195</v>
      </c>
      <c r="O119" s="34"/>
      <c r="P119" s="53"/>
      <c r="Q119" s="25"/>
      <c r="R119" s="5"/>
    </row>
    <row r="120" spans="1:18" ht="15.6" x14ac:dyDescent="0.3">
      <c r="A120" s="24"/>
      <c r="B120" s="25" t="s">
        <v>46</v>
      </c>
      <c r="C120" s="25"/>
      <c r="D120" s="25"/>
      <c r="E120" s="25"/>
      <c r="F120" s="25"/>
      <c r="G120" s="25"/>
      <c r="H120" s="25"/>
      <c r="I120" s="25"/>
      <c r="J120" s="25"/>
      <c r="K120" s="25"/>
      <c r="L120" s="25"/>
      <c r="M120" s="25"/>
      <c r="N120" s="34">
        <f>-M167</f>
        <v>-3337</v>
      </c>
      <c r="O120" s="34"/>
      <c r="P120" s="53"/>
      <c r="Q120" s="25"/>
      <c r="R120" s="5"/>
    </row>
    <row r="121" spans="1:18" ht="15.6" x14ac:dyDescent="0.3">
      <c r="A121" s="24"/>
      <c r="B121" s="25" t="s">
        <v>199</v>
      </c>
      <c r="C121" s="25"/>
      <c r="D121" s="25"/>
      <c r="E121" s="25"/>
      <c r="F121" s="25"/>
      <c r="G121" s="25"/>
      <c r="H121" s="25"/>
      <c r="I121" s="25"/>
      <c r="J121" s="25"/>
      <c r="K121" s="25"/>
      <c r="L121" s="25"/>
      <c r="M121" s="25"/>
      <c r="N121" s="34">
        <v>-9066</v>
      </c>
      <c r="O121" s="34"/>
      <c r="P121" s="53"/>
      <c r="Q121" s="25"/>
      <c r="R121" s="5"/>
    </row>
    <row r="122" spans="1:18" ht="15.6" x14ac:dyDescent="0.3">
      <c r="A122" s="24"/>
      <c r="B122" s="25" t="s">
        <v>200</v>
      </c>
      <c r="C122" s="25"/>
      <c r="D122" s="25"/>
      <c r="E122" s="25"/>
      <c r="F122" s="25"/>
      <c r="G122" s="25"/>
      <c r="H122" s="25"/>
      <c r="I122" s="25"/>
      <c r="J122" s="25"/>
      <c r="K122" s="25"/>
      <c r="L122" s="25"/>
      <c r="M122" s="25"/>
      <c r="N122" s="34">
        <v>-7886</v>
      </c>
      <c r="O122" s="34"/>
      <c r="P122" s="53"/>
      <c r="Q122" s="25"/>
      <c r="R122" s="5"/>
    </row>
    <row r="123" spans="1:18" ht="15.6" x14ac:dyDescent="0.3">
      <c r="A123" s="24"/>
      <c r="B123" s="25" t="s">
        <v>201</v>
      </c>
      <c r="C123" s="25"/>
      <c r="D123" s="25"/>
      <c r="E123" s="25"/>
      <c r="F123" s="25"/>
      <c r="G123" s="25"/>
      <c r="H123" s="25"/>
      <c r="I123" s="25"/>
      <c r="J123" s="25"/>
      <c r="K123" s="25"/>
      <c r="L123" s="25"/>
      <c r="M123" s="25"/>
      <c r="N123" s="34">
        <v>-12095</v>
      </c>
      <c r="O123" s="34"/>
      <c r="P123" s="53"/>
      <c r="Q123" s="25"/>
      <c r="R123" s="5"/>
    </row>
    <row r="124" spans="1:18" ht="15.6" x14ac:dyDescent="0.3">
      <c r="A124" s="24"/>
      <c r="B124" s="25" t="s">
        <v>159</v>
      </c>
      <c r="C124" s="25"/>
      <c r="D124" s="25"/>
      <c r="E124" s="25"/>
      <c r="F124" s="25"/>
      <c r="G124" s="25"/>
      <c r="H124" s="25"/>
      <c r="I124" s="25"/>
      <c r="J124" s="25"/>
      <c r="K124" s="25"/>
      <c r="L124" s="25"/>
      <c r="M124" s="25"/>
      <c r="N124" s="34">
        <v>0</v>
      </c>
      <c r="O124" s="34"/>
      <c r="P124" s="53"/>
      <c r="Q124" s="25"/>
      <c r="R124" s="5"/>
    </row>
    <row r="125" spans="1:18" ht="15.6" x14ac:dyDescent="0.3">
      <c r="A125" s="24"/>
      <c r="B125" s="25" t="s">
        <v>214</v>
      </c>
      <c r="C125" s="25"/>
      <c r="D125" s="25"/>
      <c r="E125" s="25"/>
      <c r="F125" s="25"/>
      <c r="G125" s="25"/>
      <c r="H125" s="25"/>
      <c r="I125" s="25"/>
      <c r="J125" s="25"/>
      <c r="K125" s="25"/>
      <c r="L125" s="25"/>
      <c r="M125" s="25"/>
      <c r="N125" s="34">
        <v>0</v>
      </c>
      <c r="O125" s="34"/>
      <c r="P125" s="53"/>
      <c r="Q125" s="25"/>
      <c r="R125" s="5"/>
    </row>
    <row r="126" spans="1:18" ht="15.6" x14ac:dyDescent="0.3">
      <c r="A126" s="24"/>
      <c r="B126" s="25" t="s">
        <v>47</v>
      </c>
      <c r="C126" s="25"/>
      <c r="D126" s="25"/>
      <c r="E126" s="25"/>
      <c r="F126" s="25"/>
      <c r="G126" s="25"/>
      <c r="H126" s="25"/>
      <c r="I126" s="25"/>
      <c r="J126" s="25"/>
      <c r="K126" s="25"/>
      <c r="L126" s="25"/>
      <c r="M126" s="25"/>
      <c r="N126" s="34">
        <f>SUM(N119:N125)</f>
        <v>-32579</v>
      </c>
      <c r="O126" s="34"/>
      <c r="P126" s="34">
        <f>SUM(P101:P125)</f>
        <v>-12311</v>
      </c>
      <c r="Q126" s="25"/>
      <c r="R126" s="5"/>
    </row>
    <row r="127" spans="1:18" ht="15.6" x14ac:dyDescent="0.3">
      <c r="A127" s="24"/>
      <c r="B127" s="25" t="s">
        <v>48</v>
      </c>
      <c r="C127" s="25"/>
      <c r="D127" s="25"/>
      <c r="E127" s="25"/>
      <c r="F127" s="25"/>
      <c r="G127" s="25"/>
      <c r="H127" s="25"/>
      <c r="I127" s="25"/>
      <c r="J127" s="25"/>
      <c r="K127" s="25"/>
      <c r="L127" s="25"/>
      <c r="M127" s="25"/>
      <c r="N127" s="34">
        <f>N100+N126</f>
        <v>0</v>
      </c>
      <c r="O127" s="34"/>
      <c r="P127" s="34">
        <f>P100+P126</f>
        <v>0</v>
      </c>
      <c r="Q127" s="25"/>
      <c r="R127" s="5"/>
    </row>
    <row r="128" spans="1:18" ht="15.6" x14ac:dyDescent="0.3">
      <c r="A128" s="24"/>
      <c r="B128" s="25"/>
      <c r="C128" s="25"/>
      <c r="D128" s="25"/>
      <c r="E128" s="25"/>
      <c r="F128" s="25"/>
      <c r="G128" s="25"/>
      <c r="H128" s="25"/>
      <c r="I128" s="25"/>
      <c r="J128" s="25"/>
      <c r="K128" s="25"/>
      <c r="L128" s="25"/>
      <c r="M128" s="25"/>
      <c r="N128" s="34"/>
      <c r="O128" s="34"/>
      <c r="P128" s="34"/>
      <c r="Q128" s="25"/>
      <c r="R128" s="5"/>
    </row>
    <row r="129" spans="1:19" ht="15.6" x14ac:dyDescent="0.3">
      <c r="A129" s="6"/>
      <c r="B129" s="146"/>
      <c r="C129" s="146"/>
      <c r="D129" s="146"/>
      <c r="E129" s="146"/>
      <c r="F129" s="146"/>
      <c r="G129" s="146"/>
      <c r="H129" s="146"/>
      <c r="I129" s="146"/>
      <c r="J129" s="146"/>
      <c r="K129" s="146"/>
      <c r="L129" s="146"/>
      <c r="M129" s="146"/>
      <c r="N129" s="147"/>
      <c r="O129" s="147"/>
      <c r="P129" s="147"/>
      <c r="Q129" s="146"/>
      <c r="R129" s="5"/>
    </row>
    <row r="130" spans="1:19" ht="18" thickBot="1" x14ac:dyDescent="0.35">
      <c r="A130" s="101"/>
      <c r="B130" s="102" t="str">
        <f>B65</f>
        <v>PM7 INVESTOR REPORT QUARTER ENDING JANUARY 2006</v>
      </c>
      <c r="C130" s="103"/>
      <c r="D130" s="103"/>
      <c r="E130" s="103"/>
      <c r="F130" s="103"/>
      <c r="G130" s="103"/>
      <c r="H130" s="103"/>
      <c r="I130" s="103"/>
      <c r="J130" s="103"/>
      <c r="K130" s="103"/>
      <c r="L130" s="103"/>
      <c r="M130" s="103"/>
      <c r="N130" s="103"/>
      <c r="O130" s="103"/>
      <c r="P130" s="106"/>
      <c r="Q130" s="105"/>
      <c r="R130" s="5"/>
    </row>
    <row r="131" spans="1:19" ht="15.6" x14ac:dyDescent="0.3">
      <c r="A131" s="2"/>
      <c r="B131" s="60" t="s">
        <v>49</v>
      </c>
      <c r="C131" s="4"/>
      <c r="D131" s="4"/>
      <c r="E131" s="4"/>
      <c r="F131" s="4"/>
      <c r="G131" s="4"/>
      <c r="H131" s="4"/>
      <c r="I131" s="4"/>
      <c r="J131" s="4"/>
      <c r="K131" s="4"/>
      <c r="L131" s="4"/>
      <c r="M131" s="4"/>
      <c r="N131" s="4"/>
      <c r="O131" s="4"/>
      <c r="P131" s="50"/>
      <c r="Q131" s="4"/>
      <c r="R131" s="5"/>
    </row>
    <row r="132" spans="1:19" ht="15.6" x14ac:dyDescent="0.3">
      <c r="A132" s="6"/>
      <c r="B132" s="21"/>
      <c r="C132" s="8"/>
      <c r="D132" s="8"/>
      <c r="E132" s="8"/>
      <c r="F132" s="8"/>
      <c r="G132" s="8"/>
      <c r="H132" s="8"/>
      <c r="I132" s="8"/>
      <c r="J132" s="8"/>
      <c r="K132" s="8"/>
      <c r="L132" s="8"/>
      <c r="M132" s="8"/>
      <c r="N132" s="8"/>
      <c r="O132" s="8"/>
      <c r="P132" s="52"/>
      <c r="Q132" s="8"/>
      <c r="R132" s="5"/>
    </row>
    <row r="133" spans="1:19" ht="15.6" x14ac:dyDescent="0.3">
      <c r="A133" s="6"/>
      <c r="B133" s="119" t="s">
        <v>50</v>
      </c>
      <c r="C133" s="8"/>
      <c r="D133" s="8"/>
      <c r="E133" s="8"/>
      <c r="F133" s="8"/>
      <c r="G133" s="8"/>
      <c r="H133" s="8"/>
      <c r="I133" s="8"/>
      <c r="J133" s="8"/>
      <c r="K133" s="8"/>
      <c r="L133" s="8"/>
      <c r="M133" s="8"/>
      <c r="N133" s="8"/>
      <c r="O133" s="8"/>
      <c r="P133" s="52"/>
      <c r="Q133" s="8"/>
      <c r="R133" s="5"/>
    </row>
    <row r="134" spans="1:19" ht="15.6" x14ac:dyDescent="0.3">
      <c r="A134" s="24"/>
      <c r="B134" s="25" t="s">
        <v>51</v>
      </c>
      <c r="C134" s="25"/>
      <c r="D134" s="25"/>
      <c r="E134" s="25"/>
      <c r="F134" s="25"/>
      <c r="G134" s="25"/>
      <c r="H134" s="25"/>
      <c r="I134" s="25"/>
      <c r="J134" s="25"/>
      <c r="K134" s="25"/>
      <c r="L134" s="25"/>
      <c r="M134" s="25"/>
      <c r="N134" s="25"/>
      <c r="O134" s="25"/>
      <c r="P134" s="53">
        <f>+P36*0.022</f>
        <v>19815.399999999998</v>
      </c>
      <c r="Q134" s="25"/>
      <c r="R134" s="5"/>
    </row>
    <row r="135" spans="1:19" ht="15.6" x14ac:dyDescent="0.3">
      <c r="A135" s="24"/>
      <c r="B135" s="25" t="s">
        <v>52</v>
      </c>
      <c r="C135" s="25"/>
      <c r="D135" s="25"/>
      <c r="E135" s="25"/>
      <c r="F135" s="25"/>
      <c r="G135" s="25"/>
      <c r="H135" s="25"/>
      <c r="I135" s="25"/>
      <c r="J135" s="25"/>
      <c r="K135" s="25"/>
      <c r="L135" s="25"/>
      <c r="M135" s="25"/>
      <c r="N135" s="25"/>
      <c r="O135" s="25"/>
      <c r="P135" s="53">
        <v>19815</v>
      </c>
      <c r="Q135" s="25"/>
      <c r="R135" s="5"/>
    </row>
    <row r="136" spans="1:19" ht="15.6" x14ac:dyDescent="0.3">
      <c r="A136" s="24"/>
      <c r="B136" s="25" t="s">
        <v>161</v>
      </c>
      <c r="C136" s="25"/>
      <c r="D136" s="25"/>
      <c r="E136" s="25"/>
      <c r="F136" s="25"/>
      <c r="G136" s="25"/>
      <c r="H136" s="25"/>
      <c r="I136" s="25"/>
      <c r="J136" s="25"/>
      <c r="K136" s="25"/>
      <c r="L136" s="25"/>
      <c r="M136" s="25"/>
      <c r="N136" s="25"/>
      <c r="O136" s="25"/>
      <c r="P136" s="53">
        <v>0</v>
      </c>
      <c r="Q136" s="25"/>
      <c r="R136" s="5"/>
    </row>
    <row r="137" spans="1:19" ht="15.6" x14ac:dyDescent="0.3">
      <c r="A137" s="24"/>
      <c r="B137" s="25" t="s">
        <v>144</v>
      </c>
      <c r="C137" s="25"/>
      <c r="D137" s="25"/>
      <c r="E137" s="25"/>
      <c r="F137" s="25"/>
      <c r="G137" s="25"/>
      <c r="H137" s="25"/>
      <c r="I137" s="25"/>
      <c r="J137" s="25"/>
      <c r="K137" s="25"/>
      <c r="L137" s="25"/>
      <c r="M137" s="25"/>
      <c r="N137" s="25"/>
      <c r="O137" s="25"/>
      <c r="P137" s="53">
        <v>0</v>
      </c>
      <c r="Q137" s="25"/>
      <c r="R137" s="5"/>
    </row>
    <row r="138" spans="1:19" ht="15.6" x14ac:dyDescent="0.3">
      <c r="A138" s="24"/>
      <c r="B138" s="25" t="s">
        <v>145</v>
      </c>
      <c r="C138" s="25"/>
      <c r="D138" s="25"/>
      <c r="E138" s="25"/>
      <c r="F138" s="25"/>
      <c r="G138" s="25"/>
      <c r="H138" s="25"/>
      <c r="I138" s="25"/>
      <c r="J138" s="25"/>
      <c r="K138" s="25"/>
      <c r="L138" s="25"/>
      <c r="M138" s="25"/>
      <c r="N138" s="25"/>
      <c r="O138" s="25"/>
      <c r="P138" s="53">
        <v>0</v>
      </c>
      <c r="Q138" s="25"/>
      <c r="R138" s="5"/>
    </row>
    <row r="139" spans="1:19" ht="15.6" x14ac:dyDescent="0.3">
      <c r="A139" s="24"/>
      <c r="B139" s="25" t="s">
        <v>53</v>
      </c>
      <c r="C139" s="25"/>
      <c r="D139" s="25"/>
      <c r="E139" s="25"/>
      <c r="F139" s="25"/>
      <c r="G139" s="25"/>
      <c r="H139" s="25"/>
      <c r="I139" s="25"/>
      <c r="J139" s="25"/>
      <c r="K139" s="25"/>
      <c r="L139" s="25"/>
      <c r="M139" s="25"/>
      <c r="N139" s="25"/>
      <c r="O139" s="25"/>
      <c r="P139" s="53">
        <v>0</v>
      </c>
      <c r="Q139" s="25"/>
      <c r="R139" s="5"/>
    </row>
    <row r="140" spans="1:19" ht="15.6" x14ac:dyDescent="0.3">
      <c r="A140" s="24"/>
      <c r="B140" s="25" t="s">
        <v>153</v>
      </c>
      <c r="C140" s="25"/>
      <c r="D140" s="25"/>
      <c r="E140" s="25"/>
      <c r="F140" s="25"/>
      <c r="G140" s="25"/>
      <c r="H140" s="25"/>
      <c r="I140" s="25"/>
      <c r="J140" s="25"/>
      <c r="K140" s="25"/>
      <c r="L140" s="25"/>
      <c r="M140" s="25"/>
      <c r="N140" s="25"/>
      <c r="O140" s="25"/>
      <c r="P140" s="53">
        <v>0</v>
      </c>
      <c r="Q140" s="25"/>
      <c r="R140" s="5"/>
    </row>
    <row r="141" spans="1:19" ht="15.6" x14ac:dyDescent="0.3">
      <c r="A141" s="24"/>
      <c r="B141" s="25" t="s">
        <v>202</v>
      </c>
      <c r="C141" s="25"/>
      <c r="D141" s="25"/>
      <c r="E141" s="25"/>
      <c r="F141" s="25"/>
      <c r="G141" s="25"/>
      <c r="H141" s="25"/>
      <c r="I141" s="25"/>
      <c r="J141" s="25"/>
      <c r="K141" s="25"/>
      <c r="L141" s="25"/>
      <c r="M141" s="25"/>
      <c r="N141" s="25"/>
      <c r="O141" s="25"/>
      <c r="P141" s="53">
        <v>0</v>
      </c>
      <c r="Q141" s="25"/>
      <c r="R141" s="5"/>
      <c r="S141" s="109"/>
    </row>
    <row r="142" spans="1:19" ht="15.6" x14ac:dyDescent="0.3">
      <c r="A142" s="24"/>
      <c r="B142" s="25" t="s">
        <v>54</v>
      </c>
      <c r="C142" s="25"/>
      <c r="D142" s="25"/>
      <c r="E142" s="25"/>
      <c r="F142" s="25"/>
      <c r="G142" s="25"/>
      <c r="H142" s="25"/>
      <c r="I142" s="25"/>
      <c r="J142" s="25"/>
      <c r="K142" s="25"/>
      <c r="L142" s="25"/>
      <c r="M142" s="25"/>
      <c r="N142" s="25"/>
      <c r="O142" s="25"/>
      <c r="P142" s="53">
        <f>SUM(P135:P141)</f>
        <v>19815</v>
      </c>
      <c r="Q142" s="25"/>
      <c r="R142" s="5"/>
    </row>
    <row r="143" spans="1:19" ht="15.6" x14ac:dyDescent="0.3">
      <c r="A143" s="24"/>
      <c r="B143" s="25"/>
      <c r="C143" s="25"/>
      <c r="D143" s="25"/>
      <c r="E143" s="25"/>
      <c r="F143" s="25"/>
      <c r="G143" s="25"/>
      <c r="H143" s="25"/>
      <c r="I143" s="25"/>
      <c r="J143" s="25"/>
      <c r="K143" s="25"/>
      <c r="L143" s="25"/>
      <c r="M143" s="25"/>
      <c r="N143" s="25"/>
      <c r="O143" s="25"/>
      <c r="P143" s="61"/>
      <c r="Q143" s="25"/>
      <c r="R143" s="5"/>
    </row>
    <row r="144" spans="1:19" ht="15.6" x14ac:dyDescent="0.3">
      <c r="A144" s="6"/>
      <c r="B144" s="119" t="s">
        <v>28</v>
      </c>
      <c r="C144" s="8"/>
      <c r="D144" s="8"/>
      <c r="E144" s="8"/>
      <c r="F144" s="8"/>
      <c r="G144" s="8"/>
      <c r="H144" s="8"/>
      <c r="I144" s="8"/>
      <c r="J144" s="8"/>
      <c r="K144" s="8"/>
      <c r="L144" s="8"/>
      <c r="M144" s="8"/>
      <c r="N144" s="8"/>
      <c r="O144" s="8"/>
      <c r="P144" s="52"/>
      <c r="Q144" s="8"/>
      <c r="R144" s="5"/>
    </row>
    <row r="145" spans="1:18" ht="15.6" x14ac:dyDescent="0.3">
      <c r="A145" s="24"/>
      <c r="B145" s="25" t="s">
        <v>55</v>
      </c>
      <c r="C145" s="25"/>
      <c r="D145" s="25"/>
      <c r="E145" s="25"/>
      <c r="F145" s="25"/>
      <c r="G145" s="25"/>
      <c r="H145" s="25"/>
      <c r="I145" s="25"/>
      <c r="J145" s="25"/>
      <c r="K145" s="25"/>
      <c r="L145" s="25"/>
      <c r="M145" s="25"/>
      <c r="N145" s="25"/>
      <c r="O145" s="25"/>
      <c r="P145" s="59" t="s">
        <v>137</v>
      </c>
      <c r="Q145" s="25"/>
      <c r="R145" s="5"/>
    </row>
    <row r="146" spans="1:18" ht="15.6" x14ac:dyDescent="0.3">
      <c r="A146" s="24"/>
      <c r="B146" s="25" t="s">
        <v>56</v>
      </c>
      <c r="C146" s="141"/>
      <c r="D146" s="141"/>
      <c r="E146" s="141"/>
      <c r="F146" s="141"/>
      <c r="G146" s="141"/>
      <c r="H146" s="141"/>
      <c r="I146" s="141"/>
      <c r="J146" s="141"/>
      <c r="K146" s="141"/>
      <c r="L146" s="141"/>
      <c r="M146" s="141"/>
      <c r="N146" s="141"/>
      <c r="O146" s="141"/>
      <c r="P146" s="59" t="s">
        <v>137</v>
      </c>
      <c r="Q146" s="25"/>
      <c r="R146" s="5"/>
    </row>
    <row r="147" spans="1:18" ht="15.6" x14ac:dyDescent="0.3">
      <c r="A147" s="24"/>
      <c r="B147" s="25" t="s">
        <v>57</v>
      </c>
      <c r="C147" s="25"/>
      <c r="D147" s="25"/>
      <c r="E147" s="25"/>
      <c r="F147" s="25"/>
      <c r="G147" s="25"/>
      <c r="H147" s="25"/>
      <c r="I147" s="25"/>
      <c r="J147" s="25"/>
      <c r="K147" s="25"/>
      <c r="L147" s="25"/>
      <c r="M147" s="25"/>
      <c r="N147" s="25"/>
      <c r="O147" s="25"/>
      <c r="P147" s="59" t="s">
        <v>137</v>
      </c>
      <c r="Q147" s="25"/>
      <c r="R147" s="5"/>
    </row>
    <row r="148" spans="1:18" ht="15.6" x14ac:dyDescent="0.3">
      <c r="A148" s="24"/>
      <c r="B148" s="25" t="s">
        <v>58</v>
      </c>
      <c r="C148" s="25"/>
      <c r="D148" s="25"/>
      <c r="E148" s="25"/>
      <c r="F148" s="25"/>
      <c r="G148" s="25"/>
      <c r="H148" s="25"/>
      <c r="I148" s="25"/>
      <c r="J148" s="25"/>
      <c r="K148" s="25"/>
      <c r="L148" s="25"/>
      <c r="M148" s="25"/>
      <c r="N148" s="25"/>
      <c r="O148" s="25"/>
      <c r="P148" s="59" t="s">
        <v>137</v>
      </c>
      <c r="Q148" s="25"/>
      <c r="R148" s="5"/>
    </row>
    <row r="149" spans="1:18" ht="15.6" x14ac:dyDescent="0.3">
      <c r="A149" s="24"/>
      <c r="B149" s="25"/>
      <c r="C149" s="25"/>
      <c r="D149" s="25"/>
      <c r="E149" s="25"/>
      <c r="F149" s="25"/>
      <c r="G149" s="25"/>
      <c r="H149" s="25"/>
      <c r="I149" s="25"/>
      <c r="J149" s="25"/>
      <c r="K149" s="25"/>
      <c r="L149" s="25"/>
      <c r="M149" s="25"/>
      <c r="N149" s="25"/>
      <c r="O149" s="25"/>
      <c r="P149" s="61"/>
      <c r="Q149" s="25"/>
      <c r="R149" s="5"/>
    </row>
    <row r="150" spans="1:18" ht="15.6" x14ac:dyDescent="0.3">
      <c r="A150" s="6"/>
      <c r="B150" s="119" t="s">
        <v>59</v>
      </c>
      <c r="C150" s="8"/>
      <c r="D150" s="8"/>
      <c r="E150" s="8"/>
      <c r="F150" s="8"/>
      <c r="G150" s="8"/>
      <c r="H150" s="8"/>
      <c r="I150" s="8"/>
      <c r="J150" s="8"/>
      <c r="K150" s="8"/>
      <c r="L150" s="8"/>
      <c r="M150" s="8"/>
      <c r="N150" s="8"/>
      <c r="O150" s="8"/>
      <c r="P150" s="63"/>
      <c r="Q150" s="8"/>
      <c r="R150" s="5"/>
    </row>
    <row r="151" spans="1:18" ht="15.6" x14ac:dyDescent="0.3">
      <c r="A151" s="24"/>
      <c r="B151" s="25" t="s">
        <v>60</v>
      </c>
      <c r="C151" s="25"/>
      <c r="D151" s="25"/>
      <c r="E151" s="25"/>
      <c r="F151" s="25"/>
      <c r="G151" s="25"/>
      <c r="H151" s="25"/>
      <c r="I151" s="25"/>
      <c r="J151" s="25"/>
      <c r="K151" s="25"/>
      <c r="L151" s="25"/>
      <c r="M151" s="25"/>
      <c r="N151" s="25"/>
      <c r="O151" s="25"/>
      <c r="P151" s="53">
        <v>0</v>
      </c>
      <c r="Q151" s="25"/>
      <c r="R151" s="5"/>
    </row>
    <row r="152" spans="1:18" ht="15.6" x14ac:dyDescent="0.3">
      <c r="A152" s="24"/>
      <c r="B152" s="25" t="s">
        <v>61</v>
      </c>
      <c r="C152" s="25"/>
      <c r="D152" s="25"/>
      <c r="E152" s="25"/>
      <c r="F152" s="25"/>
      <c r="G152" s="25"/>
      <c r="H152" s="25"/>
      <c r="I152" s="25"/>
      <c r="J152" s="25"/>
      <c r="K152" s="25"/>
      <c r="L152" s="25"/>
      <c r="M152" s="25"/>
      <c r="N152" s="25"/>
      <c r="O152" s="25"/>
      <c r="P152" s="53">
        <v>0</v>
      </c>
      <c r="Q152" s="25"/>
      <c r="R152" s="5"/>
    </row>
    <row r="153" spans="1:18" ht="15.6" x14ac:dyDescent="0.3">
      <c r="A153" s="24"/>
      <c r="B153" s="25" t="s">
        <v>62</v>
      </c>
      <c r="C153" s="25"/>
      <c r="D153" s="25"/>
      <c r="E153" s="25"/>
      <c r="F153" s="25"/>
      <c r="G153" s="25"/>
      <c r="H153" s="25"/>
      <c r="I153" s="25"/>
      <c r="J153" s="25"/>
      <c r="K153" s="25"/>
      <c r="L153" s="25"/>
      <c r="M153" s="25"/>
      <c r="N153" s="25"/>
      <c r="O153" s="25"/>
      <c r="P153" s="53">
        <f>P152+P151</f>
        <v>0</v>
      </c>
      <c r="Q153" s="25"/>
      <c r="R153" s="5"/>
    </row>
    <row r="154" spans="1:18" ht="15.6" x14ac:dyDescent="0.3">
      <c r="A154" s="24"/>
      <c r="B154" s="403" t="s">
        <v>297</v>
      </c>
      <c r="C154" s="25"/>
      <c r="D154" s="25"/>
      <c r="E154" s="25"/>
      <c r="F154" s="25"/>
      <c r="G154" s="25"/>
      <c r="H154" s="25"/>
      <c r="I154" s="25"/>
      <c r="J154" s="25"/>
      <c r="K154" s="25"/>
      <c r="L154" s="25"/>
      <c r="M154" s="25"/>
      <c r="N154" s="25"/>
      <c r="O154" s="25"/>
      <c r="P154" s="53">
        <f>P113</f>
        <v>0</v>
      </c>
      <c r="Q154" s="25"/>
      <c r="R154" s="5"/>
    </row>
    <row r="155" spans="1:18" ht="15.6" x14ac:dyDescent="0.3">
      <c r="A155" s="24"/>
      <c r="B155" s="25" t="s">
        <v>63</v>
      </c>
      <c r="C155" s="25"/>
      <c r="D155" s="25"/>
      <c r="E155" s="25"/>
      <c r="F155" s="25"/>
      <c r="G155" s="25"/>
      <c r="H155" s="25"/>
      <c r="I155" s="25"/>
      <c r="J155" s="25"/>
      <c r="K155" s="25"/>
      <c r="L155" s="25"/>
      <c r="M155" s="25"/>
      <c r="N155" s="25"/>
      <c r="O155" s="25"/>
      <c r="P155" s="53">
        <f>P153+P154</f>
        <v>0</v>
      </c>
      <c r="Q155" s="25"/>
      <c r="R155" s="5"/>
    </row>
    <row r="156" spans="1:18" ht="16.2" thickBot="1" x14ac:dyDescent="0.35">
      <c r="A156" s="24"/>
      <c r="B156" s="25"/>
      <c r="C156" s="25"/>
      <c r="D156" s="25"/>
      <c r="E156" s="25"/>
      <c r="F156" s="25"/>
      <c r="G156" s="25"/>
      <c r="H156" s="25"/>
      <c r="I156" s="25"/>
      <c r="J156" s="25"/>
      <c r="K156" s="25"/>
      <c r="L156" s="25"/>
      <c r="M156" s="25"/>
      <c r="N156" s="25"/>
      <c r="O156" s="25"/>
      <c r="P156" s="61"/>
      <c r="Q156" s="25"/>
      <c r="R156" s="5"/>
    </row>
    <row r="157" spans="1:18" ht="15.6" x14ac:dyDescent="0.3">
      <c r="A157" s="2"/>
      <c r="B157" s="4"/>
      <c r="C157" s="4"/>
      <c r="D157" s="4"/>
      <c r="E157" s="4"/>
      <c r="F157" s="4"/>
      <c r="G157" s="4"/>
      <c r="H157" s="4"/>
      <c r="I157" s="4"/>
      <c r="J157" s="4"/>
      <c r="K157" s="4"/>
      <c r="L157" s="4"/>
      <c r="M157" s="4"/>
      <c r="N157" s="4"/>
      <c r="O157" s="4"/>
      <c r="P157" s="50"/>
      <c r="Q157" s="4"/>
      <c r="R157" s="5"/>
    </row>
    <row r="158" spans="1:18" ht="15.6" x14ac:dyDescent="0.3">
      <c r="A158" s="6"/>
      <c r="B158" s="119" t="s">
        <v>64</v>
      </c>
      <c r="C158" s="8"/>
      <c r="D158" s="8"/>
      <c r="E158" s="8"/>
      <c r="F158" s="8"/>
      <c r="G158" s="8"/>
      <c r="H158" s="8"/>
      <c r="I158" s="8"/>
      <c r="J158" s="8"/>
      <c r="K158" s="8"/>
      <c r="L158" s="8"/>
      <c r="M158" s="8"/>
      <c r="N158" s="8"/>
      <c r="O158" s="8"/>
      <c r="P158" s="52"/>
      <c r="Q158" s="8"/>
      <c r="R158" s="5"/>
    </row>
    <row r="159" spans="1:18" ht="15.6" x14ac:dyDescent="0.3">
      <c r="A159" s="6"/>
      <c r="B159" s="21"/>
      <c r="C159" s="8"/>
      <c r="D159" s="8"/>
      <c r="E159" s="8"/>
      <c r="F159" s="8"/>
      <c r="G159" s="8"/>
      <c r="H159" s="8"/>
      <c r="I159" s="8"/>
      <c r="J159" s="8"/>
      <c r="K159" s="8"/>
      <c r="L159" s="8"/>
      <c r="M159" s="8"/>
      <c r="N159" s="8"/>
      <c r="O159" s="8"/>
      <c r="P159" s="52"/>
      <c r="Q159" s="8"/>
      <c r="R159" s="5"/>
    </row>
    <row r="160" spans="1:18" ht="15.6" x14ac:dyDescent="0.3">
      <c r="A160" s="24"/>
      <c r="B160" s="25" t="s">
        <v>221</v>
      </c>
      <c r="C160" s="25"/>
      <c r="D160" s="25"/>
      <c r="E160" s="25"/>
      <c r="F160" s="25"/>
      <c r="G160" s="25"/>
      <c r="H160" s="25"/>
      <c r="I160" s="25"/>
      <c r="J160" s="25"/>
      <c r="K160" s="25"/>
      <c r="L160" s="25"/>
      <c r="M160" s="25"/>
      <c r="N160" s="25"/>
      <c r="O160" s="25"/>
      <c r="P160" s="53">
        <f>P73</f>
        <v>736631</v>
      </c>
      <c r="Q160" s="25"/>
      <c r="R160" s="5"/>
    </row>
    <row r="161" spans="1:18" ht="15.6" x14ac:dyDescent="0.3">
      <c r="A161" s="24"/>
      <c r="B161" s="25" t="s">
        <v>65</v>
      </c>
      <c r="C161" s="25"/>
      <c r="D161" s="25"/>
      <c r="E161" s="25"/>
      <c r="F161" s="25"/>
      <c r="G161" s="25"/>
      <c r="H161" s="25"/>
      <c r="I161" s="25"/>
      <c r="J161" s="25"/>
      <c r="K161" s="25"/>
      <c r="L161" s="25"/>
      <c r="M161" s="25"/>
      <c r="N161" s="25"/>
      <c r="O161" s="25"/>
      <c r="P161" s="53">
        <f>P86</f>
        <v>736631</v>
      </c>
      <c r="Q161" s="25"/>
      <c r="R161" s="5"/>
    </row>
    <row r="162" spans="1:18" ht="16.2" thickBot="1" x14ac:dyDescent="0.35">
      <c r="A162" s="24"/>
      <c r="B162" s="25"/>
      <c r="C162" s="25"/>
      <c r="D162" s="25"/>
      <c r="E162" s="25"/>
      <c r="F162" s="25"/>
      <c r="G162" s="25"/>
      <c r="H162" s="25"/>
      <c r="I162" s="25"/>
      <c r="J162" s="25"/>
      <c r="K162" s="25"/>
      <c r="L162" s="25"/>
      <c r="M162" s="25"/>
      <c r="N162" s="25"/>
      <c r="O162" s="25"/>
      <c r="P162" s="61"/>
      <c r="Q162" s="25"/>
      <c r="R162" s="5"/>
    </row>
    <row r="163" spans="1:18" ht="15.6" x14ac:dyDescent="0.3">
      <c r="A163" s="2"/>
      <c r="B163" s="4"/>
      <c r="C163" s="4"/>
      <c r="D163" s="4"/>
      <c r="E163" s="4"/>
      <c r="F163" s="4"/>
      <c r="G163" s="4"/>
      <c r="H163" s="4"/>
      <c r="I163" s="4"/>
      <c r="J163" s="4"/>
      <c r="K163" s="4"/>
      <c r="L163" s="4"/>
      <c r="M163" s="4"/>
      <c r="N163" s="4"/>
      <c r="O163" s="4"/>
      <c r="P163" s="50"/>
      <c r="Q163" s="4"/>
      <c r="R163" s="5"/>
    </row>
    <row r="164" spans="1:18" ht="15.6" x14ac:dyDescent="0.3">
      <c r="A164" s="6"/>
      <c r="B164" s="119" t="s">
        <v>66</v>
      </c>
      <c r="C164" s="117"/>
      <c r="D164" s="117"/>
      <c r="E164" s="117"/>
      <c r="F164" s="120"/>
      <c r="G164" s="120"/>
      <c r="H164" s="120"/>
      <c r="I164" s="120"/>
      <c r="J164" s="120"/>
      <c r="K164" s="120"/>
      <c r="L164" s="120"/>
      <c r="M164" s="120" t="s">
        <v>112</v>
      </c>
      <c r="N164" s="120" t="s">
        <v>120</v>
      </c>
      <c r="O164" s="111"/>
      <c r="P164" s="121" t="s">
        <v>129</v>
      </c>
      <c r="Q164" s="10"/>
      <c r="R164" s="5"/>
    </row>
    <row r="165" spans="1:18" ht="15.6" x14ac:dyDescent="0.3">
      <c r="A165" s="24"/>
      <c r="B165" s="25" t="s">
        <v>67</v>
      </c>
      <c r="C165" s="25"/>
      <c r="D165" s="25"/>
      <c r="E165" s="25"/>
      <c r="F165" s="25"/>
      <c r="G165" s="25"/>
      <c r="H165" s="25"/>
      <c r="I165" s="25"/>
      <c r="J165" s="25"/>
      <c r="K165" s="25"/>
      <c r="L165" s="25"/>
      <c r="M165" s="53">
        <v>144000</v>
      </c>
      <c r="N165" s="40">
        <v>0</v>
      </c>
      <c r="O165" s="25"/>
      <c r="P165" s="53"/>
      <c r="Q165" s="25"/>
      <c r="R165" s="5"/>
    </row>
    <row r="166" spans="1:18" ht="15.6" x14ac:dyDescent="0.3">
      <c r="A166" s="24"/>
      <c r="B166" s="25" t="s">
        <v>68</v>
      </c>
      <c r="C166" s="25"/>
      <c r="D166" s="25"/>
      <c r="E166" s="25"/>
      <c r="F166" s="25"/>
      <c r="G166" s="25"/>
      <c r="H166" s="25"/>
      <c r="I166" s="25"/>
      <c r="J166" s="25"/>
      <c r="K166" s="25"/>
      <c r="L166" s="25"/>
      <c r="M166" s="53">
        <f>+'Oct 05'!M166</f>
        <v>37138</v>
      </c>
      <c r="N166" s="53">
        <f>+'Oct 05'!N166</f>
        <v>8551</v>
      </c>
      <c r="O166" s="25"/>
      <c r="P166" s="53">
        <f>M166+N166</f>
        <v>45689</v>
      </c>
      <c r="Q166" s="25"/>
      <c r="R166" s="5"/>
    </row>
    <row r="167" spans="1:18" ht="15.6" x14ac:dyDescent="0.3">
      <c r="A167" s="24"/>
      <c r="B167" s="25" t="s">
        <v>69</v>
      </c>
      <c r="C167" s="25"/>
      <c r="D167" s="25"/>
      <c r="E167" s="25"/>
      <c r="F167" s="25"/>
      <c r="G167" s="25"/>
      <c r="H167" s="25"/>
      <c r="I167" s="25"/>
      <c r="J167" s="25"/>
      <c r="K167" s="25"/>
      <c r="L167" s="25"/>
      <c r="M167" s="34">
        <v>3337</v>
      </c>
      <c r="N167" s="34">
        <f>-N98-N119</f>
        <v>201</v>
      </c>
      <c r="O167" s="25"/>
      <c r="P167" s="53">
        <f>M167+N167</f>
        <v>3538</v>
      </c>
      <c r="Q167" s="25"/>
      <c r="R167" s="5"/>
    </row>
    <row r="168" spans="1:18" ht="15.6" x14ac:dyDescent="0.3">
      <c r="A168" s="24"/>
      <c r="B168" s="25" t="s">
        <v>70</v>
      </c>
      <c r="C168" s="25"/>
      <c r="D168" s="25"/>
      <c r="E168" s="25"/>
      <c r="F168" s="25"/>
      <c r="G168" s="25"/>
      <c r="H168" s="25"/>
      <c r="I168" s="25"/>
      <c r="J168" s="25"/>
      <c r="K168" s="25"/>
      <c r="L168" s="25"/>
      <c r="M168" s="53">
        <f>M166+M167</f>
        <v>40475</v>
      </c>
      <c r="N168" s="53">
        <f>N167+N166</f>
        <v>8752</v>
      </c>
      <c r="O168" s="25"/>
      <c r="P168" s="53">
        <f>M168+N168</f>
        <v>49227</v>
      </c>
      <c r="Q168" s="25"/>
      <c r="R168" s="5"/>
    </row>
    <row r="169" spans="1:18" ht="15.6" x14ac:dyDescent="0.3">
      <c r="A169" s="24"/>
      <c r="B169" s="25" t="s">
        <v>71</v>
      </c>
      <c r="C169" s="25"/>
      <c r="D169" s="25"/>
      <c r="E169" s="25"/>
      <c r="F169" s="25"/>
      <c r="G169" s="25"/>
      <c r="H169" s="25"/>
      <c r="I169" s="25"/>
      <c r="J169" s="25"/>
      <c r="K169" s="25"/>
      <c r="L169" s="25"/>
      <c r="M169" s="53">
        <f>M165-M168-N168</f>
        <v>94773</v>
      </c>
      <c r="N169" s="40"/>
      <c r="O169" s="25"/>
      <c r="P169" s="53"/>
      <c r="Q169" s="25"/>
      <c r="R169" s="5"/>
    </row>
    <row r="170" spans="1:18" ht="16.2" thickBot="1" x14ac:dyDescent="0.35">
      <c r="A170" s="24"/>
      <c r="B170" s="25"/>
      <c r="C170" s="25"/>
      <c r="D170" s="25"/>
      <c r="E170" s="25"/>
      <c r="F170" s="25"/>
      <c r="G170" s="25"/>
      <c r="H170" s="25"/>
      <c r="I170" s="25"/>
      <c r="J170" s="25"/>
      <c r="K170" s="25"/>
      <c r="L170" s="25"/>
      <c r="M170" s="25"/>
      <c r="N170" s="25"/>
      <c r="O170" s="25"/>
      <c r="P170" s="61"/>
      <c r="Q170" s="25"/>
      <c r="R170" s="5"/>
    </row>
    <row r="171" spans="1:18" ht="15.6" x14ac:dyDescent="0.3">
      <c r="A171" s="2"/>
      <c r="B171" s="4"/>
      <c r="C171" s="4"/>
      <c r="D171" s="4"/>
      <c r="E171" s="4"/>
      <c r="F171" s="4"/>
      <c r="G171" s="4"/>
      <c r="H171" s="4"/>
      <c r="I171" s="4"/>
      <c r="J171" s="4"/>
      <c r="K171" s="4"/>
      <c r="L171" s="4"/>
      <c r="M171" s="4"/>
      <c r="N171" s="4"/>
      <c r="O171" s="4"/>
      <c r="P171" s="50"/>
      <c r="Q171" s="4"/>
      <c r="R171" s="5"/>
    </row>
    <row r="172" spans="1:18" ht="15.6" x14ac:dyDescent="0.3">
      <c r="A172" s="6"/>
      <c r="B172" s="119" t="s">
        <v>72</v>
      </c>
      <c r="C172" s="8"/>
      <c r="D172" s="8"/>
      <c r="E172" s="8"/>
      <c r="F172" s="8"/>
      <c r="G172" s="8"/>
      <c r="H172" s="8"/>
      <c r="I172" s="8"/>
      <c r="J172" s="8"/>
      <c r="K172" s="8"/>
      <c r="L172" s="8"/>
      <c r="M172" s="8"/>
      <c r="N172" s="8"/>
      <c r="O172" s="8"/>
      <c r="P172" s="65"/>
      <c r="Q172" s="8"/>
      <c r="R172" s="5"/>
    </row>
    <row r="173" spans="1:18" ht="15.6" x14ac:dyDescent="0.3">
      <c r="A173" s="24"/>
      <c r="B173" s="25" t="s">
        <v>73</v>
      </c>
      <c r="C173" s="25"/>
      <c r="D173" s="25"/>
      <c r="E173" s="25"/>
      <c r="F173" s="25"/>
      <c r="G173" s="25"/>
      <c r="H173" s="25"/>
      <c r="I173" s="25"/>
      <c r="J173" s="25"/>
      <c r="K173" s="25"/>
      <c r="L173" s="25"/>
      <c r="M173" s="25"/>
      <c r="N173" s="25"/>
      <c r="O173" s="25"/>
      <c r="P173" s="66">
        <f>(P100+P102+P103+P104+P105)/-(P106+P107+P108)</f>
        <v>1.4295133061615919</v>
      </c>
      <c r="Q173" s="25" t="s">
        <v>130</v>
      </c>
      <c r="R173" s="5"/>
    </row>
    <row r="174" spans="1:18" ht="15.6" x14ac:dyDescent="0.3">
      <c r="A174" s="24"/>
      <c r="B174" s="25" t="s">
        <v>74</v>
      </c>
      <c r="C174" s="25"/>
      <c r="D174" s="25"/>
      <c r="E174" s="25"/>
      <c r="F174" s="25"/>
      <c r="G174" s="25"/>
      <c r="H174" s="25"/>
      <c r="I174" s="25"/>
      <c r="J174" s="25"/>
      <c r="K174" s="25"/>
      <c r="L174" s="25"/>
      <c r="M174" s="25"/>
      <c r="N174" s="25"/>
      <c r="O174" s="25"/>
      <c r="P174" s="66">
        <v>1.35</v>
      </c>
      <c r="Q174" s="25" t="s">
        <v>130</v>
      </c>
      <c r="R174" s="5"/>
    </row>
    <row r="175" spans="1:18" ht="15.6" x14ac:dyDescent="0.3">
      <c r="A175" s="24"/>
      <c r="B175" s="25" t="s">
        <v>75</v>
      </c>
      <c r="C175" s="25"/>
      <c r="D175" s="25"/>
      <c r="E175" s="25"/>
      <c r="F175" s="25"/>
      <c r="G175" s="25"/>
      <c r="H175" s="25"/>
      <c r="I175" s="25"/>
      <c r="J175" s="25"/>
      <c r="K175" s="25"/>
      <c r="L175" s="25"/>
      <c r="M175" s="25"/>
      <c r="N175" s="25"/>
      <c r="O175" s="25"/>
      <c r="P175" s="59">
        <f>(P100+P102+P103+P104+P105+P106+P107+P108)/-(P109+P110)</f>
        <v>2.8413957176843776</v>
      </c>
      <c r="Q175" s="25" t="s">
        <v>130</v>
      </c>
      <c r="R175" s="5"/>
    </row>
    <row r="176" spans="1:18" ht="15.6" x14ac:dyDescent="0.3">
      <c r="A176" s="24"/>
      <c r="B176" s="25" t="s">
        <v>76</v>
      </c>
      <c r="C176" s="25"/>
      <c r="D176" s="25"/>
      <c r="E176" s="25"/>
      <c r="F176" s="25"/>
      <c r="G176" s="25"/>
      <c r="H176" s="25"/>
      <c r="I176" s="25"/>
      <c r="J176" s="25"/>
      <c r="K176" s="25"/>
      <c r="L176" s="25"/>
      <c r="M176" s="25"/>
      <c r="N176" s="25"/>
      <c r="O176" s="25"/>
      <c r="P176" s="66">
        <v>2.58</v>
      </c>
      <c r="Q176" s="25" t="s">
        <v>130</v>
      </c>
      <c r="R176" s="5"/>
    </row>
    <row r="177" spans="1:18" ht="15.6" x14ac:dyDescent="0.3">
      <c r="A177" s="24"/>
      <c r="B177" s="25"/>
      <c r="C177" s="25"/>
      <c r="D177" s="25"/>
      <c r="E177" s="25"/>
      <c r="F177" s="25"/>
      <c r="G177" s="25"/>
      <c r="H177" s="25"/>
      <c r="I177" s="25"/>
      <c r="J177" s="25"/>
      <c r="K177" s="25"/>
      <c r="L177" s="25"/>
      <c r="M177" s="25"/>
      <c r="N177" s="25"/>
      <c r="O177" s="25"/>
      <c r="P177" s="25"/>
      <c r="Q177" s="25"/>
      <c r="R177" s="5"/>
    </row>
    <row r="178" spans="1:18" ht="15.6" x14ac:dyDescent="0.3">
      <c r="A178" s="24"/>
      <c r="B178" s="25"/>
      <c r="C178" s="25"/>
      <c r="D178" s="25"/>
      <c r="E178" s="25"/>
      <c r="F178" s="25"/>
      <c r="G178" s="25"/>
      <c r="H178" s="25"/>
      <c r="I178" s="25"/>
      <c r="J178" s="25"/>
      <c r="K178" s="25"/>
      <c r="L178" s="25"/>
      <c r="M178" s="25"/>
      <c r="N178" s="25"/>
      <c r="O178" s="25"/>
      <c r="P178" s="25"/>
      <c r="Q178" s="25"/>
      <c r="R178" s="5"/>
    </row>
    <row r="179" spans="1:18" ht="15.6" x14ac:dyDescent="0.3">
      <c r="A179" s="6"/>
      <c r="B179" s="8"/>
      <c r="C179" s="8"/>
      <c r="D179" s="8"/>
      <c r="E179" s="8"/>
      <c r="F179" s="8"/>
      <c r="G179" s="8"/>
      <c r="H179" s="8"/>
      <c r="I179" s="8"/>
      <c r="J179" s="8"/>
      <c r="K179" s="8"/>
      <c r="L179" s="8"/>
      <c r="M179" s="8"/>
      <c r="N179" s="8"/>
      <c r="O179" s="8"/>
      <c r="P179" s="8"/>
      <c r="Q179" s="8"/>
      <c r="R179" s="5"/>
    </row>
    <row r="180" spans="1:18" ht="18" thickBot="1" x14ac:dyDescent="0.35">
      <c r="A180" s="101"/>
      <c r="B180" s="102" t="str">
        <f>B130</f>
        <v>PM7 INVESTOR REPORT QUARTER ENDING JANUARY 2006</v>
      </c>
      <c r="C180" s="143"/>
      <c r="D180" s="143"/>
      <c r="E180" s="143"/>
      <c r="F180" s="143"/>
      <c r="G180" s="143"/>
      <c r="H180" s="143"/>
      <c r="I180" s="143"/>
      <c r="J180" s="143"/>
      <c r="K180" s="143"/>
      <c r="L180" s="143"/>
      <c r="M180" s="143"/>
      <c r="N180" s="143"/>
      <c r="O180" s="143"/>
      <c r="P180" s="143"/>
      <c r="Q180" s="144"/>
      <c r="R180" s="5"/>
    </row>
    <row r="181" spans="1:18" ht="15.6" x14ac:dyDescent="0.3">
      <c r="A181" s="67"/>
      <c r="B181" s="60" t="s">
        <v>77</v>
      </c>
      <c r="C181" s="68"/>
      <c r="D181" s="68"/>
      <c r="E181" s="69"/>
      <c r="F181" s="69"/>
      <c r="G181" s="69"/>
      <c r="H181" s="69"/>
      <c r="I181" s="69"/>
      <c r="J181" s="69"/>
      <c r="K181" s="69"/>
      <c r="L181" s="69"/>
      <c r="M181" s="69"/>
      <c r="N181" s="70">
        <f>H89</f>
        <v>38748</v>
      </c>
      <c r="O181" s="4"/>
      <c r="P181" s="4"/>
      <c r="Q181" s="4"/>
      <c r="R181" s="5"/>
    </row>
    <row r="182" spans="1:18" ht="15.6" x14ac:dyDescent="0.3">
      <c r="A182" s="71"/>
      <c r="B182" s="72"/>
      <c r="C182" s="73"/>
      <c r="D182" s="73"/>
      <c r="E182" s="74"/>
      <c r="F182" s="74"/>
      <c r="G182" s="74"/>
      <c r="H182" s="74"/>
      <c r="I182" s="74"/>
      <c r="J182" s="74"/>
      <c r="K182" s="74"/>
      <c r="L182" s="74"/>
      <c r="M182" s="74"/>
      <c r="N182" s="74"/>
      <c r="O182" s="8"/>
      <c r="P182" s="8"/>
      <c r="Q182" s="8"/>
      <c r="R182" s="5"/>
    </row>
    <row r="183" spans="1:18" ht="15.6" x14ac:dyDescent="0.3">
      <c r="A183" s="75"/>
      <c r="B183" s="76" t="s">
        <v>78</v>
      </c>
      <c r="C183" s="77"/>
      <c r="D183" s="77"/>
      <c r="E183" s="64"/>
      <c r="F183" s="64"/>
      <c r="G183" s="64"/>
      <c r="H183" s="64"/>
      <c r="I183" s="64"/>
      <c r="J183" s="64"/>
      <c r="K183" s="64"/>
      <c r="L183" s="64"/>
      <c r="M183" s="64"/>
      <c r="N183" s="78">
        <v>5.8069999999999997E-2</v>
      </c>
      <c r="O183" s="25"/>
      <c r="P183" s="25"/>
      <c r="Q183" s="25"/>
      <c r="R183" s="5"/>
    </row>
    <row r="184" spans="1:18" ht="15.6" x14ac:dyDescent="0.3">
      <c r="A184" s="75"/>
      <c r="B184" s="76" t="s">
        <v>219</v>
      </c>
      <c r="C184" s="77"/>
      <c r="D184" s="77"/>
      <c r="E184" s="64"/>
      <c r="F184" s="64"/>
      <c r="G184" s="64"/>
      <c r="H184" s="64"/>
      <c r="I184" s="64"/>
      <c r="J184" s="64"/>
      <c r="K184" s="64"/>
      <c r="L184" s="64"/>
      <c r="M184" s="64"/>
      <c r="N184" s="39">
        <v>5.1499999999999997E-2</v>
      </c>
      <c r="O184" s="25"/>
      <c r="P184" s="25"/>
      <c r="Q184" s="25"/>
      <c r="R184" s="5"/>
    </row>
    <row r="185" spans="1:18" ht="15.6" x14ac:dyDescent="0.3">
      <c r="A185" s="75"/>
      <c r="B185" s="76" t="s">
        <v>79</v>
      </c>
      <c r="C185" s="77"/>
      <c r="D185" s="77"/>
      <c r="E185" s="64"/>
      <c r="F185" s="64"/>
      <c r="G185" s="64"/>
      <c r="H185" s="64"/>
      <c r="I185" s="64"/>
      <c r="J185" s="64"/>
      <c r="K185" s="64"/>
      <c r="L185" s="64"/>
      <c r="M185" s="64"/>
      <c r="N185" s="78">
        <f>N183-N184</f>
        <v>6.5699999999999995E-3</v>
      </c>
      <c r="O185" s="25"/>
      <c r="P185" s="25"/>
      <c r="Q185" s="25"/>
      <c r="R185" s="5"/>
    </row>
    <row r="186" spans="1:18" ht="15.6" x14ac:dyDescent="0.3">
      <c r="A186" s="75"/>
      <c r="B186" s="76" t="s">
        <v>80</v>
      </c>
      <c r="C186" s="77"/>
      <c r="D186" s="77"/>
      <c r="E186" s="64"/>
      <c r="F186" s="64"/>
      <c r="G186" s="64"/>
      <c r="H186" s="64"/>
      <c r="I186" s="64"/>
      <c r="J186" s="64"/>
      <c r="K186" s="64"/>
      <c r="L186" s="64"/>
      <c r="M186" s="64"/>
      <c r="N186" s="78">
        <v>6.1039999999999997E-2</v>
      </c>
      <c r="O186" s="25"/>
      <c r="P186" s="25"/>
      <c r="Q186" s="25"/>
      <c r="R186" s="5"/>
    </row>
    <row r="187" spans="1:18" ht="15.6" x14ac:dyDescent="0.3">
      <c r="A187" s="75"/>
      <c r="B187" s="76" t="s">
        <v>241</v>
      </c>
      <c r="C187" s="77"/>
      <c r="D187" s="77"/>
      <c r="E187" s="64"/>
      <c r="F187" s="64"/>
      <c r="G187" s="64"/>
      <c r="H187" s="64"/>
      <c r="I187" s="64"/>
      <c r="J187" s="64"/>
      <c r="K187" s="64"/>
      <c r="L187" s="64"/>
      <c r="M187" s="64"/>
      <c r="N187" s="78">
        <f>+P45</f>
        <v>4.9759603761108433E-2</v>
      </c>
      <c r="O187" s="25"/>
      <c r="P187" s="25"/>
      <c r="Q187" s="25"/>
      <c r="R187" s="5"/>
    </row>
    <row r="188" spans="1:18" ht="15.6" x14ac:dyDescent="0.3">
      <c r="A188" s="75"/>
      <c r="B188" s="76" t="s">
        <v>81</v>
      </c>
      <c r="C188" s="77"/>
      <c r="D188" s="77"/>
      <c r="E188" s="64"/>
      <c r="F188" s="64"/>
      <c r="G188" s="64"/>
      <c r="H188" s="64"/>
      <c r="I188" s="64"/>
      <c r="J188" s="64"/>
      <c r="K188" s="64"/>
      <c r="L188" s="64"/>
      <c r="M188" s="64"/>
      <c r="N188" s="78">
        <f>N186-N187</f>
        <v>1.1280396238891564E-2</v>
      </c>
      <c r="O188" s="25"/>
      <c r="P188" s="25"/>
      <c r="Q188" s="25"/>
      <c r="R188" s="5"/>
    </row>
    <row r="189" spans="1:18" ht="15.6" x14ac:dyDescent="0.3">
      <c r="A189" s="75"/>
      <c r="B189" s="76" t="s">
        <v>257</v>
      </c>
      <c r="C189" s="77"/>
      <c r="D189" s="77"/>
      <c r="E189" s="64"/>
      <c r="F189" s="64"/>
      <c r="G189" s="64"/>
      <c r="H189" s="64"/>
      <c r="I189" s="64"/>
      <c r="J189" s="64"/>
      <c r="K189" s="64"/>
      <c r="L189" s="64"/>
      <c r="M189" s="64"/>
      <c r="N189" s="78">
        <f>+P100/H73</f>
        <v>1.6078560439244695E-2</v>
      </c>
      <c r="O189" s="25"/>
      <c r="P189" s="25"/>
      <c r="Q189" s="25"/>
      <c r="R189" s="5"/>
    </row>
    <row r="190" spans="1:18" ht="15.6" x14ac:dyDescent="0.3">
      <c r="A190" s="75"/>
      <c r="B190" s="76" t="s">
        <v>170</v>
      </c>
      <c r="C190" s="77"/>
      <c r="D190" s="77"/>
      <c r="E190" s="64"/>
      <c r="F190" s="64"/>
      <c r="G190" s="64"/>
      <c r="H190" s="64"/>
      <c r="I190" s="64"/>
      <c r="J190" s="64"/>
      <c r="K190" s="64"/>
      <c r="L190" s="64"/>
      <c r="M190" s="64"/>
      <c r="N190" s="133">
        <v>49065</v>
      </c>
      <c r="O190" s="25"/>
      <c r="P190" s="25"/>
      <c r="Q190" s="25"/>
      <c r="R190" s="5"/>
    </row>
    <row r="191" spans="1:18" ht="15.6" x14ac:dyDescent="0.3">
      <c r="A191" s="75"/>
      <c r="B191" s="76" t="s">
        <v>171</v>
      </c>
      <c r="C191" s="77"/>
      <c r="D191" s="77"/>
      <c r="E191" s="64"/>
      <c r="F191" s="64"/>
      <c r="G191" s="64"/>
      <c r="H191" s="64"/>
      <c r="I191" s="64"/>
      <c r="J191" s="64"/>
      <c r="K191" s="64"/>
      <c r="L191" s="64"/>
      <c r="M191" s="64"/>
      <c r="N191" s="133">
        <v>49065</v>
      </c>
      <c r="O191" s="25"/>
      <c r="P191" s="25"/>
      <c r="Q191" s="25"/>
      <c r="R191" s="5"/>
    </row>
    <row r="192" spans="1:18" ht="15.6" x14ac:dyDescent="0.3">
      <c r="A192" s="75"/>
      <c r="B192" s="76" t="s">
        <v>172</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138</v>
      </c>
      <c r="C193" s="77"/>
      <c r="D193" s="77"/>
      <c r="E193" s="64"/>
      <c r="F193" s="64"/>
      <c r="G193" s="64"/>
      <c r="H193" s="64"/>
      <c r="I193" s="64"/>
      <c r="J193" s="64"/>
      <c r="K193" s="64"/>
      <c r="L193" s="64"/>
      <c r="M193" s="64"/>
      <c r="N193" s="133">
        <v>52352</v>
      </c>
      <c r="O193" s="25"/>
      <c r="P193" s="25"/>
      <c r="Q193" s="25"/>
      <c r="R193" s="5"/>
    </row>
    <row r="194" spans="1:18" ht="15.6" x14ac:dyDescent="0.3">
      <c r="A194" s="75"/>
      <c r="B194" s="76" t="s">
        <v>139</v>
      </c>
      <c r="C194" s="77"/>
      <c r="D194" s="77"/>
      <c r="E194" s="64"/>
      <c r="F194" s="64"/>
      <c r="G194" s="64"/>
      <c r="H194" s="64"/>
      <c r="I194" s="64"/>
      <c r="J194" s="64"/>
      <c r="K194" s="64"/>
      <c r="L194" s="64"/>
      <c r="M194" s="64"/>
      <c r="N194" s="133">
        <v>52352</v>
      </c>
      <c r="O194" s="25"/>
      <c r="P194" s="25"/>
      <c r="Q194" s="25"/>
      <c r="R194" s="5"/>
    </row>
    <row r="195" spans="1:18" ht="15.6" x14ac:dyDescent="0.3">
      <c r="A195" s="75"/>
      <c r="B195" s="76" t="s">
        <v>82</v>
      </c>
      <c r="C195" s="77"/>
      <c r="D195" s="77"/>
      <c r="E195" s="64"/>
      <c r="F195" s="64"/>
      <c r="G195" s="64"/>
      <c r="H195" s="64"/>
      <c r="I195" s="64"/>
      <c r="J195" s="64"/>
      <c r="K195" s="64"/>
      <c r="L195" s="64"/>
      <c r="M195" s="64"/>
      <c r="N195" s="137">
        <v>20.45</v>
      </c>
      <c r="O195" s="25" t="s">
        <v>125</v>
      </c>
      <c r="P195" s="25"/>
      <c r="Q195" s="25"/>
      <c r="R195" s="5"/>
    </row>
    <row r="196" spans="1:18" ht="15.6" x14ac:dyDescent="0.3">
      <c r="A196" s="75"/>
      <c r="B196" s="76" t="s">
        <v>83</v>
      </c>
      <c r="C196" s="77"/>
      <c r="D196" s="77"/>
      <c r="E196" s="64"/>
      <c r="F196" s="64"/>
      <c r="G196" s="64"/>
      <c r="H196" s="64"/>
      <c r="I196" s="64"/>
      <c r="J196" s="64"/>
      <c r="K196" s="64"/>
      <c r="L196" s="64"/>
      <c r="M196" s="64"/>
      <c r="N196" s="137">
        <v>19.82</v>
      </c>
      <c r="O196" s="25" t="s">
        <v>125</v>
      </c>
      <c r="P196" s="25"/>
      <c r="Q196" s="25"/>
      <c r="R196" s="5"/>
    </row>
    <row r="197" spans="1:18" ht="15.6" x14ac:dyDescent="0.3">
      <c r="A197" s="75"/>
      <c r="B197" s="76" t="s">
        <v>84</v>
      </c>
      <c r="C197" s="77"/>
      <c r="D197" s="77"/>
      <c r="E197" s="64"/>
      <c r="F197" s="64"/>
      <c r="G197" s="64"/>
      <c r="H197" s="64"/>
      <c r="I197" s="64"/>
      <c r="J197" s="64"/>
      <c r="K197" s="64"/>
      <c r="L197" s="64"/>
      <c r="M197" s="64"/>
      <c r="N197" s="78">
        <v>4.2599999999999999E-2</v>
      </c>
      <c r="O197" s="25"/>
      <c r="P197" s="25"/>
      <c r="Q197" s="25"/>
      <c r="R197" s="5"/>
    </row>
    <row r="198" spans="1:18" ht="15.6" x14ac:dyDescent="0.3">
      <c r="A198" s="75"/>
      <c r="B198" s="76" t="s">
        <v>85</v>
      </c>
      <c r="C198" s="77"/>
      <c r="D198" s="77"/>
      <c r="E198" s="64"/>
      <c r="F198" s="64"/>
      <c r="G198" s="64"/>
      <c r="H198" s="64"/>
      <c r="I198" s="64"/>
      <c r="J198" s="64"/>
      <c r="K198" s="64"/>
      <c r="L198" s="64"/>
      <c r="M198" s="64"/>
      <c r="N198" s="78">
        <v>0.153</v>
      </c>
      <c r="O198" s="25"/>
      <c r="P198" s="25"/>
      <c r="Q198" s="25"/>
      <c r="R198" s="5"/>
    </row>
    <row r="199" spans="1:18" ht="15.6" x14ac:dyDescent="0.3">
      <c r="A199" s="75"/>
      <c r="B199" s="76"/>
      <c r="C199" s="76"/>
      <c r="D199" s="76"/>
      <c r="E199" s="25"/>
      <c r="F199" s="25"/>
      <c r="G199" s="25"/>
      <c r="H199" s="25"/>
      <c r="I199" s="25"/>
      <c r="J199" s="25"/>
      <c r="K199" s="25"/>
      <c r="L199" s="25"/>
      <c r="M199" s="25"/>
      <c r="N199" s="61"/>
      <c r="O199" s="25"/>
      <c r="P199" s="79"/>
      <c r="Q199" s="25"/>
      <c r="R199" s="5"/>
    </row>
    <row r="200" spans="1:18" ht="15.6" x14ac:dyDescent="0.3">
      <c r="A200" s="80"/>
      <c r="B200" s="14" t="s">
        <v>86</v>
      </c>
      <c r="C200" s="81"/>
      <c r="D200" s="82"/>
      <c r="E200" s="81"/>
      <c r="F200" s="17"/>
      <c r="G200" s="17"/>
      <c r="H200" s="17"/>
      <c r="I200" s="17"/>
      <c r="J200" s="17"/>
      <c r="K200" s="17"/>
      <c r="L200" s="17"/>
      <c r="M200" s="17" t="s">
        <v>113</v>
      </c>
      <c r="N200" s="83" t="s">
        <v>121</v>
      </c>
      <c r="O200" s="8"/>
      <c r="P200" s="8"/>
      <c r="Q200" s="8"/>
      <c r="R200" s="5"/>
    </row>
    <row r="201" spans="1:18" ht="15.6" x14ac:dyDescent="0.3">
      <c r="A201" s="84"/>
      <c r="B201" s="76" t="s">
        <v>87</v>
      </c>
      <c r="C201" s="54"/>
      <c r="D201" s="25"/>
      <c r="E201" s="25"/>
      <c r="F201" s="30"/>
      <c r="G201" s="30"/>
      <c r="H201" s="30"/>
      <c r="I201" s="30"/>
      <c r="J201" s="30"/>
      <c r="K201" s="30"/>
      <c r="L201" s="30"/>
      <c r="M201" s="30">
        <v>15</v>
      </c>
      <c r="N201" s="85">
        <v>855</v>
      </c>
      <c r="O201" s="25"/>
      <c r="P201" s="79"/>
      <c r="Q201" s="86"/>
      <c r="R201" s="5"/>
    </row>
    <row r="202" spans="1:18" ht="15.6" x14ac:dyDescent="0.3">
      <c r="A202" s="84"/>
      <c r="B202" s="76" t="s">
        <v>203</v>
      </c>
      <c r="C202" s="54"/>
      <c r="D202" s="25"/>
      <c r="E202" s="25"/>
      <c r="F202" s="30"/>
      <c r="G202" s="30"/>
      <c r="H202" s="30"/>
      <c r="I202" s="30"/>
      <c r="J202" s="30"/>
      <c r="K202" s="30"/>
      <c r="L202" s="30"/>
      <c r="M202" s="151">
        <f>+L239</f>
        <v>59</v>
      </c>
      <c r="N202" s="85">
        <f>+N239</f>
        <v>7620</v>
      </c>
      <c r="O202" s="25"/>
      <c r="P202" s="79"/>
      <c r="Q202" s="86"/>
      <c r="R202" s="5"/>
    </row>
    <row r="203" spans="1:18" ht="15.6" x14ac:dyDescent="0.3">
      <c r="A203" s="84"/>
      <c r="B203" s="76" t="s">
        <v>88</v>
      </c>
      <c r="C203" s="54"/>
      <c r="D203" s="25"/>
      <c r="E203" s="25"/>
      <c r="F203" s="30"/>
      <c r="G203" s="30"/>
      <c r="H203" s="30"/>
      <c r="I203" s="30"/>
      <c r="J203" s="30"/>
      <c r="K203" s="30"/>
      <c r="L203" s="30"/>
      <c r="M203" s="151">
        <f>+L250</f>
        <v>0</v>
      </c>
      <c r="N203" s="85">
        <f>+N250</f>
        <v>0</v>
      </c>
      <c r="O203" s="25"/>
      <c r="P203" s="79"/>
      <c r="Q203" s="86"/>
      <c r="R203" s="5"/>
    </row>
    <row r="204" spans="1:18" ht="15.6" x14ac:dyDescent="0.3">
      <c r="A204" s="84"/>
      <c r="B204" s="122" t="s">
        <v>89</v>
      </c>
      <c r="C204" s="54"/>
      <c r="D204" s="25"/>
      <c r="E204" s="25"/>
      <c r="F204" s="25"/>
      <c r="G204" s="25"/>
      <c r="H204" s="25"/>
      <c r="I204" s="25"/>
      <c r="J204" s="25"/>
      <c r="K204" s="25"/>
      <c r="L204" s="25"/>
      <c r="M204" s="25"/>
      <c r="N204" s="85">
        <v>0</v>
      </c>
      <c r="O204" s="25"/>
      <c r="P204" s="79"/>
      <c r="Q204" s="86"/>
      <c r="R204" s="5"/>
    </row>
    <row r="205" spans="1:18" ht="15.6" x14ac:dyDescent="0.3">
      <c r="A205" s="84"/>
      <c r="B205" s="122" t="s">
        <v>90</v>
      </c>
      <c r="C205" s="54"/>
      <c r="D205" s="25"/>
      <c r="E205" s="25"/>
      <c r="F205" s="25"/>
      <c r="G205" s="25"/>
      <c r="H205" s="25"/>
      <c r="I205" s="25"/>
      <c r="J205" s="25"/>
      <c r="K205" s="25"/>
      <c r="L205" s="25"/>
      <c r="M205" s="25"/>
      <c r="N205" s="62" t="s">
        <v>122</v>
      </c>
      <c r="O205" s="25"/>
      <c r="P205" s="79"/>
      <c r="Q205" s="86"/>
      <c r="R205" s="5"/>
    </row>
    <row r="206" spans="1:18" ht="15.6" x14ac:dyDescent="0.3">
      <c r="A206" s="87"/>
      <c r="B206" s="122" t="s">
        <v>91</v>
      </c>
      <c r="C206" s="76"/>
      <c r="D206" s="76"/>
      <c r="E206" s="25"/>
      <c r="F206" s="25"/>
      <c r="G206" s="25"/>
      <c r="H206" s="25"/>
      <c r="I206" s="25"/>
      <c r="J206" s="167"/>
      <c r="K206" s="25"/>
      <c r="L206" s="25"/>
      <c r="M206" s="25"/>
      <c r="N206" s="85"/>
      <c r="O206" s="25"/>
      <c r="P206" s="79"/>
      <c r="Q206" s="88"/>
      <c r="R206" s="5"/>
    </row>
    <row r="207" spans="1:18" ht="15.6" x14ac:dyDescent="0.3">
      <c r="A207" s="87"/>
      <c r="B207" s="135" t="s">
        <v>92</v>
      </c>
      <c r="C207" s="76"/>
      <c r="D207" s="76"/>
      <c r="E207" s="25"/>
      <c r="F207" s="25"/>
      <c r="G207" s="25"/>
      <c r="H207" s="25"/>
      <c r="I207" s="25"/>
      <c r="J207" s="25"/>
      <c r="K207" s="25"/>
      <c r="L207" s="25"/>
      <c r="M207" s="25">
        <v>0</v>
      </c>
      <c r="N207" s="85">
        <f>P152</f>
        <v>0</v>
      </c>
      <c r="O207" s="25"/>
      <c r="P207" s="79"/>
      <c r="Q207" s="88"/>
      <c r="R207" s="5"/>
    </row>
    <row r="208" spans="1:18" ht="15.6" x14ac:dyDescent="0.3">
      <c r="A208" s="84"/>
      <c r="B208" s="76" t="s">
        <v>93</v>
      </c>
      <c r="C208" s="54"/>
      <c r="D208" s="54"/>
      <c r="E208" s="25"/>
      <c r="F208" s="25"/>
      <c r="G208" s="25"/>
      <c r="H208" s="25"/>
      <c r="I208" s="25"/>
      <c r="J208" s="25"/>
      <c r="K208" s="25"/>
      <c r="L208" s="25"/>
      <c r="M208" s="25">
        <v>0</v>
      </c>
      <c r="N208" s="85">
        <f>'Oct 05'!N206+'Jan 06'!N207</f>
        <v>0</v>
      </c>
      <c r="O208" s="25"/>
      <c r="P208" s="79"/>
      <c r="Q208" s="88"/>
      <c r="R208" s="5"/>
    </row>
    <row r="209" spans="1:18" ht="15.6" x14ac:dyDescent="0.3">
      <c r="A209" s="87"/>
      <c r="B209" s="122" t="s">
        <v>278</v>
      </c>
      <c r="C209" s="76"/>
      <c r="D209" s="76"/>
      <c r="E209" s="25"/>
      <c r="F209" s="25"/>
      <c r="G209" s="25"/>
      <c r="H209" s="25"/>
      <c r="I209" s="25"/>
      <c r="J209" s="25"/>
      <c r="K209" s="25"/>
      <c r="L209" s="25"/>
      <c r="M209" s="25"/>
      <c r="N209" s="85"/>
      <c r="O209" s="25"/>
      <c r="P209" s="79"/>
      <c r="Q209" s="88"/>
      <c r="R209" s="5"/>
    </row>
    <row r="210" spans="1:18" ht="15.6" x14ac:dyDescent="0.3">
      <c r="A210" s="87"/>
      <c r="B210" s="76" t="s">
        <v>276</v>
      </c>
      <c r="C210" s="76"/>
      <c r="D210" s="76"/>
      <c r="E210" s="25"/>
      <c r="F210" s="25"/>
      <c r="G210" s="25"/>
      <c r="H210" s="25"/>
      <c r="I210" s="25"/>
      <c r="J210" s="25"/>
      <c r="K210" s="25"/>
      <c r="L210" s="25"/>
      <c r="M210" s="30">
        <v>0</v>
      </c>
      <c r="N210" s="85">
        <v>0</v>
      </c>
      <c r="O210" s="25"/>
      <c r="P210" s="79"/>
      <c r="Q210" s="88"/>
      <c r="R210" s="5"/>
    </row>
    <row r="211" spans="1:18" ht="15.6" x14ac:dyDescent="0.3">
      <c r="A211" s="84"/>
      <c r="B211" s="76" t="s">
        <v>95</v>
      </c>
      <c r="C211" s="89"/>
      <c r="D211" s="90"/>
      <c r="E211" s="25"/>
      <c r="F211" s="25"/>
      <c r="G211" s="25"/>
      <c r="H211" s="25"/>
      <c r="I211" s="25"/>
      <c r="J211" s="25"/>
      <c r="K211" s="25"/>
      <c r="L211" s="25"/>
      <c r="M211" s="25"/>
      <c r="N211" s="62">
        <v>0</v>
      </c>
      <c r="O211" s="25"/>
      <c r="P211" s="79"/>
      <c r="Q211" s="88"/>
      <c r="R211" s="5"/>
    </row>
    <row r="212" spans="1:18" ht="15.6" x14ac:dyDescent="0.3">
      <c r="A212" s="84"/>
      <c r="B212" s="76" t="s">
        <v>96</v>
      </c>
      <c r="C212" s="89"/>
      <c r="D212" s="90"/>
      <c r="E212" s="25"/>
      <c r="F212" s="25"/>
      <c r="G212" s="25"/>
      <c r="H212" s="25"/>
      <c r="I212" s="25"/>
      <c r="J212" s="25"/>
      <c r="K212" s="25"/>
      <c r="L212" s="25"/>
      <c r="M212" s="25"/>
      <c r="N212" s="62">
        <v>0</v>
      </c>
      <c r="O212" s="25"/>
      <c r="P212" s="79"/>
      <c r="Q212" s="88"/>
      <c r="R212" s="5"/>
    </row>
    <row r="213" spans="1:18" ht="15.6" x14ac:dyDescent="0.3">
      <c r="A213" s="84"/>
      <c r="B213" s="122" t="s">
        <v>251</v>
      </c>
      <c r="C213" s="89"/>
      <c r="D213" s="90"/>
      <c r="E213" s="25"/>
      <c r="F213" s="25"/>
      <c r="G213" s="25"/>
      <c r="H213" s="25"/>
      <c r="I213" s="25"/>
      <c r="J213" s="25"/>
      <c r="K213" s="25"/>
      <c r="L213" s="25"/>
      <c r="M213" s="25"/>
      <c r="N213" s="91"/>
      <c r="O213" s="25"/>
      <c r="P213" s="79"/>
      <c r="Q213" s="88"/>
      <c r="R213" s="5"/>
    </row>
    <row r="214" spans="1:18" ht="15.6" x14ac:dyDescent="0.3">
      <c r="A214" s="84"/>
      <c r="B214" s="76" t="s">
        <v>276</v>
      </c>
      <c r="C214" s="89"/>
      <c r="D214" s="90"/>
      <c r="E214" s="25"/>
      <c r="F214" s="25"/>
      <c r="G214" s="25"/>
      <c r="H214" s="25"/>
      <c r="I214" s="25"/>
      <c r="J214" s="25"/>
      <c r="K214" s="25"/>
      <c r="L214" s="25"/>
      <c r="M214" s="30">
        <v>7</v>
      </c>
      <c r="N214" s="85">
        <v>1280</v>
      </c>
      <c r="O214" s="25"/>
      <c r="P214" s="79"/>
      <c r="Q214" s="88"/>
      <c r="R214" s="5"/>
    </row>
    <row r="215" spans="1:18" ht="15.6" x14ac:dyDescent="0.3">
      <c r="A215" s="84"/>
      <c r="B215" s="76" t="s">
        <v>252</v>
      </c>
      <c r="C215" s="89"/>
      <c r="D215" s="90"/>
      <c r="E215" s="25"/>
      <c r="F215" s="25"/>
      <c r="G215" s="25"/>
      <c r="H215" s="25"/>
      <c r="I215" s="25"/>
      <c r="J215" s="25"/>
      <c r="K215" s="25"/>
      <c r="L215" s="25"/>
      <c r="M215" s="25"/>
      <c r="N215" s="62">
        <v>5.23</v>
      </c>
      <c r="O215" s="25"/>
      <c r="P215" s="79"/>
      <c r="Q215" s="88"/>
      <c r="R215" s="5"/>
    </row>
    <row r="216" spans="1:18" ht="15.6" x14ac:dyDescent="0.3">
      <c r="A216" s="84"/>
      <c r="B216" s="76"/>
      <c r="C216" s="89"/>
      <c r="D216" s="90"/>
      <c r="E216" s="25"/>
      <c r="F216" s="25"/>
      <c r="G216" s="25"/>
      <c r="H216" s="25"/>
      <c r="I216" s="25"/>
      <c r="J216" s="25"/>
      <c r="K216" s="25"/>
      <c r="L216" s="25"/>
      <c r="M216" s="25"/>
      <c r="N216" s="91"/>
      <c r="O216" s="25"/>
      <c r="P216" s="79"/>
      <c r="Q216" s="88"/>
      <c r="R216" s="5"/>
    </row>
    <row r="217" spans="1:18" ht="17.399999999999999" x14ac:dyDescent="0.3">
      <c r="A217" s="84"/>
      <c r="B217" s="160" t="s">
        <v>244</v>
      </c>
      <c r="C217" s="161"/>
      <c r="D217" s="162"/>
      <c r="E217" s="163"/>
      <c r="F217" s="163"/>
      <c r="G217" s="163"/>
      <c r="H217" s="163"/>
      <c r="I217" s="166"/>
      <c r="J217" s="169" t="s">
        <v>243</v>
      </c>
      <c r="K217" s="163"/>
      <c r="L217" s="163"/>
      <c r="M217" s="25"/>
      <c r="N217" s="91"/>
      <c r="O217" s="25"/>
      <c r="P217" s="79"/>
      <c r="Q217" s="88"/>
      <c r="R217" s="5"/>
    </row>
    <row r="218" spans="1:18" ht="15.6" x14ac:dyDescent="0.3">
      <c r="A218" s="84"/>
      <c r="B218" s="156"/>
      <c r="C218" s="157"/>
      <c r="D218" s="158"/>
      <c r="E218" s="146"/>
      <c r="F218" s="146"/>
      <c r="G218" s="146"/>
      <c r="H218" s="146"/>
      <c r="I218" s="146"/>
      <c r="J218" s="146"/>
      <c r="K218" s="146"/>
      <c r="L218" s="146"/>
      <c r="M218" s="25"/>
      <c r="N218" s="91"/>
      <c r="O218" s="25"/>
      <c r="P218" s="79"/>
      <c r="Q218" s="88"/>
      <c r="R218" s="5"/>
    </row>
    <row r="219" spans="1:18" ht="15.6" x14ac:dyDescent="0.3">
      <c r="A219" s="6"/>
      <c r="B219" s="14" t="s">
        <v>236</v>
      </c>
      <c r="C219" s="81"/>
      <c r="D219" s="82"/>
      <c r="E219" s="81"/>
      <c r="F219" s="17"/>
      <c r="G219" s="17"/>
      <c r="H219" s="17"/>
      <c r="I219" s="17"/>
      <c r="J219" s="17"/>
      <c r="K219" s="17"/>
      <c r="L219" s="83" t="s">
        <v>113</v>
      </c>
      <c r="M219" s="17" t="s">
        <v>114</v>
      </c>
      <c r="N219" s="83" t="s">
        <v>123</v>
      </c>
      <c r="O219" s="17" t="s">
        <v>114</v>
      </c>
      <c r="P219" s="8"/>
      <c r="Q219" s="92"/>
      <c r="R219" s="5"/>
    </row>
    <row r="220" spans="1:18" ht="15.6" x14ac:dyDescent="0.3">
      <c r="A220" s="24"/>
      <c r="B220" s="54" t="s">
        <v>98</v>
      </c>
      <c r="C220" s="93"/>
      <c r="D220" s="25"/>
      <c r="E220" s="93"/>
      <c r="F220" s="93"/>
      <c r="G220" s="93"/>
      <c r="H220" s="93"/>
      <c r="I220" s="93"/>
      <c r="J220" s="93"/>
      <c r="K220" s="93"/>
      <c r="L220" s="54">
        <v>7603</v>
      </c>
      <c r="M220" s="94">
        <f t="shared" ref="M220:M227" si="1">L220/$L$228</f>
        <v>0.98958740075491347</v>
      </c>
      <c r="N220" s="53">
        <v>721986</v>
      </c>
      <c r="O220" s="136">
        <f t="shared" ref="O220:O227" si="2">N220/$N$228</f>
        <v>0.99036365706415952</v>
      </c>
      <c r="P220" s="79"/>
      <c r="Q220" s="88"/>
      <c r="R220" s="5"/>
    </row>
    <row r="221" spans="1:18" ht="15.6" x14ac:dyDescent="0.3">
      <c r="A221" s="24"/>
      <c r="B221" s="54" t="s">
        <v>99</v>
      </c>
      <c r="C221" s="93"/>
      <c r="D221" s="25"/>
      <c r="E221" s="94"/>
      <c r="F221" s="93"/>
      <c r="G221" s="93"/>
      <c r="H221" s="93"/>
      <c r="I221" s="93"/>
      <c r="J221" s="93"/>
      <c r="K221" s="93"/>
      <c r="L221" s="54">
        <v>39</v>
      </c>
      <c r="M221" s="94">
        <f t="shared" si="1"/>
        <v>5.076142131979695E-3</v>
      </c>
      <c r="N221" s="53">
        <v>3594</v>
      </c>
      <c r="O221" s="136">
        <f t="shared" si="2"/>
        <v>4.9299667631901301E-3</v>
      </c>
      <c r="P221" s="79"/>
      <c r="Q221" s="88"/>
      <c r="R221" s="5"/>
    </row>
    <row r="222" spans="1:18" ht="15.6" x14ac:dyDescent="0.3">
      <c r="A222" s="24"/>
      <c r="B222" s="54" t="s">
        <v>100</v>
      </c>
      <c r="C222" s="93"/>
      <c r="D222" s="25"/>
      <c r="E222" s="94"/>
      <c r="F222" s="93"/>
      <c r="G222" s="93"/>
      <c r="H222" s="93"/>
      <c r="I222" s="93"/>
      <c r="J222" s="93"/>
      <c r="K222" s="93"/>
      <c r="L222" s="54">
        <v>24</v>
      </c>
      <c r="M222" s="94">
        <f t="shared" si="1"/>
        <v>3.1237797735259665E-3</v>
      </c>
      <c r="N222" s="53">
        <v>2332</v>
      </c>
      <c r="O222" s="136">
        <f t="shared" si="2"/>
        <v>3.1988543382747313E-3</v>
      </c>
      <c r="P222" s="79"/>
      <c r="Q222" s="88"/>
      <c r="R222" s="5"/>
    </row>
    <row r="223" spans="1:18" ht="15.6" x14ac:dyDescent="0.3">
      <c r="A223" s="24"/>
      <c r="B223" s="54" t="s">
        <v>227</v>
      </c>
      <c r="C223" s="93"/>
      <c r="D223" s="25"/>
      <c r="E223" s="94"/>
      <c r="F223" s="93"/>
      <c r="G223" s="93"/>
      <c r="H223" s="93"/>
      <c r="I223" s="93"/>
      <c r="J223" s="93"/>
      <c r="K223" s="93"/>
      <c r="L223" s="54">
        <v>6</v>
      </c>
      <c r="M223" s="94">
        <f t="shared" si="1"/>
        <v>7.8094494338149163E-4</v>
      </c>
      <c r="N223" s="53">
        <v>417</v>
      </c>
      <c r="O223" s="136">
        <f t="shared" si="2"/>
        <v>5.7200782978583317E-4</v>
      </c>
      <c r="P223" s="79"/>
      <c r="Q223" s="88"/>
      <c r="R223" s="5"/>
    </row>
    <row r="224" spans="1:18" ht="15.6" x14ac:dyDescent="0.3">
      <c r="A224" s="24"/>
      <c r="B224" s="54" t="s">
        <v>228</v>
      </c>
      <c r="C224" s="93"/>
      <c r="D224" s="25"/>
      <c r="E224" s="94"/>
      <c r="F224" s="93"/>
      <c r="G224" s="93"/>
      <c r="H224" s="93"/>
      <c r="I224" s="93"/>
      <c r="J224" s="93"/>
      <c r="K224" s="93"/>
      <c r="L224" s="54">
        <v>4</v>
      </c>
      <c r="M224" s="94">
        <f t="shared" si="1"/>
        <v>5.2062996225432775E-4</v>
      </c>
      <c r="N224" s="53">
        <v>120</v>
      </c>
      <c r="O224" s="136">
        <f t="shared" si="2"/>
        <v>1.6460656972254191E-4</v>
      </c>
      <c r="P224" s="79"/>
      <c r="Q224" s="88"/>
      <c r="R224" s="5"/>
    </row>
    <row r="225" spans="1:18" ht="15.6" x14ac:dyDescent="0.3">
      <c r="A225" s="24"/>
      <c r="B225" s="54" t="s">
        <v>229</v>
      </c>
      <c r="C225" s="93"/>
      <c r="D225" s="25"/>
      <c r="E225" s="94"/>
      <c r="F225" s="93"/>
      <c r="G225" s="93"/>
      <c r="H225" s="93"/>
      <c r="I225" s="93"/>
      <c r="J225" s="93"/>
      <c r="K225" s="93"/>
      <c r="L225" s="54">
        <v>0</v>
      </c>
      <c r="M225" s="94">
        <f t="shared" si="1"/>
        <v>0</v>
      </c>
      <c r="N225" s="53">
        <v>0</v>
      </c>
      <c r="O225" s="136">
        <f t="shared" si="2"/>
        <v>0</v>
      </c>
      <c r="P225" s="79"/>
      <c r="Q225" s="88"/>
      <c r="R225" s="5"/>
    </row>
    <row r="226" spans="1:18" ht="15.6" x14ac:dyDescent="0.3">
      <c r="A226" s="24"/>
      <c r="B226" s="54" t="s">
        <v>230</v>
      </c>
      <c r="C226" s="93"/>
      <c r="D226" s="25"/>
      <c r="E226" s="94"/>
      <c r="F226" s="93"/>
      <c r="G226" s="93"/>
      <c r="H226" s="93"/>
      <c r="I226" s="93"/>
      <c r="J226" s="93"/>
      <c r="K226" s="93"/>
      <c r="L226" s="54">
        <v>5</v>
      </c>
      <c r="M226" s="94">
        <f t="shared" si="1"/>
        <v>6.5078745281790969E-4</v>
      </c>
      <c r="N226" s="53">
        <v>439</v>
      </c>
      <c r="O226" s="136">
        <f t="shared" si="2"/>
        <v>6.021857009016325E-4</v>
      </c>
      <c r="P226" s="79"/>
      <c r="Q226" s="88"/>
      <c r="R226" s="5"/>
    </row>
    <row r="227" spans="1:18" ht="15.6" x14ac:dyDescent="0.3">
      <c r="A227" s="24"/>
      <c r="B227" s="54" t="s">
        <v>231</v>
      </c>
      <c r="C227" s="93"/>
      <c r="D227" s="25"/>
      <c r="E227" s="94"/>
      <c r="F227" s="93"/>
      <c r="G227" s="93"/>
      <c r="H227" s="93"/>
      <c r="I227" s="93"/>
      <c r="J227" s="93"/>
      <c r="K227" s="93"/>
      <c r="L227" s="54">
        <v>2</v>
      </c>
      <c r="M227" s="94">
        <f t="shared" si="1"/>
        <v>2.6031498112716388E-4</v>
      </c>
      <c r="N227" s="53">
        <v>123</v>
      </c>
      <c r="O227" s="136">
        <f t="shared" si="2"/>
        <v>1.6872173396560546E-4</v>
      </c>
      <c r="P227" s="79"/>
      <c r="Q227" s="88"/>
      <c r="R227" s="5"/>
    </row>
    <row r="228" spans="1:18" ht="15.6" x14ac:dyDescent="0.3">
      <c r="A228" s="24"/>
      <c r="B228" s="25" t="s">
        <v>129</v>
      </c>
      <c r="C228" s="25"/>
      <c r="D228" s="25"/>
      <c r="E228" s="25"/>
      <c r="F228" s="95"/>
      <c r="G228" s="95"/>
      <c r="H228" s="95"/>
      <c r="I228" s="95"/>
      <c r="J228" s="95"/>
      <c r="K228" s="95"/>
      <c r="L228" s="34">
        <f>SUM(L220:L227)</f>
        <v>7683</v>
      </c>
      <c r="M228" s="136">
        <f>SUM(M220:M227)</f>
        <v>1</v>
      </c>
      <c r="N228" s="53">
        <f>SUM(N220:N227)</f>
        <v>729011</v>
      </c>
      <c r="O228" s="136">
        <f>SUM(O220:O227)</f>
        <v>1</v>
      </c>
      <c r="P228" s="25"/>
      <c r="Q228" s="25"/>
      <c r="R228" s="5"/>
    </row>
    <row r="229" spans="1:18" ht="15.6" x14ac:dyDescent="0.3">
      <c r="A229" s="24"/>
      <c r="B229" s="25"/>
      <c r="C229" s="25"/>
      <c r="D229" s="25"/>
      <c r="E229" s="25"/>
      <c r="F229" s="95"/>
      <c r="G229" s="95"/>
      <c r="H229" s="95"/>
      <c r="I229" s="95"/>
      <c r="J229" s="95"/>
      <c r="K229" s="95"/>
      <c r="L229" s="34"/>
      <c r="M229" s="136"/>
      <c r="N229" s="53"/>
      <c r="O229" s="136"/>
      <c r="P229" s="25"/>
      <c r="Q229" s="25"/>
      <c r="R229" s="5"/>
    </row>
    <row r="230" spans="1:18" ht="15.6" x14ac:dyDescent="0.3">
      <c r="A230" s="148"/>
      <c r="B230" s="14" t="s">
        <v>238</v>
      </c>
      <c r="C230" s="81"/>
      <c r="D230" s="82"/>
      <c r="E230" s="81"/>
      <c r="F230" s="17"/>
      <c r="G230" s="17"/>
      <c r="H230" s="17"/>
      <c r="I230" s="17"/>
      <c r="J230" s="17"/>
      <c r="K230" s="17"/>
      <c r="L230" s="83" t="s">
        <v>113</v>
      </c>
      <c r="M230" s="17" t="s">
        <v>114</v>
      </c>
      <c r="N230" s="83" t="s">
        <v>123</v>
      </c>
      <c r="O230" s="17" t="s">
        <v>114</v>
      </c>
      <c r="P230" s="8"/>
      <c r="Q230" s="149"/>
      <c r="R230" s="5"/>
    </row>
    <row r="231" spans="1:18" ht="15.6" x14ac:dyDescent="0.3">
      <c r="A231" s="24"/>
      <c r="B231" s="54" t="s">
        <v>98</v>
      </c>
      <c r="C231" s="93"/>
      <c r="D231" s="25"/>
      <c r="E231" s="93"/>
      <c r="F231" s="93"/>
      <c r="G231" s="93"/>
      <c r="H231" s="93"/>
      <c r="I231" s="93"/>
      <c r="J231" s="93"/>
      <c r="K231" s="93"/>
      <c r="L231" s="54">
        <v>1</v>
      </c>
      <c r="M231" s="94">
        <f t="shared" ref="M231:M238" si="3">L231/$L$239</f>
        <v>1.6949152542372881E-2</v>
      </c>
      <c r="N231" s="53">
        <v>193</v>
      </c>
      <c r="O231" s="136">
        <f t="shared" ref="O231:O238" si="4">N231/$N$239</f>
        <v>2.5328083989501312E-2</v>
      </c>
      <c r="P231" s="79"/>
      <c r="Q231" s="25"/>
      <c r="R231" s="5"/>
    </row>
    <row r="232" spans="1:18" ht="15.6" x14ac:dyDescent="0.3">
      <c r="A232" s="24"/>
      <c r="B232" s="54" t="s">
        <v>99</v>
      </c>
      <c r="C232" s="93"/>
      <c r="D232" s="25"/>
      <c r="E232" s="94"/>
      <c r="F232" s="93"/>
      <c r="G232" s="93"/>
      <c r="H232" s="93"/>
      <c r="I232" s="93"/>
      <c r="J232" s="93"/>
      <c r="K232" s="93"/>
      <c r="L232" s="54">
        <v>1</v>
      </c>
      <c r="M232" s="94">
        <f t="shared" si="3"/>
        <v>1.6949152542372881E-2</v>
      </c>
      <c r="N232" s="53">
        <v>50</v>
      </c>
      <c r="O232" s="136">
        <f t="shared" si="4"/>
        <v>6.5616797900262466E-3</v>
      </c>
      <c r="P232" s="79"/>
      <c r="Q232" s="25"/>
      <c r="R232" s="5"/>
    </row>
    <row r="233" spans="1:18" ht="15.6" x14ac:dyDescent="0.3">
      <c r="A233" s="24"/>
      <c r="B233" s="54" t="s">
        <v>100</v>
      </c>
      <c r="C233" s="93"/>
      <c r="D233" s="25"/>
      <c r="E233" s="94"/>
      <c r="F233" s="93"/>
      <c r="G233" s="93"/>
      <c r="H233" s="93"/>
      <c r="I233" s="93"/>
      <c r="J233" s="93"/>
      <c r="K233" s="93"/>
      <c r="L233" s="54">
        <v>1</v>
      </c>
      <c r="M233" s="94">
        <f t="shared" si="3"/>
        <v>1.6949152542372881E-2</v>
      </c>
      <c r="N233" s="53">
        <v>149</v>
      </c>
      <c r="O233" s="136">
        <f t="shared" si="4"/>
        <v>1.9553805774278215E-2</v>
      </c>
      <c r="P233" s="79"/>
      <c r="Q233" s="25"/>
      <c r="R233" s="5"/>
    </row>
    <row r="234" spans="1:18" ht="15.6" x14ac:dyDescent="0.3">
      <c r="A234" s="24"/>
      <c r="B234" s="54" t="s">
        <v>227</v>
      </c>
      <c r="C234" s="93"/>
      <c r="D234" s="25"/>
      <c r="E234" s="94"/>
      <c r="F234" s="93"/>
      <c r="G234" s="93"/>
      <c r="H234" s="93"/>
      <c r="I234" s="93"/>
      <c r="J234" s="93"/>
      <c r="K234" s="93"/>
      <c r="L234" s="54">
        <v>4</v>
      </c>
      <c r="M234" s="94">
        <f t="shared" si="3"/>
        <v>6.7796610169491525E-2</v>
      </c>
      <c r="N234" s="53">
        <v>900</v>
      </c>
      <c r="O234" s="136">
        <f t="shared" si="4"/>
        <v>0.11811023622047244</v>
      </c>
      <c r="P234" s="79"/>
      <c r="Q234" s="25"/>
      <c r="R234" s="5"/>
    </row>
    <row r="235" spans="1:18" ht="15.6" x14ac:dyDescent="0.3">
      <c r="A235" s="24"/>
      <c r="B235" s="54" t="s">
        <v>228</v>
      </c>
      <c r="C235" s="93"/>
      <c r="D235" s="25"/>
      <c r="E235" s="94"/>
      <c r="F235" s="93"/>
      <c r="G235" s="93"/>
      <c r="H235" s="93"/>
      <c r="I235" s="93"/>
      <c r="J235" s="93"/>
      <c r="K235" s="93"/>
      <c r="L235" s="54">
        <v>5</v>
      </c>
      <c r="M235" s="94">
        <f t="shared" si="3"/>
        <v>8.4745762711864403E-2</v>
      </c>
      <c r="N235" s="53">
        <v>592</v>
      </c>
      <c r="O235" s="136">
        <f t="shared" si="4"/>
        <v>7.769028871391076E-2</v>
      </c>
      <c r="P235" s="79"/>
      <c r="Q235" s="25"/>
      <c r="R235" s="5"/>
    </row>
    <row r="236" spans="1:18" ht="15.6" x14ac:dyDescent="0.3">
      <c r="A236" s="24"/>
      <c r="B236" s="54" t="s">
        <v>229</v>
      </c>
      <c r="C236" s="93"/>
      <c r="D236" s="25"/>
      <c r="E236" s="94"/>
      <c r="F236" s="93"/>
      <c r="G236" s="93"/>
      <c r="H236" s="93"/>
      <c r="I236" s="93"/>
      <c r="J236" s="93"/>
      <c r="K236" s="93"/>
      <c r="L236" s="54">
        <v>10</v>
      </c>
      <c r="M236" s="94">
        <f t="shared" si="3"/>
        <v>0.16949152542372881</v>
      </c>
      <c r="N236" s="53">
        <v>1637</v>
      </c>
      <c r="O236" s="136">
        <f t="shared" si="4"/>
        <v>0.2148293963254593</v>
      </c>
      <c r="P236" s="79"/>
      <c r="Q236" s="25"/>
      <c r="R236" s="5"/>
    </row>
    <row r="237" spans="1:18" ht="15.6" x14ac:dyDescent="0.3">
      <c r="A237" s="24"/>
      <c r="B237" s="54" t="s">
        <v>230</v>
      </c>
      <c r="C237" s="93"/>
      <c r="D237" s="25"/>
      <c r="E237" s="94"/>
      <c r="F237" s="93"/>
      <c r="G237" s="93"/>
      <c r="H237" s="93"/>
      <c r="I237" s="93"/>
      <c r="J237" s="93"/>
      <c r="K237" s="93"/>
      <c r="L237" s="54">
        <v>26</v>
      </c>
      <c r="M237" s="94">
        <f t="shared" si="3"/>
        <v>0.44067796610169491</v>
      </c>
      <c r="N237" s="53">
        <v>2813</v>
      </c>
      <c r="O237" s="136">
        <f t="shared" si="4"/>
        <v>0.36916010498687662</v>
      </c>
      <c r="P237" s="79"/>
      <c r="Q237" s="25"/>
      <c r="R237" s="5"/>
    </row>
    <row r="238" spans="1:18" ht="15.6" x14ac:dyDescent="0.3">
      <c r="A238" s="24"/>
      <c r="B238" s="54" t="s">
        <v>231</v>
      </c>
      <c r="C238" s="93"/>
      <c r="D238" s="25"/>
      <c r="E238" s="94"/>
      <c r="F238" s="93"/>
      <c r="G238" s="93"/>
      <c r="H238" s="93"/>
      <c r="I238" s="93"/>
      <c r="J238" s="93"/>
      <c r="K238" s="93"/>
      <c r="L238" s="54">
        <v>11</v>
      </c>
      <c r="M238" s="94">
        <f t="shared" si="3"/>
        <v>0.1864406779661017</v>
      </c>
      <c r="N238" s="53">
        <v>1286</v>
      </c>
      <c r="O238" s="136">
        <f t="shared" si="4"/>
        <v>0.16876640419947506</v>
      </c>
      <c r="P238" s="79"/>
      <c r="Q238" s="25"/>
      <c r="R238" s="5"/>
    </row>
    <row r="239" spans="1:18" ht="15.6" x14ac:dyDescent="0.3">
      <c r="A239" s="24"/>
      <c r="B239" s="25" t="s">
        <v>129</v>
      </c>
      <c r="C239" s="25"/>
      <c r="D239" s="25"/>
      <c r="E239" s="25"/>
      <c r="F239" s="95"/>
      <c r="G239" s="95"/>
      <c r="H239" s="95"/>
      <c r="I239" s="95"/>
      <c r="J239" s="95"/>
      <c r="K239" s="95"/>
      <c r="L239" s="34">
        <f>SUM(L231:L238)</f>
        <v>59</v>
      </c>
      <c r="M239" s="136">
        <f>SUM(M231:M238)</f>
        <v>1</v>
      </c>
      <c r="N239" s="53">
        <f>SUM(N231:N238)</f>
        <v>7620</v>
      </c>
      <c r="O239" s="136">
        <f>SUM(O231:O238)</f>
        <v>0.99999999999999989</v>
      </c>
      <c r="P239" s="25"/>
      <c r="Q239" s="25"/>
      <c r="R239" s="5"/>
    </row>
    <row r="240" spans="1:18" ht="15.6" x14ac:dyDescent="0.3">
      <c r="A240" s="24"/>
      <c r="B240" s="25"/>
      <c r="C240" s="25"/>
      <c r="D240" s="25"/>
      <c r="E240" s="25"/>
      <c r="F240" s="95"/>
      <c r="G240" s="95"/>
      <c r="H240" s="95"/>
      <c r="I240" s="95"/>
      <c r="J240" s="95"/>
      <c r="K240" s="95"/>
      <c r="L240" s="34"/>
      <c r="M240" s="136"/>
      <c r="N240" s="53"/>
      <c r="O240" s="136"/>
      <c r="P240" s="25"/>
      <c r="Q240" s="25"/>
      <c r="R240" s="5"/>
    </row>
    <row r="241" spans="1:18" ht="15.6" x14ac:dyDescent="0.3">
      <c r="A241" s="148"/>
      <c r="B241" s="14" t="s">
        <v>239</v>
      </c>
      <c r="C241" s="81"/>
      <c r="D241" s="82"/>
      <c r="E241" s="81"/>
      <c r="F241" s="17"/>
      <c r="G241" s="17"/>
      <c r="H241" s="17"/>
      <c r="I241" s="17"/>
      <c r="J241" s="17"/>
      <c r="K241" s="17"/>
      <c r="L241" s="83" t="s">
        <v>113</v>
      </c>
      <c r="M241" s="17" t="s">
        <v>114</v>
      </c>
      <c r="N241" s="83" t="s">
        <v>123</v>
      </c>
      <c r="O241" s="17" t="s">
        <v>114</v>
      </c>
      <c r="P241" s="150"/>
      <c r="Q241" s="149"/>
      <c r="R241" s="5"/>
    </row>
    <row r="242" spans="1:18" ht="15.6" x14ac:dyDescent="0.3">
      <c r="A242" s="24"/>
      <c r="B242" s="54" t="s">
        <v>98</v>
      </c>
      <c r="C242" s="93"/>
      <c r="D242" s="25"/>
      <c r="E242" s="93"/>
      <c r="F242" s="93"/>
      <c r="G242" s="93"/>
      <c r="H242" s="93"/>
      <c r="I242" s="93"/>
      <c r="J242" s="93"/>
      <c r="K242" s="93"/>
      <c r="L242" s="54">
        <v>0</v>
      </c>
      <c r="M242" s="94">
        <v>0</v>
      </c>
      <c r="N242" s="53">
        <v>0</v>
      </c>
      <c r="O242" s="136">
        <v>0</v>
      </c>
      <c r="P242" s="25"/>
      <c r="Q242" s="25"/>
      <c r="R242" s="5"/>
    </row>
    <row r="243" spans="1:18" ht="15.6" x14ac:dyDescent="0.3">
      <c r="A243" s="24"/>
      <c r="B243" s="54" t="s">
        <v>99</v>
      </c>
      <c r="C243" s="93"/>
      <c r="D243" s="25"/>
      <c r="E243" s="94"/>
      <c r="F243" s="93"/>
      <c r="G243" s="93"/>
      <c r="H243" s="93"/>
      <c r="I243" s="93"/>
      <c r="J243" s="93"/>
      <c r="K243" s="93"/>
      <c r="L243" s="54">
        <v>0</v>
      </c>
      <c r="M243" s="94">
        <v>0</v>
      </c>
      <c r="N243" s="53">
        <v>0</v>
      </c>
      <c r="O243" s="136">
        <v>0</v>
      </c>
      <c r="P243" s="25"/>
      <c r="Q243" s="25"/>
      <c r="R243" s="5"/>
    </row>
    <row r="244" spans="1:18" ht="15.6" x14ac:dyDescent="0.3">
      <c r="A244" s="24"/>
      <c r="B244" s="54" t="s">
        <v>100</v>
      </c>
      <c r="C244" s="93"/>
      <c r="D244" s="25"/>
      <c r="E244" s="94"/>
      <c r="F244" s="93"/>
      <c r="G244" s="93"/>
      <c r="H244" s="93"/>
      <c r="I244" s="93"/>
      <c r="J244" s="93"/>
      <c r="K244" s="93"/>
      <c r="L244" s="54">
        <v>0</v>
      </c>
      <c r="M244" s="94">
        <v>0</v>
      </c>
      <c r="N244" s="53">
        <v>0</v>
      </c>
      <c r="O244" s="136">
        <v>0</v>
      </c>
      <c r="P244" s="25"/>
      <c r="Q244" s="25"/>
      <c r="R244" s="5"/>
    </row>
    <row r="245" spans="1:18" ht="15.6" x14ac:dyDescent="0.3">
      <c r="A245" s="24"/>
      <c r="B245" s="54" t="s">
        <v>227</v>
      </c>
      <c r="C245" s="93"/>
      <c r="D245" s="25"/>
      <c r="E245" s="94"/>
      <c r="F245" s="93"/>
      <c r="G245" s="93"/>
      <c r="H245" s="93"/>
      <c r="I245" s="93"/>
      <c r="J245" s="93"/>
      <c r="K245" s="93"/>
      <c r="L245" s="54">
        <v>0</v>
      </c>
      <c r="M245" s="94">
        <v>0</v>
      </c>
      <c r="N245" s="53">
        <v>0</v>
      </c>
      <c r="O245" s="136">
        <v>0</v>
      </c>
      <c r="P245" s="25"/>
      <c r="Q245" s="25"/>
      <c r="R245" s="5"/>
    </row>
    <row r="246" spans="1:18" ht="15.6" x14ac:dyDescent="0.3">
      <c r="A246" s="24"/>
      <c r="B246" s="54" t="s">
        <v>228</v>
      </c>
      <c r="C246" s="93"/>
      <c r="D246" s="25"/>
      <c r="E246" s="94"/>
      <c r="F246" s="93"/>
      <c r="G246" s="93"/>
      <c r="H246" s="93"/>
      <c r="I246" s="93"/>
      <c r="J246" s="93"/>
      <c r="K246" s="93"/>
      <c r="L246" s="54">
        <v>0</v>
      </c>
      <c r="M246" s="94">
        <v>0</v>
      </c>
      <c r="N246" s="53">
        <v>0</v>
      </c>
      <c r="O246" s="136">
        <v>0</v>
      </c>
      <c r="P246" s="25"/>
      <c r="Q246" s="25"/>
      <c r="R246" s="5"/>
    </row>
    <row r="247" spans="1:18" ht="15.6" x14ac:dyDescent="0.3">
      <c r="A247" s="24"/>
      <c r="B247" s="54" t="s">
        <v>229</v>
      </c>
      <c r="C247" s="93"/>
      <c r="D247" s="25"/>
      <c r="E247" s="94"/>
      <c r="F247" s="93"/>
      <c r="G247" s="93"/>
      <c r="H247" s="93"/>
      <c r="I247" s="93"/>
      <c r="J247" s="93"/>
      <c r="K247" s="93"/>
      <c r="L247" s="54">
        <v>0</v>
      </c>
      <c r="M247" s="94">
        <v>0</v>
      </c>
      <c r="N247" s="53">
        <v>0</v>
      </c>
      <c r="O247" s="136">
        <v>0</v>
      </c>
      <c r="P247" s="25"/>
      <c r="Q247" s="25"/>
      <c r="R247" s="5"/>
    </row>
    <row r="248" spans="1:18" ht="15.6" x14ac:dyDescent="0.3">
      <c r="A248" s="24"/>
      <c r="B248" s="54" t="s">
        <v>230</v>
      </c>
      <c r="C248" s="93"/>
      <c r="D248" s="25"/>
      <c r="E248" s="94"/>
      <c r="F248" s="93"/>
      <c r="G248" s="93"/>
      <c r="H248" s="93"/>
      <c r="I248" s="93"/>
      <c r="J248" s="93"/>
      <c r="K248" s="93"/>
      <c r="L248" s="54">
        <v>0</v>
      </c>
      <c r="M248" s="94">
        <v>0</v>
      </c>
      <c r="N248" s="53">
        <v>0</v>
      </c>
      <c r="O248" s="136">
        <v>0</v>
      </c>
      <c r="P248" s="25"/>
      <c r="Q248" s="25"/>
      <c r="R248" s="5"/>
    </row>
    <row r="249" spans="1:18" ht="15.6" x14ac:dyDescent="0.3">
      <c r="A249" s="24"/>
      <c r="B249" s="54" t="s">
        <v>231</v>
      </c>
      <c r="C249" s="93"/>
      <c r="D249" s="25"/>
      <c r="E249" s="94"/>
      <c r="F249" s="93"/>
      <c r="G249" s="93"/>
      <c r="H249" s="93"/>
      <c r="I249" s="93"/>
      <c r="J249" s="93"/>
      <c r="K249" s="93"/>
      <c r="L249" s="54">
        <v>0</v>
      </c>
      <c r="M249" s="94">
        <v>0</v>
      </c>
      <c r="N249" s="53">
        <v>0</v>
      </c>
      <c r="O249" s="136">
        <v>0</v>
      </c>
      <c r="P249" s="25"/>
      <c r="Q249" s="25"/>
      <c r="R249" s="5"/>
    </row>
    <row r="250" spans="1:18" ht="15.6" x14ac:dyDescent="0.3">
      <c r="A250" s="24"/>
      <c r="B250" s="25" t="s">
        <v>129</v>
      </c>
      <c r="C250" s="25"/>
      <c r="D250" s="25"/>
      <c r="E250" s="25"/>
      <c r="F250" s="95"/>
      <c r="G250" s="95"/>
      <c r="H250" s="95"/>
      <c r="I250" s="95"/>
      <c r="J250" s="95"/>
      <c r="K250" s="95"/>
      <c r="L250" s="34">
        <f>SUM(L242:L249)</f>
        <v>0</v>
      </c>
      <c r="M250" s="136">
        <v>0</v>
      </c>
      <c r="N250" s="53">
        <f>SUM(N242:N249)</f>
        <v>0</v>
      </c>
      <c r="O250" s="136">
        <v>0</v>
      </c>
      <c r="P250" s="25"/>
      <c r="Q250" s="25"/>
      <c r="R250" s="5"/>
    </row>
    <row r="251" spans="1:18" ht="15.6" x14ac:dyDescent="0.3">
      <c r="A251" s="24"/>
      <c r="B251" s="25"/>
      <c r="C251" s="25"/>
      <c r="D251" s="25"/>
      <c r="E251" s="25"/>
      <c r="F251" s="95"/>
      <c r="G251" s="95"/>
      <c r="H251" s="95"/>
      <c r="I251" s="95"/>
      <c r="J251" s="95"/>
      <c r="K251" s="95"/>
      <c r="L251" s="34"/>
      <c r="M251" s="136"/>
      <c r="N251" s="53"/>
      <c r="O251" s="136"/>
      <c r="P251" s="25"/>
      <c r="Q251" s="25"/>
      <c r="R251" s="5"/>
    </row>
    <row r="252" spans="1:18" ht="15.6" x14ac:dyDescent="0.3">
      <c r="A252" s="24"/>
      <c r="B252" s="152" t="s">
        <v>240</v>
      </c>
      <c r="C252" s="25"/>
      <c r="D252" s="25"/>
      <c r="E252" s="25"/>
      <c r="F252" s="95"/>
      <c r="G252" s="95"/>
      <c r="H252" s="95"/>
      <c r="I252" s="95"/>
      <c r="J252" s="95"/>
      <c r="K252" s="95"/>
      <c r="L252" s="173">
        <f>+L228+L239+L250</f>
        <v>7742</v>
      </c>
      <c r="M252" s="136"/>
      <c r="N252" s="153">
        <f>+N250+N239+N228</f>
        <v>736631</v>
      </c>
      <c r="O252" s="136"/>
      <c r="P252" s="25"/>
      <c r="Q252" s="25"/>
      <c r="R252" s="5"/>
    </row>
    <row r="253" spans="1:18" ht="15.6" x14ac:dyDescent="0.3">
      <c r="A253" s="24"/>
      <c r="B253" s="25"/>
      <c r="C253" s="25"/>
      <c r="D253" s="25"/>
      <c r="E253" s="25"/>
      <c r="F253" s="95"/>
      <c r="G253" s="95"/>
      <c r="H253" s="95"/>
      <c r="I253" s="95"/>
      <c r="J253" s="95"/>
      <c r="K253" s="95"/>
      <c r="L253" s="95"/>
      <c r="M253" s="95"/>
      <c r="N253" s="53"/>
      <c r="O253" s="95"/>
      <c r="P253" s="25"/>
      <c r="Q253" s="25"/>
      <c r="R253" s="5"/>
    </row>
    <row r="254" spans="1:18" ht="15.6" x14ac:dyDescent="0.3">
      <c r="A254" s="6"/>
      <c r="B254" s="8"/>
      <c r="C254" s="8"/>
      <c r="D254" s="8"/>
      <c r="E254" s="8"/>
      <c r="F254" s="96"/>
      <c r="G254" s="96"/>
      <c r="H254" s="96"/>
      <c r="I254" s="96"/>
      <c r="J254" s="96"/>
      <c r="K254" s="96"/>
      <c r="L254" s="96"/>
      <c r="M254" s="96"/>
      <c r="N254" s="97"/>
      <c r="O254" s="96"/>
      <c r="P254" s="8"/>
      <c r="Q254" s="8"/>
      <c r="R254" s="5"/>
    </row>
    <row r="255" spans="1:18" ht="15.6" x14ac:dyDescent="0.3">
      <c r="A255" s="145"/>
      <c r="B255" s="14" t="s">
        <v>234</v>
      </c>
      <c r="C255" s="15"/>
      <c r="D255" s="17"/>
      <c r="E255" s="15"/>
      <c r="F255" s="14"/>
      <c r="G255" s="140"/>
      <c r="H255" s="140"/>
      <c r="I255" s="140"/>
      <c r="J255" s="140"/>
      <c r="K255" s="140"/>
      <c r="L255" s="140"/>
      <c r="M255" s="140"/>
      <c r="N255" s="140"/>
      <c r="O255" s="140"/>
      <c r="P255" s="140"/>
      <c r="Q255" s="140"/>
      <c r="R255" s="5"/>
    </row>
    <row r="256" spans="1:18" ht="15.6" x14ac:dyDescent="0.3">
      <c r="A256" s="145"/>
      <c r="B256" s="140"/>
      <c r="C256" s="8"/>
      <c r="D256" s="8"/>
      <c r="E256" s="8"/>
      <c r="F256" s="8"/>
      <c r="G256" s="140"/>
      <c r="H256" s="140"/>
      <c r="I256" s="140"/>
      <c r="J256" s="140"/>
      <c r="K256" s="140"/>
      <c r="L256" s="140"/>
      <c r="M256" s="140"/>
      <c r="N256" s="140"/>
      <c r="O256" s="140"/>
      <c r="P256" s="140"/>
      <c r="Q256" s="140"/>
      <c r="R256" s="5"/>
    </row>
    <row r="257" spans="1:18" ht="15.6" x14ac:dyDescent="0.3">
      <c r="A257" s="145"/>
      <c r="B257" s="13" t="s">
        <v>232</v>
      </c>
      <c r="C257" s="13"/>
      <c r="D257" s="134"/>
      <c r="E257" s="13"/>
      <c r="F257" s="13"/>
      <c r="G257" s="140"/>
      <c r="H257" s="140"/>
      <c r="I257" s="140"/>
      <c r="J257" s="140"/>
      <c r="K257" s="140"/>
      <c r="L257" s="140"/>
      <c r="M257" s="140"/>
      <c r="N257" s="140"/>
      <c r="O257" s="140"/>
      <c r="P257" s="140"/>
      <c r="Q257" s="140"/>
      <c r="R257" s="5"/>
    </row>
    <row r="258" spans="1:18" ht="15.6" x14ac:dyDescent="0.3">
      <c r="A258" s="145"/>
      <c r="B258" s="13" t="s">
        <v>233</v>
      </c>
      <c r="C258" s="13"/>
      <c r="D258" s="134"/>
      <c r="E258" s="13"/>
      <c r="F258" s="13"/>
      <c r="G258" s="140"/>
      <c r="H258" s="140"/>
      <c r="I258" s="140"/>
      <c r="J258" s="140"/>
      <c r="K258" s="140"/>
      <c r="L258" s="140"/>
      <c r="M258" s="140"/>
      <c r="N258" s="140"/>
      <c r="O258" s="140"/>
      <c r="P258" s="140"/>
      <c r="Q258" s="140"/>
      <c r="R258" s="5"/>
    </row>
    <row r="259" spans="1:18" ht="15.6" x14ac:dyDescent="0.3">
      <c r="A259" s="145"/>
      <c r="B259" s="13"/>
      <c r="C259" s="13"/>
      <c r="D259" s="13"/>
      <c r="E259" s="99"/>
      <c r="F259" s="140"/>
      <c r="G259" s="140"/>
      <c r="H259" s="140"/>
      <c r="I259" s="140"/>
      <c r="J259" s="140"/>
      <c r="K259" s="140"/>
      <c r="L259" s="140"/>
      <c r="M259" s="140"/>
      <c r="N259" s="140"/>
      <c r="O259" s="140"/>
      <c r="P259" s="140"/>
      <c r="Q259" s="140"/>
      <c r="R259" s="5"/>
    </row>
    <row r="260" spans="1:18" ht="15.6" x14ac:dyDescent="0.3">
      <c r="A260" s="145"/>
      <c r="B260" s="13"/>
      <c r="C260" s="13"/>
      <c r="D260" s="13"/>
      <c r="E260" s="99"/>
      <c r="F260" s="140"/>
      <c r="G260" s="140"/>
      <c r="H260" s="140"/>
      <c r="I260" s="140"/>
      <c r="J260" s="140"/>
      <c r="K260" s="140"/>
      <c r="L260" s="140"/>
      <c r="M260" s="140"/>
      <c r="N260" s="140"/>
      <c r="O260" s="140"/>
      <c r="P260" s="140"/>
      <c r="Q260" s="140"/>
      <c r="R260" s="5"/>
    </row>
    <row r="261" spans="1:18" ht="18" thickBot="1" x14ac:dyDescent="0.35">
      <c r="A261" s="145"/>
      <c r="B261" s="49" t="str">
        <f>B180</f>
        <v>PM7 INVESTOR REPORT QUARTER ENDING JANUARY 2006</v>
      </c>
      <c r="C261" s="13"/>
      <c r="D261" s="13"/>
      <c r="E261" s="99"/>
      <c r="F261" s="140"/>
      <c r="G261" s="140"/>
      <c r="H261" s="140"/>
      <c r="I261" s="140"/>
      <c r="J261" s="140"/>
      <c r="K261" s="140"/>
      <c r="L261" s="140"/>
      <c r="M261" s="140"/>
      <c r="N261" s="140"/>
      <c r="O261" s="140"/>
      <c r="P261" s="140"/>
      <c r="Q261" s="140"/>
      <c r="R261" s="5"/>
    </row>
    <row r="262" spans="1:18" x14ac:dyDescent="0.25">
      <c r="A262" s="100"/>
      <c r="B262" s="100"/>
      <c r="C262" s="100"/>
      <c r="D262" s="100"/>
      <c r="E262" s="100"/>
      <c r="F262" s="100"/>
      <c r="G262" s="100"/>
      <c r="H262" s="100"/>
      <c r="I262" s="100"/>
      <c r="J262" s="100"/>
      <c r="K262" s="100"/>
      <c r="L262" s="100"/>
      <c r="M262" s="100"/>
      <c r="N262" s="100"/>
      <c r="O262" s="100"/>
      <c r="P262" s="100"/>
      <c r="Q262" s="100"/>
    </row>
  </sheetData>
  <phoneticPr fontId="0" type="noConversion"/>
  <hyperlinks>
    <hyperlink ref="H9" r:id="rId1"/>
    <hyperlink ref="J217"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0" max="14" man="1"/>
    <brk id="180" max="14"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23"/>
  </sheetPr>
  <dimension ref="A1:S262"/>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0.9405</v>
      </c>
      <c r="N17" s="17" t="s">
        <v>173</v>
      </c>
      <c r="O17" s="138">
        <v>5.9499999999999997E-2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38855</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178</v>
      </c>
      <c r="K28" s="123"/>
      <c r="L28" s="123" t="s">
        <v>178</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358903.80000000005</v>
      </c>
      <c r="E34" s="31"/>
      <c r="F34" s="131">
        <f>+F33*F40</f>
        <v>175455.06</v>
      </c>
      <c r="G34" s="31"/>
      <c r="H34" s="124">
        <f>+H33*H40</f>
        <v>398787</v>
      </c>
      <c r="I34" s="31"/>
      <c r="J34" s="130">
        <v>82500</v>
      </c>
      <c r="K34" s="31"/>
      <c r="L34" s="124">
        <v>65000</v>
      </c>
      <c r="M34" s="31"/>
      <c r="N34" s="31"/>
      <c r="O34" s="142"/>
      <c r="P34" s="31"/>
      <c r="Q34" s="34"/>
      <c r="R34" s="5"/>
    </row>
    <row r="35" spans="1:18" ht="15.6" x14ac:dyDescent="0.3">
      <c r="A35" s="28"/>
      <c r="B35" s="29" t="s">
        <v>158</v>
      </c>
      <c r="C35" s="36"/>
      <c r="D35" s="129">
        <f>+D33*D39</f>
        <v>347444.1</v>
      </c>
      <c r="E35" s="35"/>
      <c r="F35" s="132">
        <f>+F33*F39</f>
        <v>169851.22</v>
      </c>
      <c r="G35" s="35"/>
      <c r="H35" s="125">
        <f>+H33*H39</f>
        <v>386054.5</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201744.68802698149</v>
      </c>
      <c r="E37" s="31"/>
      <c r="F37" s="31">
        <f>+F34</f>
        <v>175455.06</v>
      </c>
      <c r="G37" s="31"/>
      <c r="H37" s="31">
        <f>+H34/1.481481</f>
        <v>269181.31248392654</v>
      </c>
      <c r="I37" s="31"/>
      <c r="J37" s="31">
        <v>46374</v>
      </c>
      <c r="K37" s="31"/>
      <c r="L37" s="31">
        <v>43875</v>
      </c>
      <c r="M37" s="31"/>
      <c r="N37" s="31"/>
      <c r="O37" s="142"/>
      <c r="P37" s="31">
        <f>SUM(C37:L37)+1</f>
        <v>736631.06051090802</v>
      </c>
      <c r="Q37" s="34"/>
      <c r="R37" s="5"/>
    </row>
    <row r="38" spans="1:18" ht="15.6" x14ac:dyDescent="0.3">
      <c r="A38" s="28"/>
      <c r="B38" s="29" t="s">
        <v>281</v>
      </c>
      <c r="C38" s="36"/>
      <c r="D38" s="35">
        <f>D35/1.779</f>
        <v>195303.03541315344</v>
      </c>
      <c r="E38" s="35"/>
      <c r="F38" s="35">
        <f>+F35</f>
        <v>169851.22</v>
      </c>
      <c r="G38" s="35"/>
      <c r="H38" s="35">
        <f>H35/1.481481</f>
        <v>260586.87219073344</v>
      </c>
      <c r="I38" s="35"/>
      <c r="J38" s="35">
        <v>46374</v>
      </c>
      <c r="K38" s="35"/>
      <c r="L38" s="35">
        <v>43875</v>
      </c>
      <c r="M38" s="35"/>
      <c r="N38" s="35"/>
      <c r="O38" s="37"/>
      <c r="P38" s="35">
        <f>SUM(D38:L38)</f>
        <v>715990.12760388688</v>
      </c>
      <c r="Q38" s="34"/>
      <c r="R38" s="5"/>
    </row>
    <row r="39" spans="1:18" ht="15.6" x14ac:dyDescent="0.3">
      <c r="A39" s="28"/>
      <c r="B39" s="122" t="s">
        <v>154</v>
      </c>
      <c r="C39" s="126"/>
      <c r="D39" s="139">
        <v>0.77209799999999995</v>
      </c>
      <c r="E39" s="139"/>
      <c r="F39" s="139">
        <v>0.77205100000000004</v>
      </c>
      <c r="G39" s="139"/>
      <c r="H39" s="139">
        <v>0.77210900000000005</v>
      </c>
      <c r="I39" s="139"/>
      <c r="J39" s="139">
        <v>1</v>
      </c>
      <c r="K39" s="139"/>
      <c r="L39" s="139">
        <v>1</v>
      </c>
      <c r="M39" s="31"/>
      <c r="N39" s="31"/>
      <c r="O39" s="142"/>
      <c r="P39" s="31"/>
      <c r="Q39" s="34"/>
      <c r="R39" s="5"/>
    </row>
    <row r="40" spans="1:18" ht="15.6" x14ac:dyDescent="0.3">
      <c r="A40" s="28"/>
      <c r="B40" s="122" t="s">
        <v>155</v>
      </c>
      <c r="C40" s="126"/>
      <c r="D40" s="139">
        <v>0.79756400000000005</v>
      </c>
      <c r="E40" s="139"/>
      <c r="F40" s="139">
        <v>0.79752299999999998</v>
      </c>
      <c r="G40" s="139"/>
      <c r="H40" s="139">
        <v>0.79757400000000001</v>
      </c>
      <c r="I40" s="139"/>
      <c r="J40" s="139">
        <v>1</v>
      </c>
      <c r="K40" s="139"/>
      <c r="L40" s="139">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4.95875E-2</v>
      </c>
      <c r="E42" s="39"/>
      <c r="F42" s="38">
        <v>4.7843799999999999E-2</v>
      </c>
      <c r="G42" s="39"/>
      <c r="H42" s="38">
        <v>2.8039999999999999E-2</v>
      </c>
      <c r="I42" s="39"/>
      <c r="J42" s="38">
        <v>5.4987500000000002E-2</v>
      </c>
      <c r="K42" s="39"/>
      <c r="L42" s="38">
        <v>3.3439999999999998E-2</v>
      </c>
      <c r="M42" s="39"/>
      <c r="N42" s="38"/>
      <c r="O42" s="141"/>
      <c r="P42" s="39"/>
      <c r="Q42" s="25"/>
      <c r="R42" s="5"/>
    </row>
    <row r="43" spans="1:18" ht="15.6" x14ac:dyDescent="0.3">
      <c r="A43" s="24"/>
      <c r="B43" s="25" t="s">
        <v>14</v>
      </c>
      <c r="C43" s="25"/>
      <c r="D43" s="38">
        <v>4.5499999999999999E-2</v>
      </c>
      <c r="E43" s="39"/>
      <c r="F43" s="38">
        <v>4.8362500000000003E-2</v>
      </c>
      <c r="G43" s="39"/>
      <c r="H43" s="38">
        <v>2.5309999999999999E-2</v>
      </c>
      <c r="I43" s="39"/>
      <c r="J43" s="38">
        <v>5.0900000000000001E-2</v>
      </c>
      <c r="K43" s="39"/>
      <c r="L43" s="38">
        <v>3.0710000000000001E-2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4.87888E-2</v>
      </c>
      <c r="E45" s="39"/>
      <c r="F45" s="38">
        <v>4.7843799999999999E-2</v>
      </c>
      <c r="G45" s="39"/>
      <c r="H45" s="38">
        <v>4.8668799999999998E-2</v>
      </c>
      <c r="I45" s="39"/>
      <c r="J45" s="38">
        <v>5.4918799999999997E-2</v>
      </c>
      <c r="K45" s="39"/>
      <c r="L45" s="38">
        <v>5.4918799999999997E-2</v>
      </c>
      <c r="M45" s="39"/>
      <c r="N45" s="38"/>
      <c r="O45" s="141"/>
      <c r="P45" s="39">
        <f>SUMPRODUCT(D45:L45,D37:L37)/P37</f>
        <v>4.9270819848247584E-2</v>
      </c>
      <c r="Q45" s="25"/>
      <c r="R45" s="5"/>
    </row>
    <row r="46" spans="1:18" ht="15.6" x14ac:dyDescent="0.3">
      <c r="A46" s="24"/>
      <c r="B46" s="25" t="s">
        <v>283</v>
      </c>
      <c r="C46" s="25"/>
      <c r="D46" s="38">
        <v>4.9307499999999997E-2</v>
      </c>
      <c r="E46" s="39"/>
      <c r="F46" s="38">
        <v>4.8362500000000003E-2</v>
      </c>
      <c r="G46" s="39"/>
      <c r="H46" s="38">
        <v>4.9187500000000002E-2</v>
      </c>
      <c r="I46" s="39"/>
      <c r="J46" s="38">
        <v>5.5437500000000001E-2</v>
      </c>
      <c r="K46" s="39"/>
      <c r="L46" s="38">
        <v>5.5437500000000001E-2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0.14422737457834217</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38852</v>
      </c>
      <c r="Q57" s="25"/>
      <c r="R57" s="5"/>
    </row>
    <row r="58" spans="1:18" ht="15.6" x14ac:dyDescent="0.3">
      <c r="A58" s="24"/>
      <c r="B58" s="25" t="s">
        <v>142</v>
      </c>
      <c r="C58" s="25"/>
      <c r="D58" s="25"/>
      <c r="E58" s="25"/>
      <c r="F58" s="58"/>
      <c r="G58" s="58"/>
      <c r="H58" s="58"/>
      <c r="I58" s="58"/>
      <c r="J58" s="58"/>
      <c r="K58" s="58"/>
      <c r="L58" s="25">
        <f>+P58-N58+1</f>
        <v>92</v>
      </c>
      <c r="M58" s="58"/>
      <c r="N58" s="45">
        <v>38671</v>
      </c>
      <c r="O58" s="46"/>
      <c r="P58" s="45">
        <v>38762</v>
      </c>
      <c r="Q58" s="25"/>
      <c r="R58" s="5"/>
    </row>
    <row r="59" spans="1:18" ht="15.6" x14ac:dyDescent="0.3">
      <c r="A59" s="24"/>
      <c r="B59" s="25" t="s">
        <v>143</v>
      </c>
      <c r="C59" s="25"/>
      <c r="D59" s="25"/>
      <c r="E59" s="25"/>
      <c r="F59" s="25"/>
      <c r="G59" s="25"/>
      <c r="H59" s="25"/>
      <c r="I59" s="25"/>
      <c r="J59" s="25"/>
      <c r="K59" s="25"/>
      <c r="L59" s="25">
        <f>+P59-N59+1</f>
        <v>89</v>
      </c>
      <c r="M59" s="25"/>
      <c r="N59" s="45">
        <v>38763</v>
      </c>
      <c r="O59" s="46"/>
      <c r="P59" s="45">
        <v>38851</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38839</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254</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736631</v>
      </c>
      <c r="I70" s="34"/>
      <c r="J70" s="34">
        <f>20640+5352+145+1</f>
        <v>26138</v>
      </c>
      <c r="K70" s="34"/>
      <c r="L70" s="34">
        <f>5352+145</f>
        <v>5497</v>
      </c>
      <c r="M70" s="34"/>
      <c r="N70" s="34">
        <v>0</v>
      </c>
      <c r="O70" s="34"/>
      <c r="P70" s="53">
        <f>+H70-J70+L70-N70</f>
        <v>715990</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736631</v>
      </c>
      <c r="I73" s="34"/>
      <c r="J73" s="34">
        <f>SUM(J70:J72)</f>
        <v>26138</v>
      </c>
      <c r="K73" s="34"/>
      <c r="L73" s="34">
        <f>SUM(L70:L72)</f>
        <v>5497</v>
      </c>
      <c r="M73" s="34"/>
      <c r="N73" s="34">
        <f>SUM(N70:N72)</f>
        <v>0</v>
      </c>
      <c r="O73" s="34"/>
      <c r="P73" s="54">
        <f>SUM(P70:P72)</f>
        <v>715990</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v>0</v>
      </c>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v>0</v>
      </c>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736631</v>
      </c>
      <c r="I86" s="34"/>
      <c r="J86" s="34"/>
      <c r="K86" s="34"/>
      <c r="L86" s="34"/>
      <c r="M86" s="34"/>
      <c r="N86" s="54"/>
      <c r="O86" s="34"/>
      <c r="P86" s="54">
        <f>SUM(P73:P85)</f>
        <v>715990</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38837</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v>26138</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11655+790-1462-180</f>
        <v>10803</v>
      </c>
      <c r="Q92" s="25"/>
      <c r="R92" s="5"/>
    </row>
    <row r="93" spans="1:18" ht="15.6" x14ac:dyDescent="0.3">
      <c r="A93" s="24"/>
      <c r="B93" s="25" t="s">
        <v>249</v>
      </c>
      <c r="C93" s="25"/>
      <c r="D93" s="25"/>
      <c r="E93" s="25"/>
      <c r="F93" s="40"/>
      <c r="G93" s="57"/>
      <c r="H93" s="127"/>
      <c r="I93" s="25"/>
      <c r="J93" s="25"/>
      <c r="K93" s="25"/>
      <c r="L93" s="25"/>
      <c r="M93" s="25"/>
      <c r="N93" s="34"/>
      <c r="O93" s="25"/>
      <c r="P93" s="53">
        <f>510+40</f>
        <v>550</v>
      </c>
      <c r="Q93" s="25"/>
      <c r="R93" s="5"/>
    </row>
    <row r="94" spans="1:18" ht="15.6" x14ac:dyDescent="0.3">
      <c r="A94" s="24"/>
      <c r="B94" s="25" t="s">
        <v>250</v>
      </c>
      <c r="C94" s="25"/>
      <c r="D94" s="25"/>
      <c r="E94" s="25"/>
      <c r="F94" s="40"/>
      <c r="G94" s="57"/>
      <c r="H94" s="127"/>
      <c r="I94" s="25"/>
      <c r="J94" s="25"/>
      <c r="K94" s="25"/>
      <c r="L94" s="25"/>
      <c r="M94" s="25"/>
      <c r="N94" s="34"/>
      <c r="O94" s="25"/>
      <c r="P94" s="53">
        <v>488</v>
      </c>
      <c r="Q94" s="25"/>
      <c r="R94" s="5"/>
    </row>
    <row r="95" spans="1:18" ht="15.6" x14ac:dyDescent="0.3">
      <c r="A95" s="24"/>
      <c r="B95" s="25" t="s">
        <v>160</v>
      </c>
      <c r="C95" s="25"/>
      <c r="D95" s="25"/>
      <c r="E95" s="25"/>
      <c r="F95" s="25"/>
      <c r="G95" s="25"/>
      <c r="H95" s="25"/>
      <c r="I95" s="25"/>
      <c r="J95" s="25"/>
      <c r="K95" s="25"/>
      <c r="L95" s="25"/>
      <c r="M95" s="25"/>
      <c r="N95" s="34"/>
      <c r="O95" s="25"/>
      <c r="P95" s="53">
        <v>0</v>
      </c>
      <c r="Q95" s="25"/>
      <c r="R95" s="5"/>
    </row>
    <row r="96" spans="1:18" ht="15.6" x14ac:dyDescent="0.3">
      <c r="A96" s="24"/>
      <c r="B96" s="25" t="s">
        <v>192</v>
      </c>
      <c r="C96" s="25"/>
      <c r="D96" s="25"/>
      <c r="E96" s="25"/>
      <c r="F96" s="25"/>
      <c r="G96" s="25"/>
      <c r="H96" s="25"/>
      <c r="I96" s="25"/>
      <c r="J96" s="25"/>
      <c r="K96" s="25"/>
      <c r="L96" s="25"/>
      <c r="M96" s="25"/>
      <c r="N96" s="34"/>
      <c r="O96" s="25"/>
      <c r="P96" s="53">
        <v>0</v>
      </c>
      <c r="Q96" s="25"/>
      <c r="R96" s="5"/>
    </row>
    <row r="97" spans="1:19" ht="15.6" x14ac:dyDescent="0.3">
      <c r="A97" s="24"/>
      <c r="B97" s="25" t="s">
        <v>35</v>
      </c>
      <c r="C97" s="25"/>
      <c r="D97" s="25"/>
      <c r="E97" s="25"/>
      <c r="F97" s="25"/>
      <c r="G97" s="25"/>
      <c r="H97" s="25"/>
      <c r="I97" s="25"/>
      <c r="J97" s="25"/>
      <c r="K97" s="25"/>
      <c r="L97" s="25"/>
      <c r="M97" s="25"/>
      <c r="N97" s="34">
        <f>SUM(N90:N96)</f>
        <v>26138</v>
      </c>
      <c r="O97" s="25"/>
      <c r="P97" s="54">
        <f>SUM(P90:P96)</f>
        <v>11841</v>
      </c>
      <c r="Q97" s="25"/>
      <c r="R97" s="5"/>
    </row>
    <row r="98" spans="1:19" ht="15.6" x14ac:dyDescent="0.3">
      <c r="A98" s="24"/>
      <c r="B98" s="25" t="s">
        <v>237</v>
      </c>
      <c r="C98" s="25"/>
      <c r="D98" s="25"/>
      <c r="E98" s="25"/>
      <c r="F98" s="25"/>
      <c r="G98" s="25"/>
      <c r="H98" s="25"/>
      <c r="I98" s="25"/>
      <c r="J98" s="25"/>
      <c r="K98" s="25"/>
      <c r="L98" s="25"/>
      <c r="M98" s="25"/>
      <c r="N98" s="34">
        <v>-8</v>
      </c>
      <c r="O98" s="25"/>
      <c r="P98" s="54">
        <f>-N98</f>
        <v>8</v>
      </c>
      <c r="Q98" s="25"/>
      <c r="R98" s="5"/>
    </row>
    <row r="99" spans="1:19" ht="15.6" x14ac:dyDescent="0.3">
      <c r="A99" s="24"/>
      <c r="B99" s="25" t="s">
        <v>36</v>
      </c>
      <c r="C99" s="25"/>
      <c r="D99" s="25"/>
      <c r="E99" s="25"/>
      <c r="F99" s="25"/>
      <c r="G99" s="25"/>
      <c r="H99" s="25"/>
      <c r="I99" s="25"/>
      <c r="J99" s="25"/>
      <c r="K99" s="25"/>
      <c r="L99" s="25"/>
      <c r="M99" s="25"/>
      <c r="N99" s="34">
        <f>-P99</f>
        <v>0</v>
      </c>
      <c r="O99" s="25"/>
      <c r="P99" s="53">
        <v>0</v>
      </c>
      <c r="Q99" s="25"/>
      <c r="R99" s="5"/>
    </row>
    <row r="100" spans="1:19" ht="15.6" x14ac:dyDescent="0.3">
      <c r="A100" s="24"/>
      <c r="B100" s="25" t="s">
        <v>37</v>
      </c>
      <c r="C100" s="25"/>
      <c r="D100" s="25"/>
      <c r="E100" s="25"/>
      <c r="F100" s="25"/>
      <c r="G100" s="25"/>
      <c r="H100" s="25"/>
      <c r="I100" s="25"/>
      <c r="J100" s="25"/>
      <c r="K100" s="25"/>
      <c r="L100" s="25"/>
      <c r="M100" s="25"/>
      <c r="N100" s="34">
        <f>N97+N99+N98</f>
        <v>26130</v>
      </c>
      <c r="O100" s="25"/>
      <c r="P100" s="54">
        <f>P97+P99+P98</f>
        <v>11849</v>
      </c>
      <c r="Q100" s="25"/>
      <c r="R100" s="5"/>
      <c r="S100" s="154"/>
    </row>
    <row r="101" spans="1:19" ht="15.6" x14ac:dyDescent="0.3">
      <c r="A101" s="24"/>
      <c r="B101" s="118" t="s">
        <v>38</v>
      </c>
      <c r="C101" s="25"/>
      <c r="D101" s="25"/>
      <c r="E101" s="25"/>
      <c r="F101" s="25"/>
      <c r="G101" s="25"/>
      <c r="H101" s="25"/>
      <c r="I101" s="25"/>
      <c r="J101" s="25"/>
      <c r="K101" s="25"/>
      <c r="L101" s="25"/>
      <c r="M101" s="25"/>
      <c r="N101" s="34"/>
      <c r="O101" s="25"/>
      <c r="P101" s="53"/>
      <c r="Q101" s="25"/>
      <c r="R101" s="5"/>
    </row>
    <row r="102" spans="1:19" ht="15.6" x14ac:dyDescent="0.3">
      <c r="A102" s="24">
        <v>1</v>
      </c>
      <c r="B102" s="25" t="s">
        <v>39</v>
      </c>
      <c r="C102" s="25"/>
      <c r="D102" s="25"/>
      <c r="E102" s="25"/>
      <c r="F102" s="25"/>
      <c r="G102" s="25"/>
      <c r="H102" s="25"/>
      <c r="I102" s="25"/>
      <c r="J102" s="25"/>
      <c r="K102" s="25"/>
      <c r="L102" s="25"/>
      <c r="M102" s="25"/>
      <c r="N102" s="25"/>
      <c r="O102" s="25"/>
      <c r="P102" s="53">
        <v>0</v>
      </c>
      <c r="Q102" s="25"/>
      <c r="R102" s="5"/>
    </row>
    <row r="103" spans="1:19" ht="15.6" x14ac:dyDescent="0.3">
      <c r="A103" s="24">
        <f>+A102+1</f>
        <v>2</v>
      </c>
      <c r="B103" s="25" t="s">
        <v>40</v>
      </c>
      <c r="C103" s="25"/>
      <c r="D103" s="25"/>
      <c r="E103" s="25"/>
      <c r="F103" s="25"/>
      <c r="G103" s="25"/>
      <c r="H103" s="25"/>
      <c r="I103" s="25"/>
      <c r="J103" s="25"/>
      <c r="K103" s="25"/>
      <c r="L103" s="25"/>
      <c r="M103" s="25"/>
      <c r="N103" s="25"/>
      <c r="O103" s="25"/>
      <c r="P103" s="53">
        <v>-2</v>
      </c>
      <c r="Q103" s="25"/>
      <c r="R103" s="5"/>
    </row>
    <row r="104" spans="1:19" ht="15.6" x14ac:dyDescent="0.3">
      <c r="A104" s="24">
        <f>+A103+1</f>
        <v>3</v>
      </c>
      <c r="B104" s="25" t="s">
        <v>226</v>
      </c>
      <c r="C104" s="25"/>
      <c r="D104" s="25"/>
      <c r="E104" s="25"/>
      <c r="F104" s="25"/>
      <c r="G104" s="25"/>
      <c r="H104" s="25"/>
      <c r="I104" s="25"/>
      <c r="J104" s="25"/>
      <c r="K104" s="25"/>
      <c r="L104" s="25"/>
      <c r="M104" s="25"/>
      <c r="N104" s="25"/>
      <c r="O104" s="25"/>
      <c r="P104" s="53">
        <f>-178-110-15</f>
        <v>-303</v>
      </c>
      <c r="Q104" s="25"/>
      <c r="R104" s="5"/>
    </row>
    <row r="105" spans="1:19" ht="15.6" x14ac:dyDescent="0.3">
      <c r="A105" s="24" t="s">
        <v>151</v>
      </c>
      <c r="B105" s="25" t="s">
        <v>131</v>
      </c>
      <c r="C105" s="25"/>
      <c r="D105" s="25"/>
      <c r="E105" s="25"/>
      <c r="F105" s="25"/>
      <c r="G105" s="25"/>
      <c r="H105" s="25"/>
      <c r="I105" s="25"/>
      <c r="J105" s="25"/>
      <c r="K105" s="25"/>
      <c r="L105" s="25"/>
      <c r="M105" s="25"/>
      <c r="N105" s="25"/>
      <c r="O105" s="25"/>
      <c r="P105" s="53">
        <v>-161</v>
      </c>
      <c r="Q105" s="25"/>
      <c r="R105" s="5"/>
    </row>
    <row r="106" spans="1:19" ht="15.6" x14ac:dyDescent="0.3">
      <c r="A106" s="24" t="s">
        <v>152</v>
      </c>
      <c r="B106" s="25" t="s">
        <v>195</v>
      </c>
      <c r="C106" s="25"/>
      <c r="D106" s="25"/>
      <c r="E106" s="25"/>
      <c r="F106" s="25"/>
      <c r="G106" s="25"/>
      <c r="H106" s="25"/>
      <c r="I106" s="25"/>
      <c r="J106" s="25"/>
      <c r="K106" s="25"/>
      <c r="L106" s="25"/>
      <c r="M106" s="25"/>
      <c r="N106" s="25"/>
      <c r="O106" s="25"/>
      <c r="P106" s="53">
        <v>-2400</v>
      </c>
      <c r="Q106" s="25"/>
      <c r="R106" s="5"/>
      <c r="S106" s="109"/>
    </row>
    <row r="107" spans="1:19" ht="15.6" x14ac:dyDescent="0.3">
      <c r="A107" s="24" t="s">
        <v>217</v>
      </c>
      <c r="B107" s="25" t="s">
        <v>196</v>
      </c>
      <c r="C107" s="25"/>
      <c r="D107" s="25"/>
      <c r="E107" s="25"/>
      <c r="F107" s="25"/>
      <c r="G107" s="25"/>
      <c r="H107" s="25"/>
      <c r="I107" s="25"/>
      <c r="J107" s="25"/>
      <c r="K107" s="25"/>
      <c r="L107" s="25"/>
      <c r="M107" s="25"/>
      <c r="N107" s="25"/>
      <c r="O107" s="25"/>
      <c r="P107" s="53">
        <v>-2047</v>
      </c>
      <c r="Q107" s="25"/>
      <c r="R107" s="5"/>
      <c r="S107" s="109"/>
    </row>
    <row r="108" spans="1:19" ht="15.6" x14ac:dyDescent="0.3">
      <c r="A108" s="24" t="s">
        <v>218</v>
      </c>
      <c r="B108" s="25" t="s">
        <v>197</v>
      </c>
      <c r="C108" s="25"/>
      <c r="D108" s="25"/>
      <c r="E108" s="25"/>
      <c r="F108" s="25"/>
      <c r="G108" s="25"/>
      <c r="H108" s="25"/>
      <c r="I108" s="25"/>
      <c r="J108" s="25"/>
      <c r="K108" s="25"/>
      <c r="L108" s="25"/>
      <c r="M108" s="25"/>
      <c r="N108" s="25"/>
      <c r="O108" s="25"/>
      <c r="P108" s="53">
        <v>-3194</v>
      </c>
      <c r="Q108" s="25"/>
      <c r="R108" s="5"/>
      <c r="S108" s="109"/>
    </row>
    <row r="109" spans="1:19" ht="15.6" x14ac:dyDescent="0.3">
      <c r="A109" s="24" t="s">
        <v>147</v>
      </c>
      <c r="B109" s="25" t="s">
        <v>146</v>
      </c>
      <c r="C109" s="25"/>
      <c r="D109" s="25"/>
      <c r="E109" s="25"/>
      <c r="F109" s="25"/>
      <c r="G109" s="25"/>
      <c r="H109" s="25"/>
      <c r="I109" s="25"/>
      <c r="J109" s="25"/>
      <c r="K109" s="25"/>
      <c r="L109" s="25"/>
      <c r="M109" s="25"/>
      <c r="N109" s="25"/>
      <c r="O109" s="25"/>
      <c r="P109" s="53">
        <v>-621</v>
      </c>
      <c r="Q109" s="25"/>
      <c r="R109" s="5"/>
      <c r="S109" s="109"/>
    </row>
    <row r="110" spans="1:19" ht="15.6" x14ac:dyDescent="0.3">
      <c r="A110" s="24" t="s">
        <v>148</v>
      </c>
      <c r="B110" s="25" t="s">
        <v>198</v>
      </c>
      <c r="C110" s="25"/>
      <c r="D110" s="25"/>
      <c r="E110" s="25"/>
      <c r="F110" s="25"/>
      <c r="G110" s="25"/>
      <c r="H110" s="25"/>
      <c r="I110" s="25"/>
      <c r="J110" s="25"/>
      <c r="K110" s="25"/>
      <c r="L110" s="25"/>
      <c r="M110" s="25"/>
      <c r="N110" s="25"/>
      <c r="O110" s="25"/>
      <c r="P110" s="53">
        <v>-588</v>
      </c>
      <c r="Q110" s="25"/>
      <c r="R110" s="5"/>
      <c r="S110" s="109"/>
    </row>
    <row r="111" spans="1:19" ht="15.6" x14ac:dyDescent="0.3">
      <c r="A111" s="24">
        <v>6</v>
      </c>
      <c r="B111" s="25" t="s">
        <v>41</v>
      </c>
      <c r="C111" s="25"/>
      <c r="D111" s="25"/>
      <c r="E111" s="25"/>
      <c r="F111" s="25"/>
      <c r="G111" s="25"/>
      <c r="H111" s="25"/>
      <c r="I111" s="25"/>
      <c r="J111" s="25"/>
      <c r="K111" s="25"/>
      <c r="L111" s="25"/>
      <c r="M111" s="25"/>
      <c r="N111" s="25"/>
      <c r="O111" s="25"/>
      <c r="P111" s="53">
        <v>-10</v>
      </c>
      <c r="Q111" s="25"/>
      <c r="R111" s="5"/>
    </row>
    <row r="112" spans="1:19" ht="15.6" x14ac:dyDescent="0.3">
      <c r="A112" s="24">
        <f t="shared" ref="A112:A117" si="0">+A111+1</f>
        <v>7</v>
      </c>
      <c r="B112" s="25" t="s">
        <v>53</v>
      </c>
      <c r="C112" s="25"/>
      <c r="D112" s="25"/>
      <c r="E112" s="25"/>
      <c r="F112" s="25"/>
      <c r="G112" s="25"/>
      <c r="H112" s="25"/>
      <c r="I112" s="25"/>
      <c r="J112" s="25"/>
      <c r="K112" s="25"/>
      <c r="L112" s="25"/>
      <c r="M112" s="25"/>
      <c r="N112" s="25"/>
      <c r="O112" s="25"/>
      <c r="P112" s="53">
        <v>0</v>
      </c>
      <c r="Q112" s="25"/>
      <c r="R112" s="5"/>
    </row>
    <row r="113" spans="1:18" ht="15.6" x14ac:dyDescent="0.3">
      <c r="A113" s="24">
        <f t="shared" si="0"/>
        <v>8</v>
      </c>
      <c r="B113" s="25" t="s">
        <v>149</v>
      </c>
      <c r="C113" s="25"/>
      <c r="D113" s="25"/>
      <c r="E113" s="25"/>
      <c r="F113" s="25"/>
      <c r="G113" s="25"/>
      <c r="H113" s="25"/>
      <c r="I113" s="25"/>
      <c r="J113" s="25"/>
      <c r="K113" s="25"/>
      <c r="L113" s="25"/>
      <c r="M113" s="25"/>
      <c r="N113" s="25"/>
      <c r="O113" s="25"/>
      <c r="P113" s="53">
        <v>0</v>
      </c>
      <c r="Q113" s="25"/>
      <c r="R113" s="5"/>
    </row>
    <row r="114" spans="1:18" ht="15.6" x14ac:dyDescent="0.3">
      <c r="A114" s="24">
        <f t="shared" si="0"/>
        <v>9</v>
      </c>
      <c r="B114" s="25" t="s">
        <v>42</v>
      </c>
      <c r="C114" s="25"/>
      <c r="D114" s="25"/>
      <c r="E114" s="25"/>
      <c r="F114" s="25"/>
      <c r="G114" s="25"/>
      <c r="H114" s="25"/>
      <c r="I114" s="25"/>
      <c r="J114" s="25"/>
      <c r="K114" s="25"/>
      <c r="L114" s="25"/>
      <c r="M114" s="25"/>
      <c r="N114" s="25"/>
      <c r="O114" s="25"/>
      <c r="P114" s="53">
        <v>0</v>
      </c>
      <c r="Q114" s="25"/>
      <c r="R114" s="5"/>
    </row>
    <row r="115" spans="1:18" ht="15.6" x14ac:dyDescent="0.3">
      <c r="A115" s="24">
        <f t="shared" si="0"/>
        <v>10</v>
      </c>
      <c r="B115" s="25" t="s">
        <v>43</v>
      </c>
      <c r="C115" s="25"/>
      <c r="D115" s="25"/>
      <c r="E115" s="25"/>
      <c r="F115" s="25"/>
      <c r="G115" s="25"/>
      <c r="H115" s="25"/>
      <c r="I115" s="25"/>
      <c r="J115" s="25"/>
      <c r="K115" s="25"/>
      <c r="L115" s="25"/>
      <c r="M115" s="25"/>
      <c r="N115" s="25"/>
      <c r="O115" s="25"/>
      <c r="P115" s="53">
        <v>0</v>
      </c>
      <c r="Q115" s="25"/>
      <c r="R115" s="5"/>
    </row>
    <row r="116" spans="1:18" ht="15.6" x14ac:dyDescent="0.3">
      <c r="A116" s="24">
        <f t="shared" si="0"/>
        <v>11</v>
      </c>
      <c r="B116" s="25" t="s">
        <v>215</v>
      </c>
      <c r="C116" s="25"/>
      <c r="D116" s="25"/>
      <c r="E116" s="25"/>
      <c r="F116" s="25"/>
      <c r="G116" s="25"/>
      <c r="H116" s="25"/>
      <c r="I116" s="25"/>
      <c r="J116" s="25"/>
      <c r="K116" s="25"/>
      <c r="L116" s="25"/>
      <c r="M116" s="25"/>
      <c r="N116" s="25"/>
      <c r="O116" s="25"/>
      <c r="P116" s="53">
        <v>-362</v>
      </c>
      <c r="Q116" s="25"/>
      <c r="R116" s="5"/>
    </row>
    <row r="117" spans="1:18" ht="15.6" x14ac:dyDescent="0.3">
      <c r="A117" s="24">
        <f t="shared" si="0"/>
        <v>12</v>
      </c>
      <c r="B117" s="25" t="s">
        <v>150</v>
      </c>
      <c r="C117" s="25"/>
      <c r="D117" s="25"/>
      <c r="E117" s="25"/>
      <c r="F117" s="25"/>
      <c r="G117" s="25"/>
      <c r="H117" s="25"/>
      <c r="I117" s="25"/>
      <c r="J117" s="25"/>
      <c r="K117" s="25"/>
      <c r="L117" s="25"/>
      <c r="M117" s="25"/>
      <c r="N117" s="25"/>
      <c r="O117" s="25"/>
      <c r="P117" s="53">
        <f>-P100-SUM(P102:P116)</f>
        <v>-2161</v>
      </c>
      <c r="Q117" s="25"/>
      <c r="R117" s="5"/>
    </row>
    <row r="118" spans="1:18" ht="15.6" x14ac:dyDescent="0.3">
      <c r="A118" s="24"/>
      <c r="B118" s="118" t="s">
        <v>44</v>
      </c>
      <c r="C118" s="25"/>
      <c r="D118" s="25"/>
      <c r="E118" s="25"/>
      <c r="F118" s="25"/>
      <c r="G118" s="25"/>
      <c r="H118" s="25"/>
      <c r="I118" s="25"/>
      <c r="J118" s="25"/>
      <c r="K118" s="25"/>
      <c r="L118" s="25"/>
      <c r="M118" s="25"/>
      <c r="N118" s="25"/>
      <c r="O118" s="25"/>
      <c r="P118" s="59"/>
      <c r="Q118" s="25"/>
      <c r="R118" s="5"/>
    </row>
    <row r="119" spans="1:18" ht="15.6" x14ac:dyDescent="0.3">
      <c r="A119" s="24"/>
      <c r="B119" s="25" t="s">
        <v>45</v>
      </c>
      <c r="C119" s="25"/>
      <c r="D119" s="25"/>
      <c r="E119" s="25"/>
      <c r="F119" s="25"/>
      <c r="G119" s="25"/>
      <c r="H119" s="25"/>
      <c r="I119" s="25"/>
      <c r="J119" s="25"/>
      <c r="K119" s="25"/>
      <c r="L119" s="25"/>
      <c r="M119" s="25"/>
      <c r="N119" s="34">
        <v>-195</v>
      </c>
      <c r="O119" s="34"/>
      <c r="P119" s="53"/>
      <c r="Q119" s="25"/>
      <c r="R119" s="5"/>
    </row>
    <row r="120" spans="1:18" ht="15.6" x14ac:dyDescent="0.3">
      <c r="A120" s="24"/>
      <c r="B120" s="25" t="s">
        <v>46</v>
      </c>
      <c r="C120" s="25"/>
      <c r="D120" s="25"/>
      <c r="E120" s="25"/>
      <c r="F120" s="25"/>
      <c r="G120" s="25"/>
      <c r="H120" s="25"/>
      <c r="I120" s="25"/>
      <c r="J120" s="25"/>
      <c r="K120" s="25"/>
      <c r="L120" s="25"/>
      <c r="M120" s="25"/>
      <c r="N120" s="34">
        <f>-M167</f>
        <v>-5294</v>
      </c>
      <c r="O120" s="34"/>
      <c r="P120" s="53"/>
      <c r="Q120" s="25"/>
      <c r="R120" s="5"/>
    </row>
    <row r="121" spans="1:18" ht="15.6" x14ac:dyDescent="0.3">
      <c r="A121" s="24"/>
      <c r="B121" s="25" t="s">
        <v>199</v>
      </c>
      <c r="C121" s="25"/>
      <c r="D121" s="25"/>
      <c r="E121" s="25"/>
      <c r="F121" s="25"/>
      <c r="G121" s="25"/>
      <c r="H121" s="25"/>
      <c r="I121" s="25"/>
      <c r="J121" s="25"/>
      <c r="K121" s="25"/>
      <c r="L121" s="25"/>
      <c r="M121" s="25"/>
      <c r="N121" s="34">
        <v>-6442</v>
      </c>
      <c r="O121" s="34"/>
      <c r="P121" s="53"/>
      <c r="Q121" s="25"/>
      <c r="R121" s="5"/>
    </row>
    <row r="122" spans="1:18" ht="15.6" x14ac:dyDescent="0.3">
      <c r="A122" s="24"/>
      <c r="B122" s="25" t="s">
        <v>200</v>
      </c>
      <c r="C122" s="25"/>
      <c r="D122" s="25"/>
      <c r="E122" s="25"/>
      <c r="F122" s="25"/>
      <c r="G122" s="25"/>
      <c r="H122" s="25"/>
      <c r="I122" s="25"/>
      <c r="J122" s="25"/>
      <c r="K122" s="25"/>
      <c r="L122" s="25"/>
      <c r="M122" s="25"/>
      <c r="N122" s="34">
        <v>-5604</v>
      </c>
      <c r="O122" s="34"/>
      <c r="P122" s="53"/>
      <c r="Q122" s="25"/>
      <c r="R122" s="5"/>
    </row>
    <row r="123" spans="1:18" ht="15.6" x14ac:dyDescent="0.3">
      <c r="A123" s="24"/>
      <c r="B123" s="25" t="s">
        <v>201</v>
      </c>
      <c r="C123" s="25"/>
      <c r="D123" s="25"/>
      <c r="E123" s="25"/>
      <c r="F123" s="25"/>
      <c r="G123" s="25"/>
      <c r="H123" s="25"/>
      <c r="I123" s="25"/>
      <c r="J123" s="25"/>
      <c r="K123" s="25"/>
      <c r="L123" s="25"/>
      <c r="M123" s="25"/>
      <c r="N123" s="34">
        <v>-8595</v>
      </c>
      <c r="O123" s="34"/>
      <c r="P123" s="53"/>
      <c r="Q123" s="25"/>
      <c r="R123" s="5"/>
    </row>
    <row r="124" spans="1:18" ht="15.6" x14ac:dyDescent="0.3">
      <c r="A124" s="24"/>
      <c r="B124" s="25" t="s">
        <v>159</v>
      </c>
      <c r="C124" s="25"/>
      <c r="D124" s="25"/>
      <c r="E124" s="25"/>
      <c r="F124" s="25"/>
      <c r="G124" s="25"/>
      <c r="H124" s="25"/>
      <c r="I124" s="25"/>
      <c r="J124" s="25"/>
      <c r="K124" s="25"/>
      <c r="L124" s="25"/>
      <c r="M124" s="25"/>
      <c r="N124" s="34">
        <v>0</v>
      </c>
      <c r="O124" s="34"/>
      <c r="P124" s="53"/>
      <c r="Q124" s="25"/>
      <c r="R124" s="5"/>
    </row>
    <row r="125" spans="1:18" ht="15.6" x14ac:dyDescent="0.3">
      <c r="A125" s="24"/>
      <c r="B125" s="25" t="s">
        <v>214</v>
      </c>
      <c r="C125" s="25"/>
      <c r="D125" s="25"/>
      <c r="E125" s="25"/>
      <c r="F125" s="25"/>
      <c r="G125" s="25"/>
      <c r="H125" s="25"/>
      <c r="I125" s="25"/>
      <c r="J125" s="25"/>
      <c r="K125" s="25"/>
      <c r="L125" s="25"/>
      <c r="M125" s="25"/>
      <c r="N125" s="34">
        <v>0</v>
      </c>
      <c r="O125" s="34"/>
      <c r="P125" s="53"/>
      <c r="Q125" s="25"/>
      <c r="R125" s="5"/>
    </row>
    <row r="126" spans="1:18" ht="15.6" x14ac:dyDescent="0.3">
      <c r="A126" s="24"/>
      <c r="B126" s="25" t="s">
        <v>47</v>
      </c>
      <c r="C126" s="25"/>
      <c r="D126" s="25"/>
      <c r="E126" s="25"/>
      <c r="F126" s="25"/>
      <c r="G126" s="25"/>
      <c r="H126" s="25"/>
      <c r="I126" s="25"/>
      <c r="J126" s="25"/>
      <c r="K126" s="25"/>
      <c r="L126" s="25"/>
      <c r="M126" s="25"/>
      <c r="N126" s="34">
        <f>SUM(N119:N125)</f>
        <v>-26130</v>
      </c>
      <c r="O126" s="34"/>
      <c r="P126" s="34">
        <f>SUM(P101:P125)</f>
        <v>-11849</v>
      </c>
      <c r="Q126" s="25"/>
      <c r="R126" s="5"/>
    </row>
    <row r="127" spans="1:18" ht="15.6" x14ac:dyDescent="0.3">
      <c r="A127" s="24"/>
      <c r="B127" s="25" t="s">
        <v>48</v>
      </c>
      <c r="C127" s="25"/>
      <c r="D127" s="25"/>
      <c r="E127" s="25"/>
      <c r="F127" s="25"/>
      <c r="G127" s="25"/>
      <c r="H127" s="25"/>
      <c r="I127" s="25"/>
      <c r="J127" s="25"/>
      <c r="K127" s="25"/>
      <c r="L127" s="25"/>
      <c r="M127" s="25"/>
      <c r="N127" s="34">
        <f>N100+N126</f>
        <v>0</v>
      </c>
      <c r="O127" s="34"/>
      <c r="P127" s="34">
        <f>P100+P126</f>
        <v>0</v>
      </c>
      <c r="Q127" s="25"/>
      <c r="R127" s="5"/>
    </row>
    <row r="128" spans="1:18" ht="15.6" x14ac:dyDescent="0.3">
      <c r="A128" s="24"/>
      <c r="B128" s="25"/>
      <c r="C128" s="25"/>
      <c r="D128" s="25"/>
      <c r="E128" s="25"/>
      <c r="F128" s="25"/>
      <c r="G128" s="25"/>
      <c r="H128" s="25"/>
      <c r="I128" s="25"/>
      <c r="J128" s="25"/>
      <c r="K128" s="25"/>
      <c r="L128" s="25"/>
      <c r="M128" s="25"/>
      <c r="N128" s="34"/>
      <c r="O128" s="34"/>
      <c r="P128" s="34"/>
      <c r="Q128" s="25"/>
      <c r="R128" s="5"/>
    </row>
    <row r="129" spans="1:19" ht="15.6" x14ac:dyDescent="0.3">
      <c r="A129" s="6"/>
      <c r="B129" s="146"/>
      <c r="C129" s="146"/>
      <c r="D129" s="146"/>
      <c r="E129" s="146"/>
      <c r="F129" s="146"/>
      <c r="G129" s="146"/>
      <c r="H129" s="146"/>
      <c r="I129" s="146"/>
      <c r="J129" s="146"/>
      <c r="K129" s="146"/>
      <c r="L129" s="146"/>
      <c r="M129" s="146"/>
      <c r="N129" s="147"/>
      <c r="O129" s="147"/>
      <c r="P129" s="147"/>
      <c r="Q129" s="146"/>
      <c r="R129" s="5"/>
    </row>
    <row r="130" spans="1:19" ht="18" thickBot="1" x14ac:dyDescent="0.35">
      <c r="A130" s="101"/>
      <c r="B130" s="102" t="str">
        <f>B65</f>
        <v>PM7 INVESTOR REPORT QUARTER ENDING APRIL 2006</v>
      </c>
      <c r="C130" s="103"/>
      <c r="D130" s="103"/>
      <c r="E130" s="103"/>
      <c r="F130" s="103"/>
      <c r="G130" s="103"/>
      <c r="H130" s="103"/>
      <c r="I130" s="103"/>
      <c r="J130" s="103"/>
      <c r="K130" s="103"/>
      <c r="L130" s="103"/>
      <c r="M130" s="103"/>
      <c r="N130" s="103"/>
      <c r="O130" s="103"/>
      <c r="P130" s="106"/>
      <c r="Q130" s="105"/>
      <c r="R130" s="5"/>
    </row>
    <row r="131" spans="1:19" ht="15.6" x14ac:dyDescent="0.3">
      <c r="A131" s="2"/>
      <c r="B131" s="60" t="s">
        <v>49</v>
      </c>
      <c r="C131" s="4"/>
      <c r="D131" s="4"/>
      <c r="E131" s="4"/>
      <c r="F131" s="4"/>
      <c r="G131" s="4"/>
      <c r="H131" s="4"/>
      <c r="I131" s="4"/>
      <c r="J131" s="4"/>
      <c r="K131" s="4"/>
      <c r="L131" s="4"/>
      <c r="M131" s="4"/>
      <c r="N131" s="4"/>
      <c r="O131" s="4"/>
      <c r="P131" s="50"/>
      <c r="Q131" s="4"/>
      <c r="R131" s="5"/>
    </row>
    <row r="132" spans="1:19" ht="15.6" x14ac:dyDescent="0.3">
      <c r="A132" s="6"/>
      <c r="B132" s="21"/>
      <c r="C132" s="8"/>
      <c r="D132" s="8"/>
      <c r="E132" s="8"/>
      <c r="F132" s="8"/>
      <c r="G132" s="8"/>
      <c r="H132" s="8"/>
      <c r="I132" s="8"/>
      <c r="J132" s="8"/>
      <c r="K132" s="8"/>
      <c r="L132" s="8"/>
      <c r="M132" s="8"/>
      <c r="N132" s="8"/>
      <c r="O132" s="8"/>
      <c r="P132" s="52"/>
      <c r="Q132" s="8"/>
      <c r="R132" s="5"/>
    </row>
    <row r="133" spans="1:19" ht="15.6" x14ac:dyDescent="0.3">
      <c r="A133" s="6"/>
      <c r="B133" s="119" t="s">
        <v>50</v>
      </c>
      <c r="C133" s="8"/>
      <c r="D133" s="8"/>
      <c r="E133" s="8"/>
      <c r="F133" s="8"/>
      <c r="G133" s="8"/>
      <c r="H133" s="8"/>
      <c r="I133" s="8"/>
      <c r="J133" s="8"/>
      <c r="K133" s="8"/>
      <c r="L133" s="8"/>
      <c r="M133" s="8"/>
      <c r="N133" s="8"/>
      <c r="O133" s="8"/>
      <c r="P133" s="52"/>
      <c r="Q133" s="8"/>
      <c r="R133" s="5"/>
    </row>
    <row r="134" spans="1:19" ht="15.6" x14ac:dyDescent="0.3">
      <c r="A134" s="24"/>
      <c r="B134" s="25" t="s">
        <v>51</v>
      </c>
      <c r="C134" s="25"/>
      <c r="D134" s="25"/>
      <c r="E134" s="25"/>
      <c r="F134" s="25"/>
      <c r="G134" s="25"/>
      <c r="H134" s="25"/>
      <c r="I134" s="25"/>
      <c r="J134" s="25"/>
      <c r="K134" s="25"/>
      <c r="L134" s="25"/>
      <c r="M134" s="25"/>
      <c r="N134" s="25"/>
      <c r="O134" s="25"/>
      <c r="P134" s="53">
        <f>+P36*0.022</f>
        <v>19815.399999999998</v>
      </c>
      <c r="Q134" s="25"/>
      <c r="R134" s="5"/>
    </row>
    <row r="135" spans="1:19" ht="15.6" x14ac:dyDescent="0.3">
      <c r="A135" s="24"/>
      <c r="B135" s="25" t="s">
        <v>52</v>
      </c>
      <c r="C135" s="25"/>
      <c r="D135" s="25"/>
      <c r="E135" s="25"/>
      <c r="F135" s="25"/>
      <c r="G135" s="25"/>
      <c r="H135" s="25"/>
      <c r="I135" s="25"/>
      <c r="J135" s="25"/>
      <c r="K135" s="25"/>
      <c r="L135" s="25"/>
      <c r="M135" s="25"/>
      <c r="N135" s="25"/>
      <c r="O135" s="25"/>
      <c r="P135" s="53">
        <v>19815</v>
      </c>
      <c r="Q135" s="25"/>
      <c r="R135" s="5"/>
    </row>
    <row r="136" spans="1:19" ht="15.6" x14ac:dyDescent="0.3">
      <c r="A136" s="24"/>
      <c r="B136" s="25" t="s">
        <v>161</v>
      </c>
      <c r="C136" s="25"/>
      <c r="D136" s="25"/>
      <c r="E136" s="25"/>
      <c r="F136" s="25"/>
      <c r="G136" s="25"/>
      <c r="H136" s="25"/>
      <c r="I136" s="25"/>
      <c r="J136" s="25"/>
      <c r="K136" s="25"/>
      <c r="L136" s="25"/>
      <c r="M136" s="25"/>
      <c r="N136" s="25"/>
      <c r="O136" s="25"/>
      <c r="P136" s="53">
        <v>0</v>
      </c>
      <c r="Q136" s="25"/>
      <c r="R136" s="5"/>
    </row>
    <row r="137" spans="1:19" ht="15.6" x14ac:dyDescent="0.3">
      <c r="A137" s="24"/>
      <c r="B137" s="25" t="s">
        <v>144</v>
      </c>
      <c r="C137" s="25"/>
      <c r="D137" s="25"/>
      <c r="E137" s="25"/>
      <c r="F137" s="25"/>
      <c r="G137" s="25"/>
      <c r="H137" s="25"/>
      <c r="I137" s="25"/>
      <c r="J137" s="25"/>
      <c r="K137" s="25"/>
      <c r="L137" s="25"/>
      <c r="M137" s="25"/>
      <c r="N137" s="25"/>
      <c r="O137" s="25"/>
      <c r="P137" s="53">
        <v>0</v>
      </c>
      <c r="Q137" s="25"/>
      <c r="R137" s="5"/>
    </row>
    <row r="138" spans="1:19" ht="15.6" x14ac:dyDescent="0.3">
      <c r="A138" s="24"/>
      <c r="B138" s="25" t="s">
        <v>145</v>
      </c>
      <c r="C138" s="25"/>
      <c r="D138" s="25"/>
      <c r="E138" s="25"/>
      <c r="F138" s="25"/>
      <c r="G138" s="25"/>
      <c r="H138" s="25"/>
      <c r="I138" s="25"/>
      <c r="J138" s="25"/>
      <c r="K138" s="25"/>
      <c r="L138" s="25"/>
      <c r="M138" s="25"/>
      <c r="N138" s="25"/>
      <c r="O138" s="25"/>
      <c r="P138" s="53">
        <v>0</v>
      </c>
      <c r="Q138" s="25"/>
      <c r="R138" s="5"/>
    </row>
    <row r="139" spans="1:19" ht="15.6" x14ac:dyDescent="0.3">
      <c r="A139" s="24"/>
      <c r="B139" s="25" t="s">
        <v>53</v>
      </c>
      <c r="C139" s="25"/>
      <c r="D139" s="25"/>
      <c r="E139" s="25"/>
      <c r="F139" s="25"/>
      <c r="G139" s="25"/>
      <c r="H139" s="25"/>
      <c r="I139" s="25"/>
      <c r="J139" s="25"/>
      <c r="K139" s="25"/>
      <c r="L139" s="25"/>
      <c r="M139" s="25"/>
      <c r="N139" s="25"/>
      <c r="O139" s="25"/>
      <c r="P139" s="53">
        <v>0</v>
      </c>
      <c r="Q139" s="25"/>
      <c r="R139" s="5"/>
    </row>
    <row r="140" spans="1:19" ht="15.6" x14ac:dyDescent="0.3">
      <c r="A140" s="24"/>
      <c r="B140" s="25" t="s">
        <v>153</v>
      </c>
      <c r="C140" s="25"/>
      <c r="D140" s="25"/>
      <c r="E140" s="25"/>
      <c r="F140" s="25"/>
      <c r="G140" s="25"/>
      <c r="H140" s="25"/>
      <c r="I140" s="25"/>
      <c r="J140" s="25"/>
      <c r="K140" s="25"/>
      <c r="L140" s="25"/>
      <c r="M140" s="25"/>
      <c r="N140" s="25"/>
      <c r="O140" s="25"/>
      <c r="P140" s="53">
        <v>0</v>
      </c>
      <c r="Q140" s="25"/>
      <c r="R140" s="5"/>
    </row>
    <row r="141" spans="1:19" ht="15.6" x14ac:dyDescent="0.3">
      <c r="A141" s="24"/>
      <c r="B141" s="25" t="s">
        <v>202</v>
      </c>
      <c r="C141" s="25"/>
      <c r="D141" s="25"/>
      <c r="E141" s="25"/>
      <c r="F141" s="25"/>
      <c r="G141" s="25"/>
      <c r="H141" s="25"/>
      <c r="I141" s="25"/>
      <c r="J141" s="25"/>
      <c r="K141" s="25"/>
      <c r="L141" s="25"/>
      <c r="M141" s="25"/>
      <c r="N141" s="25"/>
      <c r="O141" s="25"/>
      <c r="P141" s="53">
        <v>0</v>
      </c>
      <c r="Q141" s="25"/>
      <c r="R141" s="5"/>
      <c r="S141" s="109"/>
    </row>
    <row r="142" spans="1:19" ht="15.6" x14ac:dyDescent="0.3">
      <c r="A142" s="24"/>
      <c r="B142" s="25" t="s">
        <v>54</v>
      </c>
      <c r="C142" s="25"/>
      <c r="D142" s="25"/>
      <c r="E142" s="25"/>
      <c r="F142" s="25"/>
      <c r="G142" s="25"/>
      <c r="H142" s="25"/>
      <c r="I142" s="25"/>
      <c r="J142" s="25"/>
      <c r="K142" s="25"/>
      <c r="L142" s="25"/>
      <c r="M142" s="25"/>
      <c r="N142" s="25"/>
      <c r="O142" s="25"/>
      <c r="P142" s="53">
        <f>SUM(P135:P141)</f>
        <v>19815</v>
      </c>
      <c r="Q142" s="25"/>
      <c r="R142" s="5"/>
    </row>
    <row r="143" spans="1:19" ht="15.6" x14ac:dyDescent="0.3">
      <c r="A143" s="24"/>
      <c r="B143" s="25"/>
      <c r="C143" s="25"/>
      <c r="D143" s="25"/>
      <c r="E143" s="25"/>
      <c r="F143" s="25"/>
      <c r="G143" s="25"/>
      <c r="H143" s="25"/>
      <c r="I143" s="25"/>
      <c r="J143" s="25"/>
      <c r="K143" s="25"/>
      <c r="L143" s="25"/>
      <c r="M143" s="25"/>
      <c r="N143" s="25"/>
      <c r="O143" s="25"/>
      <c r="P143" s="61"/>
      <c r="Q143" s="25"/>
      <c r="R143" s="5"/>
    </row>
    <row r="144" spans="1:19" ht="15.6" x14ac:dyDescent="0.3">
      <c r="A144" s="6"/>
      <c r="B144" s="119" t="s">
        <v>28</v>
      </c>
      <c r="C144" s="8"/>
      <c r="D144" s="8"/>
      <c r="E144" s="8"/>
      <c r="F144" s="8"/>
      <c r="G144" s="8"/>
      <c r="H144" s="8"/>
      <c r="I144" s="8"/>
      <c r="J144" s="8"/>
      <c r="K144" s="8"/>
      <c r="L144" s="8"/>
      <c r="M144" s="8"/>
      <c r="N144" s="8"/>
      <c r="O144" s="8"/>
      <c r="P144" s="52"/>
      <c r="Q144" s="8"/>
      <c r="R144" s="5"/>
    </row>
    <row r="145" spans="1:18" ht="15.6" x14ac:dyDescent="0.3">
      <c r="A145" s="24"/>
      <c r="B145" s="25" t="s">
        <v>55</v>
      </c>
      <c r="C145" s="25"/>
      <c r="D145" s="25"/>
      <c r="E145" s="25"/>
      <c r="F145" s="25"/>
      <c r="G145" s="25"/>
      <c r="H145" s="25"/>
      <c r="I145" s="25"/>
      <c r="J145" s="25"/>
      <c r="K145" s="25"/>
      <c r="L145" s="25"/>
      <c r="M145" s="25"/>
      <c r="N145" s="25"/>
      <c r="O145" s="25"/>
      <c r="P145" s="59" t="s">
        <v>137</v>
      </c>
      <c r="Q145" s="25"/>
      <c r="R145" s="5"/>
    </row>
    <row r="146" spans="1:18" ht="15.6" x14ac:dyDescent="0.3">
      <c r="A146" s="24"/>
      <c r="B146" s="25" t="s">
        <v>56</v>
      </c>
      <c r="C146" s="141"/>
      <c r="D146" s="141"/>
      <c r="E146" s="141"/>
      <c r="F146" s="141"/>
      <c r="G146" s="141"/>
      <c r="H146" s="141"/>
      <c r="I146" s="141"/>
      <c r="J146" s="141"/>
      <c r="K146" s="141"/>
      <c r="L146" s="141"/>
      <c r="M146" s="141"/>
      <c r="N146" s="141"/>
      <c r="O146" s="141"/>
      <c r="P146" s="59" t="s">
        <v>137</v>
      </c>
      <c r="Q146" s="25"/>
      <c r="R146" s="5"/>
    </row>
    <row r="147" spans="1:18" ht="15.6" x14ac:dyDescent="0.3">
      <c r="A147" s="24"/>
      <c r="B147" s="25" t="s">
        <v>57</v>
      </c>
      <c r="C147" s="25"/>
      <c r="D147" s="25"/>
      <c r="E147" s="25"/>
      <c r="F147" s="25"/>
      <c r="G147" s="25"/>
      <c r="H147" s="25"/>
      <c r="I147" s="25"/>
      <c r="J147" s="25"/>
      <c r="K147" s="25"/>
      <c r="L147" s="25"/>
      <c r="M147" s="25"/>
      <c r="N147" s="25"/>
      <c r="O147" s="25"/>
      <c r="P147" s="59" t="s">
        <v>137</v>
      </c>
      <c r="Q147" s="25"/>
      <c r="R147" s="5"/>
    </row>
    <row r="148" spans="1:18" ht="15.6" x14ac:dyDescent="0.3">
      <c r="A148" s="24"/>
      <c r="B148" s="25" t="s">
        <v>58</v>
      </c>
      <c r="C148" s="25"/>
      <c r="D148" s="25"/>
      <c r="E148" s="25"/>
      <c r="F148" s="25"/>
      <c r="G148" s="25"/>
      <c r="H148" s="25"/>
      <c r="I148" s="25"/>
      <c r="J148" s="25"/>
      <c r="K148" s="25"/>
      <c r="L148" s="25"/>
      <c r="M148" s="25"/>
      <c r="N148" s="25"/>
      <c r="O148" s="25"/>
      <c r="P148" s="59" t="s">
        <v>137</v>
      </c>
      <c r="Q148" s="25"/>
      <c r="R148" s="5"/>
    </row>
    <row r="149" spans="1:18" ht="15.6" x14ac:dyDescent="0.3">
      <c r="A149" s="24"/>
      <c r="B149" s="25"/>
      <c r="C149" s="25"/>
      <c r="D149" s="25"/>
      <c r="E149" s="25"/>
      <c r="F149" s="25"/>
      <c r="G149" s="25"/>
      <c r="H149" s="25"/>
      <c r="I149" s="25"/>
      <c r="J149" s="25"/>
      <c r="K149" s="25"/>
      <c r="L149" s="25"/>
      <c r="M149" s="25"/>
      <c r="N149" s="25"/>
      <c r="O149" s="25"/>
      <c r="P149" s="61"/>
      <c r="Q149" s="25"/>
      <c r="R149" s="5"/>
    </row>
    <row r="150" spans="1:18" ht="15.6" x14ac:dyDescent="0.3">
      <c r="A150" s="6"/>
      <c r="B150" s="119" t="s">
        <v>59</v>
      </c>
      <c r="C150" s="8"/>
      <c r="D150" s="8"/>
      <c r="E150" s="8"/>
      <c r="F150" s="8"/>
      <c r="G150" s="8"/>
      <c r="H150" s="8"/>
      <c r="I150" s="8"/>
      <c r="J150" s="8"/>
      <c r="K150" s="8"/>
      <c r="L150" s="8"/>
      <c r="M150" s="8"/>
      <c r="N150" s="8"/>
      <c r="O150" s="8"/>
      <c r="P150" s="63"/>
      <c r="Q150" s="8"/>
      <c r="R150" s="5"/>
    </row>
    <row r="151" spans="1:18" ht="15.6" x14ac:dyDescent="0.3">
      <c r="A151" s="24"/>
      <c r="B151" s="25" t="s">
        <v>60</v>
      </c>
      <c r="C151" s="25"/>
      <c r="D151" s="25"/>
      <c r="E151" s="25"/>
      <c r="F151" s="25"/>
      <c r="G151" s="25"/>
      <c r="H151" s="25"/>
      <c r="I151" s="25"/>
      <c r="J151" s="25"/>
      <c r="K151" s="25"/>
      <c r="L151" s="25"/>
      <c r="M151" s="25"/>
      <c r="N151" s="25"/>
      <c r="O151" s="25"/>
      <c r="P151" s="53">
        <v>0</v>
      </c>
      <c r="Q151" s="25"/>
      <c r="R151" s="5"/>
    </row>
    <row r="152" spans="1:18" ht="15.6" x14ac:dyDescent="0.3">
      <c r="A152" s="24"/>
      <c r="B152" s="25" t="s">
        <v>61</v>
      </c>
      <c r="C152" s="25"/>
      <c r="D152" s="25"/>
      <c r="E152" s="25"/>
      <c r="F152" s="25"/>
      <c r="G152" s="25"/>
      <c r="H152" s="25"/>
      <c r="I152" s="25"/>
      <c r="J152" s="25"/>
      <c r="K152" s="25"/>
      <c r="L152" s="25"/>
      <c r="M152" s="25"/>
      <c r="N152" s="25"/>
      <c r="O152" s="25"/>
      <c r="P152" s="53">
        <v>0</v>
      </c>
      <c r="Q152" s="25"/>
      <c r="R152" s="5"/>
    </row>
    <row r="153" spans="1:18" ht="15.6" x14ac:dyDescent="0.3">
      <c r="A153" s="24"/>
      <c r="B153" s="25" t="s">
        <v>62</v>
      </c>
      <c r="C153" s="25"/>
      <c r="D153" s="25"/>
      <c r="E153" s="25"/>
      <c r="F153" s="25"/>
      <c r="G153" s="25"/>
      <c r="H153" s="25"/>
      <c r="I153" s="25"/>
      <c r="J153" s="25"/>
      <c r="K153" s="25"/>
      <c r="L153" s="25"/>
      <c r="M153" s="25"/>
      <c r="N153" s="25"/>
      <c r="O153" s="25"/>
      <c r="P153" s="53">
        <f>P152+P151</f>
        <v>0</v>
      </c>
      <c r="Q153" s="25"/>
      <c r="R153" s="5"/>
    </row>
    <row r="154" spans="1:18" ht="15.6" x14ac:dyDescent="0.3">
      <c r="A154" s="24"/>
      <c r="B154" s="403" t="s">
        <v>297</v>
      </c>
      <c r="C154" s="25"/>
      <c r="D154" s="25"/>
      <c r="E154" s="25"/>
      <c r="F154" s="25"/>
      <c r="G154" s="25"/>
      <c r="H154" s="25"/>
      <c r="I154" s="25"/>
      <c r="J154" s="25"/>
      <c r="K154" s="25"/>
      <c r="L154" s="25"/>
      <c r="M154" s="25"/>
      <c r="N154" s="25"/>
      <c r="O154" s="25"/>
      <c r="P154" s="53">
        <f>P113</f>
        <v>0</v>
      </c>
      <c r="Q154" s="25"/>
      <c r="R154" s="5"/>
    </row>
    <row r="155" spans="1:18" ht="15.6" x14ac:dyDescent="0.3">
      <c r="A155" s="24"/>
      <c r="B155" s="25" t="s">
        <v>63</v>
      </c>
      <c r="C155" s="25"/>
      <c r="D155" s="25"/>
      <c r="E155" s="25"/>
      <c r="F155" s="25"/>
      <c r="G155" s="25"/>
      <c r="H155" s="25"/>
      <c r="I155" s="25"/>
      <c r="J155" s="25"/>
      <c r="K155" s="25"/>
      <c r="L155" s="25"/>
      <c r="M155" s="25"/>
      <c r="N155" s="25"/>
      <c r="O155" s="25"/>
      <c r="P155" s="53">
        <f>P153+P154</f>
        <v>0</v>
      </c>
      <c r="Q155" s="25"/>
      <c r="R155" s="5"/>
    </row>
    <row r="156" spans="1:18" ht="16.2" thickBot="1" x14ac:dyDescent="0.35">
      <c r="A156" s="24"/>
      <c r="B156" s="25"/>
      <c r="C156" s="25"/>
      <c r="D156" s="25"/>
      <c r="E156" s="25"/>
      <c r="F156" s="25"/>
      <c r="G156" s="25"/>
      <c r="H156" s="25"/>
      <c r="I156" s="25"/>
      <c r="J156" s="25"/>
      <c r="K156" s="25"/>
      <c r="L156" s="25"/>
      <c r="M156" s="25"/>
      <c r="N156" s="25"/>
      <c r="O156" s="25"/>
      <c r="P156" s="61"/>
      <c r="Q156" s="25"/>
      <c r="R156" s="5"/>
    </row>
    <row r="157" spans="1:18" ht="15.6" x14ac:dyDescent="0.3">
      <c r="A157" s="2"/>
      <c r="B157" s="4"/>
      <c r="C157" s="4"/>
      <c r="D157" s="4"/>
      <c r="E157" s="4"/>
      <c r="F157" s="4"/>
      <c r="G157" s="4"/>
      <c r="H157" s="4"/>
      <c r="I157" s="4"/>
      <c r="J157" s="4"/>
      <c r="K157" s="4"/>
      <c r="L157" s="4"/>
      <c r="M157" s="4"/>
      <c r="N157" s="4"/>
      <c r="O157" s="4"/>
      <c r="P157" s="50"/>
      <c r="Q157" s="4"/>
      <c r="R157" s="5"/>
    </row>
    <row r="158" spans="1:18" ht="15.6" x14ac:dyDescent="0.3">
      <c r="A158" s="6"/>
      <c r="B158" s="119" t="s">
        <v>64</v>
      </c>
      <c r="C158" s="8"/>
      <c r="D158" s="8"/>
      <c r="E158" s="8"/>
      <c r="F158" s="8"/>
      <c r="G158" s="8"/>
      <c r="H158" s="8"/>
      <c r="I158" s="8"/>
      <c r="J158" s="8"/>
      <c r="K158" s="8"/>
      <c r="L158" s="8"/>
      <c r="M158" s="8"/>
      <c r="N158" s="8"/>
      <c r="O158" s="8"/>
      <c r="P158" s="52"/>
      <c r="Q158" s="8"/>
      <c r="R158" s="5"/>
    </row>
    <row r="159" spans="1:18" ht="15.6" x14ac:dyDescent="0.3">
      <c r="A159" s="6"/>
      <c r="B159" s="21"/>
      <c r="C159" s="8"/>
      <c r="D159" s="8"/>
      <c r="E159" s="8"/>
      <c r="F159" s="8"/>
      <c r="G159" s="8"/>
      <c r="H159" s="8"/>
      <c r="I159" s="8"/>
      <c r="J159" s="8"/>
      <c r="K159" s="8"/>
      <c r="L159" s="8"/>
      <c r="M159" s="8"/>
      <c r="N159" s="8"/>
      <c r="O159" s="8"/>
      <c r="P159" s="52"/>
      <c r="Q159" s="8"/>
      <c r="R159" s="5"/>
    </row>
    <row r="160" spans="1:18" ht="15.6" x14ac:dyDescent="0.3">
      <c r="A160" s="24"/>
      <c r="B160" s="25" t="s">
        <v>221</v>
      </c>
      <c r="C160" s="25"/>
      <c r="D160" s="25"/>
      <c r="E160" s="25"/>
      <c r="F160" s="25"/>
      <c r="G160" s="25"/>
      <c r="H160" s="25"/>
      <c r="I160" s="25"/>
      <c r="J160" s="25"/>
      <c r="K160" s="25"/>
      <c r="L160" s="25"/>
      <c r="M160" s="25"/>
      <c r="N160" s="25"/>
      <c r="O160" s="25"/>
      <c r="P160" s="53">
        <f>P73</f>
        <v>715990</v>
      </c>
      <c r="Q160" s="25"/>
      <c r="R160" s="5"/>
    </row>
    <row r="161" spans="1:18" ht="15.6" x14ac:dyDescent="0.3">
      <c r="A161" s="24"/>
      <c r="B161" s="25" t="s">
        <v>65</v>
      </c>
      <c r="C161" s="25"/>
      <c r="D161" s="25"/>
      <c r="E161" s="25"/>
      <c r="F161" s="25"/>
      <c r="G161" s="25"/>
      <c r="H161" s="25"/>
      <c r="I161" s="25"/>
      <c r="J161" s="25"/>
      <c r="K161" s="25"/>
      <c r="L161" s="25"/>
      <c r="M161" s="25"/>
      <c r="N161" s="25"/>
      <c r="O161" s="25"/>
      <c r="P161" s="53">
        <f>P86</f>
        <v>715990</v>
      </c>
      <c r="Q161" s="25"/>
      <c r="R161" s="5"/>
    </row>
    <row r="162" spans="1:18" ht="16.2" thickBot="1" x14ac:dyDescent="0.35">
      <c r="A162" s="24"/>
      <c r="B162" s="25"/>
      <c r="C162" s="25"/>
      <c r="D162" s="25"/>
      <c r="E162" s="25"/>
      <c r="F162" s="25"/>
      <c r="G162" s="25"/>
      <c r="H162" s="25"/>
      <c r="I162" s="25"/>
      <c r="J162" s="25"/>
      <c r="K162" s="25"/>
      <c r="L162" s="25"/>
      <c r="M162" s="25"/>
      <c r="N162" s="25"/>
      <c r="O162" s="25"/>
      <c r="P162" s="61"/>
      <c r="Q162" s="25"/>
      <c r="R162" s="5"/>
    </row>
    <row r="163" spans="1:18" ht="15.6" x14ac:dyDescent="0.3">
      <c r="A163" s="2"/>
      <c r="B163" s="4"/>
      <c r="C163" s="4"/>
      <c r="D163" s="4"/>
      <c r="E163" s="4"/>
      <c r="F163" s="4"/>
      <c r="G163" s="4"/>
      <c r="H163" s="4"/>
      <c r="I163" s="4"/>
      <c r="J163" s="4"/>
      <c r="K163" s="4"/>
      <c r="L163" s="4"/>
      <c r="M163" s="4"/>
      <c r="N163" s="4"/>
      <c r="O163" s="4"/>
      <c r="P163" s="50"/>
      <c r="Q163" s="4"/>
      <c r="R163" s="5"/>
    </row>
    <row r="164" spans="1:18" ht="15.6" x14ac:dyDescent="0.3">
      <c r="A164" s="6"/>
      <c r="B164" s="119" t="s">
        <v>66</v>
      </c>
      <c r="C164" s="117"/>
      <c r="D164" s="117"/>
      <c r="E164" s="117"/>
      <c r="F164" s="120"/>
      <c r="G164" s="120"/>
      <c r="H164" s="120"/>
      <c r="I164" s="120"/>
      <c r="J164" s="120"/>
      <c r="K164" s="120"/>
      <c r="L164" s="120"/>
      <c r="M164" s="120" t="s">
        <v>112</v>
      </c>
      <c r="N164" s="120" t="s">
        <v>120</v>
      </c>
      <c r="O164" s="111"/>
      <c r="P164" s="121" t="s">
        <v>129</v>
      </c>
      <c r="Q164" s="10"/>
      <c r="R164" s="5"/>
    </row>
    <row r="165" spans="1:18" ht="15.6" x14ac:dyDescent="0.3">
      <c r="A165" s="24"/>
      <c r="B165" s="25" t="s">
        <v>67</v>
      </c>
      <c r="C165" s="25"/>
      <c r="D165" s="25"/>
      <c r="E165" s="25"/>
      <c r="F165" s="25"/>
      <c r="G165" s="25"/>
      <c r="H165" s="25"/>
      <c r="I165" s="25"/>
      <c r="J165" s="25"/>
      <c r="K165" s="25"/>
      <c r="L165" s="25"/>
      <c r="M165" s="53">
        <v>144000</v>
      </c>
      <c r="N165" s="40">
        <v>0</v>
      </c>
      <c r="O165" s="25"/>
      <c r="P165" s="53"/>
      <c r="Q165" s="25"/>
      <c r="R165" s="5"/>
    </row>
    <row r="166" spans="1:18" ht="15.6" x14ac:dyDescent="0.3">
      <c r="A166" s="24"/>
      <c r="B166" s="25" t="s">
        <v>68</v>
      </c>
      <c r="C166" s="25"/>
      <c r="D166" s="25"/>
      <c r="E166" s="25"/>
      <c r="F166" s="25"/>
      <c r="G166" s="25"/>
      <c r="H166" s="25"/>
      <c r="I166" s="25"/>
      <c r="J166" s="25"/>
      <c r="K166" s="25"/>
      <c r="L166" s="25"/>
      <c r="M166" s="53">
        <f>'Jan 06'!M168</f>
        <v>40475</v>
      </c>
      <c r="N166" s="53">
        <f>'Jan 06'!N168</f>
        <v>8752</v>
      </c>
      <c r="O166" s="25"/>
      <c r="P166" s="53">
        <f>M166+N166</f>
        <v>49227</v>
      </c>
      <c r="Q166" s="25"/>
      <c r="R166" s="5"/>
    </row>
    <row r="167" spans="1:18" ht="15.6" x14ac:dyDescent="0.3">
      <c r="A167" s="24"/>
      <c r="B167" s="25" t="s">
        <v>69</v>
      </c>
      <c r="C167" s="25"/>
      <c r="D167" s="25"/>
      <c r="E167" s="25"/>
      <c r="F167" s="25"/>
      <c r="G167" s="25"/>
      <c r="H167" s="25"/>
      <c r="I167" s="25"/>
      <c r="J167" s="25"/>
      <c r="K167" s="25"/>
      <c r="L167" s="25"/>
      <c r="M167" s="34">
        <v>5294</v>
      </c>
      <c r="N167" s="34">
        <f>-N98-N119</f>
        <v>203</v>
      </c>
      <c r="O167" s="25"/>
      <c r="P167" s="53">
        <f>M167+N167</f>
        <v>5497</v>
      </c>
      <c r="Q167" s="25"/>
      <c r="R167" s="5"/>
    </row>
    <row r="168" spans="1:18" ht="15.6" x14ac:dyDescent="0.3">
      <c r="A168" s="24"/>
      <c r="B168" s="25" t="s">
        <v>70</v>
      </c>
      <c r="C168" s="25"/>
      <c r="D168" s="25"/>
      <c r="E168" s="25"/>
      <c r="F168" s="25"/>
      <c r="G168" s="25"/>
      <c r="H168" s="25"/>
      <c r="I168" s="25"/>
      <c r="J168" s="25"/>
      <c r="K168" s="25"/>
      <c r="L168" s="25"/>
      <c r="M168" s="53">
        <f>M166+M167</f>
        <v>45769</v>
      </c>
      <c r="N168" s="53">
        <f>N167+N166</f>
        <v>8955</v>
      </c>
      <c r="O168" s="25"/>
      <c r="P168" s="53">
        <f>M168+N168</f>
        <v>54724</v>
      </c>
      <c r="Q168" s="25"/>
      <c r="R168" s="5"/>
    </row>
    <row r="169" spans="1:18" ht="15.6" x14ac:dyDescent="0.3">
      <c r="A169" s="24"/>
      <c r="B169" s="25" t="s">
        <v>71</v>
      </c>
      <c r="C169" s="25"/>
      <c r="D169" s="25"/>
      <c r="E169" s="25"/>
      <c r="F169" s="25"/>
      <c r="G169" s="25"/>
      <c r="H169" s="25"/>
      <c r="I169" s="25"/>
      <c r="J169" s="25"/>
      <c r="K169" s="25"/>
      <c r="L169" s="25"/>
      <c r="M169" s="53">
        <f>M165-M168-N168</f>
        <v>89276</v>
      </c>
      <c r="N169" s="40"/>
      <c r="O169" s="25"/>
      <c r="P169" s="53"/>
      <c r="Q169" s="25"/>
      <c r="R169" s="5"/>
    </row>
    <row r="170" spans="1:18" ht="16.2" thickBot="1" x14ac:dyDescent="0.35">
      <c r="A170" s="24"/>
      <c r="B170" s="25"/>
      <c r="C170" s="25"/>
      <c r="D170" s="25"/>
      <c r="E170" s="25"/>
      <c r="F170" s="25"/>
      <c r="G170" s="25"/>
      <c r="H170" s="25"/>
      <c r="I170" s="25"/>
      <c r="J170" s="25"/>
      <c r="K170" s="25"/>
      <c r="L170" s="25"/>
      <c r="M170" s="25"/>
      <c r="N170" s="25"/>
      <c r="O170" s="25"/>
      <c r="P170" s="61"/>
      <c r="Q170" s="25"/>
      <c r="R170" s="5"/>
    </row>
    <row r="171" spans="1:18" ht="15.6" x14ac:dyDescent="0.3">
      <c r="A171" s="2"/>
      <c r="B171" s="4"/>
      <c r="C171" s="4"/>
      <c r="D171" s="4"/>
      <c r="E171" s="4"/>
      <c r="F171" s="4"/>
      <c r="G171" s="4"/>
      <c r="H171" s="4"/>
      <c r="I171" s="4"/>
      <c r="J171" s="4"/>
      <c r="K171" s="4"/>
      <c r="L171" s="4"/>
      <c r="M171" s="4"/>
      <c r="N171" s="4"/>
      <c r="O171" s="4"/>
      <c r="P171" s="50"/>
      <c r="Q171" s="4"/>
      <c r="R171" s="5"/>
    </row>
    <row r="172" spans="1:18" ht="15.6" x14ac:dyDescent="0.3">
      <c r="A172" s="6"/>
      <c r="B172" s="119" t="s">
        <v>72</v>
      </c>
      <c r="C172" s="8"/>
      <c r="D172" s="8"/>
      <c r="E172" s="8"/>
      <c r="F172" s="8"/>
      <c r="G172" s="8"/>
      <c r="H172" s="8"/>
      <c r="I172" s="8"/>
      <c r="J172" s="8"/>
      <c r="K172" s="8"/>
      <c r="L172" s="8"/>
      <c r="M172" s="8"/>
      <c r="N172" s="8"/>
      <c r="O172" s="8"/>
      <c r="P172" s="65"/>
      <c r="Q172" s="8"/>
      <c r="R172" s="5"/>
    </row>
    <row r="173" spans="1:18" ht="15.6" x14ac:dyDescent="0.3">
      <c r="A173" s="24"/>
      <c r="B173" s="25" t="s">
        <v>73</v>
      </c>
      <c r="C173" s="25"/>
      <c r="D173" s="25"/>
      <c r="E173" s="25"/>
      <c r="F173" s="25"/>
      <c r="G173" s="25"/>
      <c r="H173" s="25"/>
      <c r="I173" s="25"/>
      <c r="J173" s="25"/>
      <c r="K173" s="25"/>
      <c r="L173" s="25"/>
      <c r="M173" s="25"/>
      <c r="N173" s="25"/>
      <c r="O173" s="25"/>
      <c r="P173" s="66">
        <f>(P100+P102+P103+P104+P105)/-(P106+P107+P108)</f>
        <v>1.4897264755922</v>
      </c>
      <c r="Q173" s="25" t="s">
        <v>130</v>
      </c>
      <c r="R173" s="5"/>
    </row>
    <row r="174" spans="1:18" ht="15.6" x14ac:dyDescent="0.3">
      <c r="A174" s="24"/>
      <c r="B174" s="25" t="s">
        <v>74</v>
      </c>
      <c r="C174" s="25"/>
      <c r="D174" s="25"/>
      <c r="E174" s="25"/>
      <c r="F174" s="25"/>
      <c r="G174" s="25"/>
      <c r="H174" s="25"/>
      <c r="I174" s="25"/>
      <c r="J174" s="25"/>
      <c r="K174" s="25"/>
      <c r="L174" s="25"/>
      <c r="M174" s="25"/>
      <c r="N174" s="25"/>
      <c r="O174" s="25"/>
      <c r="P174" s="66">
        <v>1.36</v>
      </c>
      <c r="Q174" s="25" t="s">
        <v>130</v>
      </c>
      <c r="R174" s="5"/>
    </row>
    <row r="175" spans="1:18" ht="15.6" x14ac:dyDescent="0.3">
      <c r="A175" s="24"/>
      <c r="B175" s="25" t="s">
        <v>75</v>
      </c>
      <c r="C175" s="25"/>
      <c r="D175" s="25"/>
      <c r="E175" s="25"/>
      <c r="F175" s="25"/>
      <c r="G175" s="25"/>
      <c r="H175" s="25"/>
      <c r="I175" s="25"/>
      <c r="J175" s="25"/>
      <c r="K175" s="25"/>
      <c r="L175" s="25"/>
      <c r="M175" s="25"/>
      <c r="N175" s="25"/>
      <c r="O175" s="25"/>
      <c r="P175" s="59">
        <f>(P100+P102+P103+P104+P105+P106+P107+P108)/-(P109+P110)</f>
        <v>3.0951199338296114</v>
      </c>
      <c r="Q175" s="25" t="s">
        <v>130</v>
      </c>
      <c r="R175" s="5"/>
    </row>
    <row r="176" spans="1:18" ht="15.6" x14ac:dyDescent="0.3">
      <c r="A176" s="24"/>
      <c r="B176" s="25" t="s">
        <v>76</v>
      </c>
      <c r="C176" s="25"/>
      <c r="D176" s="25"/>
      <c r="E176" s="25"/>
      <c r="F176" s="25"/>
      <c r="G176" s="25"/>
      <c r="H176" s="25"/>
      <c r="I176" s="25"/>
      <c r="J176" s="25"/>
      <c r="K176" s="25"/>
      <c r="L176" s="25"/>
      <c r="M176" s="25"/>
      <c r="N176" s="25"/>
      <c r="O176" s="25"/>
      <c r="P176" s="66">
        <v>2.64</v>
      </c>
      <c r="Q176" s="25" t="s">
        <v>130</v>
      </c>
      <c r="R176" s="5"/>
    </row>
    <row r="177" spans="1:18" ht="15.6" x14ac:dyDescent="0.3">
      <c r="A177" s="24"/>
      <c r="B177" s="25"/>
      <c r="C177" s="25"/>
      <c r="D177" s="25"/>
      <c r="E177" s="25"/>
      <c r="F177" s="25"/>
      <c r="G177" s="25"/>
      <c r="H177" s="25"/>
      <c r="I177" s="25"/>
      <c r="J177" s="25"/>
      <c r="K177" s="25"/>
      <c r="L177" s="25"/>
      <c r="M177" s="25"/>
      <c r="N177" s="25"/>
      <c r="O177" s="25"/>
      <c r="P177" s="25"/>
      <c r="Q177" s="25"/>
      <c r="R177" s="5"/>
    </row>
    <row r="178" spans="1:18" ht="15.6" x14ac:dyDescent="0.3">
      <c r="A178" s="24"/>
      <c r="B178" s="25"/>
      <c r="C178" s="25"/>
      <c r="D178" s="25"/>
      <c r="E178" s="25"/>
      <c r="F178" s="25"/>
      <c r="G178" s="25"/>
      <c r="H178" s="25"/>
      <c r="I178" s="25"/>
      <c r="J178" s="25"/>
      <c r="K178" s="25"/>
      <c r="L178" s="25"/>
      <c r="M178" s="25"/>
      <c r="N178" s="25"/>
      <c r="O178" s="25"/>
      <c r="P178" s="25"/>
      <c r="Q178" s="25"/>
      <c r="R178" s="5"/>
    </row>
    <row r="179" spans="1:18" ht="15.6" x14ac:dyDescent="0.3">
      <c r="A179" s="6"/>
      <c r="B179" s="8"/>
      <c r="C179" s="8"/>
      <c r="D179" s="8"/>
      <c r="E179" s="8"/>
      <c r="F179" s="8"/>
      <c r="G179" s="8"/>
      <c r="H179" s="8"/>
      <c r="I179" s="8"/>
      <c r="J179" s="8"/>
      <c r="K179" s="8"/>
      <c r="L179" s="8"/>
      <c r="M179" s="8"/>
      <c r="N179" s="8"/>
      <c r="O179" s="8"/>
      <c r="P179" s="8"/>
      <c r="Q179" s="8"/>
      <c r="R179" s="5"/>
    </row>
    <row r="180" spans="1:18" ht="18" thickBot="1" x14ac:dyDescent="0.35">
      <c r="A180" s="101"/>
      <c r="B180" s="102" t="str">
        <f>B130</f>
        <v>PM7 INVESTOR REPORT QUARTER ENDING APRIL 2006</v>
      </c>
      <c r="C180" s="143"/>
      <c r="D180" s="143"/>
      <c r="E180" s="143"/>
      <c r="F180" s="143"/>
      <c r="G180" s="143"/>
      <c r="H180" s="143"/>
      <c r="I180" s="143"/>
      <c r="J180" s="143"/>
      <c r="K180" s="143"/>
      <c r="L180" s="143"/>
      <c r="M180" s="143"/>
      <c r="N180" s="143"/>
      <c r="O180" s="143"/>
      <c r="P180" s="143"/>
      <c r="Q180" s="144"/>
      <c r="R180" s="5"/>
    </row>
    <row r="181" spans="1:18" ht="15.6" x14ac:dyDescent="0.3">
      <c r="A181" s="67"/>
      <c r="B181" s="60" t="s">
        <v>77</v>
      </c>
      <c r="C181" s="68"/>
      <c r="D181" s="68"/>
      <c r="E181" s="69"/>
      <c r="F181" s="69"/>
      <c r="G181" s="69"/>
      <c r="H181" s="69"/>
      <c r="I181" s="69"/>
      <c r="J181" s="69"/>
      <c r="K181" s="69"/>
      <c r="L181" s="69"/>
      <c r="M181" s="69"/>
      <c r="N181" s="70">
        <f>H89</f>
        <v>38837</v>
      </c>
      <c r="O181" s="4"/>
      <c r="P181" s="4"/>
      <c r="Q181" s="4"/>
      <c r="R181" s="5"/>
    </row>
    <row r="182" spans="1:18" ht="15.6" x14ac:dyDescent="0.3">
      <c r="A182" s="71"/>
      <c r="B182" s="72"/>
      <c r="C182" s="73"/>
      <c r="D182" s="73"/>
      <c r="E182" s="74"/>
      <c r="F182" s="74"/>
      <c r="G182" s="74"/>
      <c r="H182" s="74"/>
      <c r="I182" s="74"/>
      <c r="J182" s="74"/>
      <c r="K182" s="74"/>
      <c r="L182" s="74"/>
      <c r="M182" s="74"/>
      <c r="N182" s="74"/>
      <c r="O182" s="8"/>
      <c r="P182" s="8"/>
      <c r="Q182" s="8"/>
      <c r="R182" s="5"/>
    </row>
    <row r="183" spans="1:18" ht="15.6" x14ac:dyDescent="0.3">
      <c r="A183" s="75"/>
      <c r="B183" s="76" t="s">
        <v>78</v>
      </c>
      <c r="C183" s="77"/>
      <c r="D183" s="77"/>
      <c r="E183" s="64"/>
      <c r="F183" s="64"/>
      <c r="G183" s="64"/>
      <c r="H183" s="64"/>
      <c r="I183" s="64"/>
      <c r="J183" s="64"/>
      <c r="K183" s="64"/>
      <c r="L183" s="64"/>
      <c r="M183" s="64"/>
      <c r="N183" s="78">
        <v>5.8069999999999997E-2</v>
      </c>
      <c r="O183" s="25"/>
      <c r="P183" s="25"/>
      <c r="Q183" s="25"/>
      <c r="R183" s="5"/>
    </row>
    <row r="184" spans="1:18" ht="15.6" x14ac:dyDescent="0.3">
      <c r="A184" s="75"/>
      <c r="B184" s="76" t="s">
        <v>219</v>
      </c>
      <c r="C184" s="77"/>
      <c r="D184" s="77"/>
      <c r="E184" s="64"/>
      <c r="F184" s="64"/>
      <c r="G184" s="64"/>
      <c r="H184" s="64"/>
      <c r="I184" s="64"/>
      <c r="J184" s="64"/>
      <c r="K184" s="64"/>
      <c r="L184" s="64"/>
      <c r="M184" s="64"/>
      <c r="N184" s="39">
        <v>5.1499999999999997E-2</v>
      </c>
      <c r="O184" s="25"/>
      <c r="P184" s="25"/>
      <c r="Q184" s="25"/>
      <c r="R184" s="5"/>
    </row>
    <row r="185" spans="1:18" ht="15.6" x14ac:dyDescent="0.3">
      <c r="A185" s="75"/>
      <c r="B185" s="76" t="s">
        <v>79</v>
      </c>
      <c r="C185" s="77"/>
      <c r="D185" s="77"/>
      <c r="E185" s="64"/>
      <c r="F185" s="64"/>
      <c r="G185" s="64"/>
      <c r="H185" s="64"/>
      <c r="I185" s="64"/>
      <c r="J185" s="64"/>
      <c r="K185" s="64"/>
      <c r="L185" s="64"/>
      <c r="M185" s="64"/>
      <c r="N185" s="78">
        <f>N183-N184</f>
        <v>6.5699999999999995E-3</v>
      </c>
      <c r="O185" s="25"/>
      <c r="P185" s="25"/>
      <c r="Q185" s="25"/>
      <c r="R185" s="5"/>
    </row>
    <row r="186" spans="1:18" ht="15.6" x14ac:dyDescent="0.3">
      <c r="A186" s="75"/>
      <c r="B186" s="76" t="s">
        <v>80</v>
      </c>
      <c r="C186" s="77"/>
      <c r="D186" s="77"/>
      <c r="E186" s="64"/>
      <c r="F186" s="64"/>
      <c r="G186" s="64"/>
      <c r="H186" s="64"/>
      <c r="I186" s="64"/>
      <c r="J186" s="64"/>
      <c r="K186" s="64"/>
      <c r="L186" s="64"/>
      <c r="M186" s="64"/>
      <c r="N186" s="78">
        <v>6.08E-2</v>
      </c>
      <c r="O186" s="25"/>
      <c r="P186" s="25"/>
      <c r="Q186" s="25"/>
      <c r="R186" s="5"/>
    </row>
    <row r="187" spans="1:18" ht="15.6" x14ac:dyDescent="0.3">
      <c r="A187" s="75"/>
      <c r="B187" s="76" t="s">
        <v>241</v>
      </c>
      <c r="C187" s="77"/>
      <c r="D187" s="77"/>
      <c r="E187" s="64"/>
      <c r="F187" s="64"/>
      <c r="G187" s="64"/>
      <c r="H187" s="64"/>
      <c r="I187" s="64"/>
      <c r="J187" s="64"/>
      <c r="K187" s="64"/>
      <c r="L187" s="64"/>
      <c r="M187" s="64"/>
      <c r="N187" s="78">
        <f>+P45</f>
        <v>4.9270819848247584E-2</v>
      </c>
      <c r="O187" s="25"/>
      <c r="P187" s="25"/>
      <c r="Q187" s="25"/>
      <c r="R187" s="5"/>
    </row>
    <row r="188" spans="1:18" ht="15.6" x14ac:dyDescent="0.3">
      <c r="A188" s="75"/>
      <c r="B188" s="76" t="s">
        <v>81</v>
      </c>
      <c r="C188" s="77"/>
      <c r="D188" s="77"/>
      <c r="E188" s="64"/>
      <c r="F188" s="64"/>
      <c r="G188" s="64"/>
      <c r="H188" s="64"/>
      <c r="I188" s="64"/>
      <c r="J188" s="64"/>
      <c r="K188" s="64"/>
      <c r="L188" s="64"/>
      <c r="M188" s="64"/>
      <c r="N188" s="78">
        <f>N186-N187</f>
        <v>1.1529180151752416E-2</v>
      </c>
      <c r="O188" s="25"/>
      <c r="P188" s="25"/>
      <c r="Q188" s="25"/>
      <c r="R188" s="5"/>
    </row>
    <row r="189" spans="1:18" ht="15.6" x14ac:dyDescent="0.3">
      <c r="A189" s="75"/>
      <c r="B189" s="76" t="s">
        <v>257</v>
      </c>
      <c r="C189" s="77"/>
      <c r="D189" s="77"/>
      <c r="E189" s="64"/>
      <c r="F189" s="64"/>
      <c r="G189" s="64"/>
      <c r="H189" s="64"/>
      <c r="I189" s="64"/>
      <c r="J189" s="64"/>
      <c r="K189" s="64"/>
      <c r="L189" s="64"/>
      <c r="M189" s="64"/>
      <c r="N189" s="78">
        <f>+P100/H73</f>
        <v>1.6085394179718205E-2</v>
      </c>
      <c r="O189" s="25"/>
      <c r="P189" s="25"/>
      <c r="Q189" s="25"/>
      <c r="R189" s="5"/>
    </row>
    <row r="190" spans="1:18" ht="15.6" x14ac:dyDescent="0.3">
      <c r="A190" s="75"/>
      <c r="B190" s="76" t="s">
        <v>170</v>
      </c>
      <c r="C190" s="77"/>
      <c r="D190" s="77"/>
      <c r="E190" s="64"/>
      <c r="F190" s="64"/>
      <c r="G190" s="64"/>
      <c r="H190" s="64"/>
      <c r="I190" s="64"/>
      <c r="J190" s="64"/>
      <c r="K190" s="64"/>
      <c r="L190" s="64"/>
      <c r="M190" s="64"/>
      <c r="N190" s="133">
        <v>49065</v>
      </c>
      <c r="O190" s="25"/>
      <c r="P190" s="25"/>
      <c r="Q190" s="25"/>
      <c r="R190" s="5"/>
    </row>
    <row r="191" spans="1:18" ht="15.6" x14ac:dyDescent="0.3">
      <c r="A191" s="75"/>
      <c r="B191" s="76" t="s">
        <v>171</v>
      </c>
      <c r="C191" s="77"/>
      <c r="D191" s="77"/>
      <c r="E191" s="64"/>
      <c r="F191" s="64"/>
      <c r="G191" s="64"/>
      <c r="H191" s="64"/>
      <c r="I191" s="64"/>
      <c r="J191" s="64"/>
      <c r="K191" s="64"/>
      <c r="L191" s="64"/>
      <c r="M191" s="64"/>
      <c r="N191" s="133">
        <v>49065</v>
      </c>
      <c r="O191" s="25"/>
      <c r="P191" s="25"/>
      <c r="Q191" s="25"/>
      <c r="R191" s="5"/>
    </row>
    <row r="192" spans="1:18" ht="15.6" x14ac:dyDescent="0.3">
      <c r="A192" s="75"/>
      <c r="B192" s="76" t="s">
        <v>172</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138</v>
      </c>
      <c r="C193" s="77"/>
      <c r="D193" s="77"/>
      <c r="E193" s="64"/>
      <c r="F193" s="64"/>
      <c r="G193" s="64"/>
      <c r="H193" s="64"/>
      <c r="I193" s="64"/>
      <c r="J193" s="64"/>
      <c r="K193" s="64"/>
      <c r="L193" s="64"/>
      <c r="M193" s="64"/>
      <c r="N193" s="133">
        <v>52352</v>
      </c>
      <c r="O193" s="25"/>
      <c r="P193" s="25"/>
      <c r="Q193" s="25"/>
      <c r="R193" s="5"/>
    </row>
    <row r="194" spans="1:18" ht="15.6" x14ac:dyDescent="0.3">
      <c r="A194" s="75"/>
      <c r="B194" s="76" t="s">
        <v>139</v>
      </c>
      <c r="C194" s="77"/>
      <c r="D194" s="77"/>
      <c r="E194" s="64"/>
      <c r="F194" s="64"/>
      <c r="G194" s="64"/>
      <c r="H194" s="64"/>
      <c r="I194" s="64"/>
      <c r="J194" s="64"/>
      <c r="K194" s="64"/>
      <c r="L194" s="64"/>
      <c r="M194" s="64"/>
      <c r="N194" s="133">
        <v>52352</v>
      </c>
      <c r="O194" s="25"/>
      <c r="P194" s="25"/>
      <c r="Q194" s="25"/>
      <c r="R194" s="5"/>
    </row>
    <row r="195" spans="1:18" ht="15.6" x14ac:dyDescent="0.3">
      <c r="A195" s="75"/>
      <c r="B195" s="76" t="s">
        <v>82</v>
      </c>
      <c r="C195" s="77"/>
      <c r="D195" s="77"/>
      <c r="E195" s="64"/>
      <c r="F195" s="64"/>
      <c r="G195" s="64"/>
      <c r="H195" s="64"/>
      <c r="I195" s="64"/>
      <c r="J195" s="64"/>
      <c r="K195" s="64"/>
      <c r="L195" s="64"/>
      <c r="M195" s="64"/>
      <c r="N195" s="137">
        <v>20.45</v>
      </c>
      <c r="O195" s="25" t="s">
        <v>125</v>
      </c>
      <c r="P195" s="25"/>
      <c r="Q195" s="25"/>
      <c r="R195" s="5"/>
    </row>
    <row r="196" spans="1:18" ht="15.6" x14ac:dyDescent="0.3">
      <c r="A196" s="75"/>
      <c r="B196" s="76" t="s">
        <v>83</v>
      </c>
      <c r="C196" s="77"/>
      <c r="D196" s="77"/>
      <c r="E196" s="64"/>
      <c r="F196" s="64"/>
      <c r="G196" s="64"/>
      <c r="H196" s="64"/>
      <c r="I196" s="64"/>
      <c r="J196" s="64"/>
      <c r="K196" s="64"/>
      <c r="L196" s="64"/>
      <c r="M196" s="64"/>
      <c r="N196" s="137">
        <v>19.579999999999998</v>
      </c>
      <c r="O196" s="25" t="s">
        <v>125</v>
      </c>
      <c r="P196" s="25"/>
      <c r="Q196" s="25"/>
      <c r="R196" s="5"/>
    </row>
    <row r="197" spans="1:18" ht="15.6" x14ac:dyDescent="0.3">
      <c r="A197" s="75"/>
      <c r="B197" s="76" t="s">
        <v>84</v>
      </c>
      <c r="C197" s="77"/>
      <c r="D197" s="77"/>
      <c r="E197" s="64"/>
      <c r="F197" s="64"/>
      <c r="G197" s="64"/>
      <c r="H197" s="64"/>
      <c r="I197" s="64"/>
      <c r="J197" s="64"/>
      <c r="K197" s="64"/>
      <c r="L197" s="64"/>
      <c r="M197" s="64"/>
      <c r="N197" s="78">
        <v>3.5499999999999997E-2</v>
      </c>
      <c r="O197" s="25"/>
      <c r="P197" s="25"/>
      <c r="Q197" s="25"/>
      <c r="R197" s="5"/>
    </row>
    <row r="198" spans="1:18" ht="15.6" x14ac:dyDescent="0.3">
      <c r="A198" s="75"/>
      <c r="B198" s="76" t="s">
        <v>85</v>
      </c>
      <c r="C198" s="77"/>
      <c r="D198" s="77"/>
      <c r="E198" s="64"/>
      <c r="F198" s="64"/>
      <c r="G198" s="64"/>
      <c r="H198" s="64"/>
      <c r="I198" s="64"/>
      <c r="J198" s="64"/>
      <c r="K198" s="64"/>
      <c r="L198" s="64"/>
      <c r="M198" s="64"/>
      <c r="N198" s="78">
        <v>0.1507</v>
      </c>
      <c r="O198" s="25"/>
      <c r="P198" s="25"/>
      <c r="Q198" s="25"/>
      <c r="R198" s="5"/>
    </row>
    <row r="199" spans="1:18" ht="15.6" x14ac:dyDescent="0.3">
      <c r="A199" s="75"/>
      <c r="B199" s="76"/>
      <c r="C199" s="76"/>
      <c r="D199" s="76"/>
      <c r="E199" s="25"/>
      <c r="F199" s="25"/>
      <c r="G199" s="25"/>
      <c r="H199" s="25"/>
      <c r="I199" s="25"/>
      <c r="J199" s="25"/>
      <c r="K199" s="25"/>
      <c r="L199" s="25"/>
      <c r="M199" s="25"/>
      <c r="N199" s="61"/>
      <c r="O199" s="25"/>
      <c r="P199" s="79"/>
      <c r="Q199" s="25"/>
      <c r="R199" s="5"/>
    </row>
    <row r="200" spans="1:18" ht="15.6" x14ac:dyDescent="0.3">
      <c r="A200" s="80"/>
      <c r="B200" s="14" t="s">
        <v>86</v>
      </c>
      <c r="C200" s="81"/>
      <c r="D200" s="82"/>
      <c r="E200" s="81"/>
      <c r="F200" s="17"/>
      <c r="G200" s="17"/>
      <c r="H200" s="17"/>
      <c r="I200" s="17"/>
      <c r="J200" s="17"/>
      <c r="K200" s="17"/>
      <c r="L200" s="17"/>
      <c r="M200" s="17" t="s">
        <v>113</v>
      </c>
      <c r="N200" s="83" t="s">
        <v>121</v>
      </c>
      <c r="O200" s="8"/>
      <c r="P200" s="8"/>
      <c r="Q200" s="8"/>
      <c r="R200" s="5"/>
    </row>
    <row r="201" spans="1:18" ht="15.6" x14ac:dyDescent="0.3">
      <c r="A201" s="84"/>
      <c r="B201" s="76" t="s">
        <v>87</v>
      </c>
      <c r="C201" s="54"/>
      <c r="D201" s="25"/>
      <c r="E201" s="25"/>
      <c r="F201" s="30"/>
      <c r="G201" s="30"/>
      <c r="H201" s="30"/>
      <c r="I201" s="30"/>
      <c r="J201" s="30"/>
      <c r="K201" s="30"/>
      <c r="L201" s="30"/>
      <c r="M201" s="30">
        <v>14</v>
      </c>
      <c r="N201" s="85">
        <v>847</v>
      </c>
      <c r="O201" s="25"/>
      <c r="P201" s="79"/>
      <c r="Q201" s="86"/>
      <c r="R201" s="5"/>
    </row>
    <row r="202" spans="1:18" ht="15.6" x14ac:dyDescent="0.3">
      <c r="A202" s="84"/>
      <c r="B202" s="76" t="s">
        <v>203</v>
      </c>
      <c r="C202" s="54"/>
      <c r="D202" s="25"/>
      <c r="E202" s="25"/>
      <c r="F202" s="30"/>
      <c r="G202" s="30"/>
      <c r="H202" s="30"/>
      <c r="I202" s="30"/>
      <c r="J202" s="30"/>
      <c r="K202" s="30"/>
      <c r="L202" s="30"/>
      <c r="M202" s="151">
        <f>+L239</f>
        <v>52</v>
      </c>
      <c r="N202" s="85">
        <f>+N239</f>
        <v>6494</v>
      </c>
      <c r="O202" s="25"/>
      <c r="P202" s="79"/>
      <c r="Q202" s="86"/>
      <c r="R202" s="5"/>
    </row>
    <row r="203" spans="1:18" ht="15.6" x14ac:dyDescent="0.3">
      <c r="A203" s="84"/>
      <c r="B203" s="76" t="s">
        <v>88</v>
      </c>
      <c r="C203" s="54"/>
      <c r="D203" s="25"/>
      <c r="E203" s="25"/>
      <c r="F203" s="30"/>
      <c r="G203" s="30"/>
      <c r="H203" s="30"/>
      <c r="I203" s="30"/>
      <c r="J203" s="30"/>
      <c r="K203" s="30"/>
      <c r="L203" s="30"/>
      <c r="M203" s="151">
        <f>+L250</f>
        <v>0</v>
      </c>
      <c r="N203" s="85">
        <f>+N250</f>
        <v>0</v>
      </c>
      <c r="O203" s="25"/>
      <c r="P203" s="79"/>
      <c r="Q203" s="86"/>
      <c r="R203" s="5"/>
    </row>
    <row r="204" spans="1:18" ht="15.6" x14ac:dyDescent="0.3">
      <c r="A204" s="84"/>
      <c r="B204" s="122" t="s">
        <v>89</v>
      </c>
      <c r="C204" s="54"/>
      <c r="D204" s="25"/>
      <c r="E204" s="25"/>
      <c r="F204" s="25"/>
      <c r="G204" s="25"/>
      <c r="H204" s="25"/>
      <c r="I204" s="25"/>
      <c r="J204" s="25"/>
      <c r="K204" s="25"/>
      <c r="L204" s="25"/>
      <c r="M204" s="25"/>
      <c r="N204" s="85">
        <v>0</v>
      </c>
      <c r="O204" s="25"/>
      <c r="P204" s="79"/>
      <c r="Q204" s="86"/>
      <c r="R204" s="5"/>
    </row>
    <row r="205" spans="1:18" ht="15.6" x14ac:dyDescent="0.3">
      <c r="A205" s="84"/>
      <c r="B205" s="122" t="s">
        <v>90</v>
      </c>
      <c r="C205" s="54"/>
      <c r="D205" s="25"/>
      <c r="E205" s="25"/>
      <c r="F205" s="25"/>
      <c r="G205" s="25"/>
      <c r="H205" s="25"/>
      <c r="I205" s="25"/>
      <c r="J205" s="25"/>
      <c r="K205" s="25"/>
      <c r="L205" s="25"/>
      <c r="M205" s="25"/>
      <c r="N205" s="62" t="s">
        <v>122</v>
      </c>
      <c r="O205" s="25"/>
      <c r="P205" s="79"/>
      <c r="Q205" s="86"/>
      <c r="R205" s="5"/>
    </row>
    <row r="206" spans="1:18" ht="15.6" x14ac:dyDescent="0.3">
      <c r="A206" s="87"/>
      <c r="B206" s="122" t="s">
        <v>91</v>
      </c>
      <c r="C206" s="76"/>
      <c r="D206" s="76"/>
      <c r="E206" s="25"/>
      <c r="F206" s="25"/>
      <c r="G206" s="25"/>
      <c r="H206" s="25"/>
      <c r="I206" s="25"/>
      <c r="J206" s="167"/>
      <c r="K206" s="25"/>
      <c r="L206" s="25"/>
      <c r="M206" s="25"/>
      <c r="N206" s="85"/>
      <c r="O206" s="25"/>
      <c r="P206" s="79"/>
      <c r="Q206" s="88"/>
      <c r="R206" s="5"/>
    </row>
    <row r="207" spans="1:18" ht="15.6" x14ac:dyDescent="0.3">
      <c r="A207" s="87"/>
      <c r="B207" s="135" t="s">
        <v>92</v>
      </c>
      <c r="C207" s="76"/>
      <c r="D207" s="76"/>
      <c r="E207" s="25"/>
      <c r="F207" s="25"/>
      <c r="G207" s="25"/>
      <c r="H207" s="25"/>
      <c r="I207" s="25"/>
      <c r="J207" s="25"/>
      <c r="K207" s="25"/>
      <c r="L207" s="25"/>
      <c r="M207" s="25">
        <v>0</v>
      </c>
      <c r="N207" s="85">
        <f>P152</f>
        <v>0</v>
      </c>
      <c r="O207" s="25"/>
      <c r="P207" s="79"/>
      <c r="Q207" s="88"/>
      <c r="R207" s="5"/>
    </row>
    <row r="208" spans="1:18" ht="15.6" x14ac:dyDescent="0.3">
      <c r="A208" s="84"/>
      <c r="B208" s="76" t="s">
        <v>93</v>
      </c>
      <c r="C208" s="54"/>
      <c r="D208" s="54"/>
      <c r="E208" s="25"/>
      <c r="F208" s="25"/>
      <c r="G208" s="25"/>
      <c r="H208" s="25"/>
      <c r="I208" s="25"/>
      <c r="J208" s="25"/>
      <c r="K208" s="25"/>
      <c r="L208" s="25"/>
      <c r="M208" s="25">
        <v>0</v>
      </c>
      <c r="N208" s="85">
        <f>'Jan 06'!N208+'April 06'!N207</f>
        <v>0</v>
      </c>
      <c r="O208" s="25"/>
      <c r="P208" s="79"/>
      <c r="Q208" s="88"/>
      <c r="R208" s="5"/>
    </row>
    <row r="209" spans="1:18" ht="15.6" x14ac:dyDescent="0.3">
      <c r="A209" s="87"/>
      <c r="B209" s="122" t="s">
        <v>278</v>
      </c>
      <c r="C209" s="76"/>
      <c r="D209" s="76"/>
      <c r="E209" s="25"/>
      <c r="F209" s="25"/>
      <c r="G209" s="25"/>
      <c r="H209" s="25"/>
      <c r="I209" s="25"/>
      <c r="J209" s="25"/>
      <c r="K209" s="25"/>
      <c r="L209" s="25"/>
      <c r="M209" s="25"/>
      <c r="N209" s="85"/>
      <c r="O209" s="25"/>
      <c r="P209" s="79"/>
      <c r="Q209" s="88"/>
      <c r="R209" s="5"/>
    </row>
    <row r="210" spans="1:18" ht="15.6" x14ac:dyDescent="0.3">
      <c r="A210" s="87"/>
      <c r="B210" s="76" t="s">
        <v>276</v>
      </c>
      <c r="C210" s="76"/>
      <c r="D210" s="76"/>
      <c r="E210" s="25"/>
      <c r="F210" s="25"/>
      <c r="G210" s="25"/>
      <c r="H210" s="25"/>
      <c r="I210" s="25"/>
      <c r="J210" s="25"/>
      <c r="K210" s="25"/>
      <c r="L210" s="25"/>
      <c r="M210" s="30">
        <v>0</v>
      </c>
      <c r="N210" s="85">
        <v>0</v>
      </c>
      <c r="O210" s="25"/>
      <c r="P210" s="79"/>
      <c r="Q210" s="88"/>
      <c r="R210" s="5"/>
    </row>
    <row r="211" spans="1:18" ht="15.6" x14ac:dyDescent="0.3">
      <c r="A211" s="84"/>
      <c r="B211" s="76" t="s">
        <v>95</v>
      </c>
      <c r="C211" s="89"/>
      <c r="D211" s="90"/>
      <c r="E211" s="25"/>
      <c r="F211" s="25"/>
      <c r="G211" s="25"/>
      <c r="H211" s="25"/>
      <c r="I211" s="25"/>
      <c r="J211" s="25"/>
      <c r="K211" s="25"/>
      <c r="L211" s="25"/>
      <c r="M211" s="25"/>
      <c r="N211" s="62">
        <v>0</v>
      </c>
      <c r="O211" s="25"/>
      <c r="P211" s="79"/>
      <c r="Q211" s="88"/>
      <c r="R211" s="5"/>
    </row>
    <row r="212" spans="1:18" ht="15.6" x14ac:dyDescent="0.3">
      <c r="A212" s="84"/>
      <c r="B212" s="76" t="s">
        <v>96</v>
      </c>
      <c r="C212" s="89"/>
      <c r="D212" s="90"/>
      <c r="E212" s="25"/>
      <c r="F212" s="25"/>
      <c r="G212" s="25"/>
      <c r="H212" s="25"/>
      <c r="I212" s="25"/>
      <c r="J212" s="25"/>
      <c r="K212" s="25"/>
      <c r="L212" s="25"/>
      <c r="M212" s="25"/>
      <c r="N212" s="62">
        <v>0</v>
      </c>
      <c r="O212" s="25"/>
      <c r="P212" s="79"/>
      <c r="Q212" s="88"/>
      <c r="R212" s="5"/>
    </row>
    <row r="213" spans="1:18" ht="15.6" x14ac:dyDescent="0.3">
      <c r="A213" s="84"/>
      <c r="B213" s="122" t="s">
        <v>251</v>
      </c>
      <c r="C213" s="89"/>
      <c r="D213" s="90"/>
      <c r="E213" s="25"/>
      <c r="F213" s="25"/>
      <c r="G213" s="25"/>
      <c r="H213" s="25"/>
      <c r="I213" s="25"/>
      <c r="J213" s="25"/>
      <c r="K213" s="25"/>
      <c r="L213" s="25"/>
      <c r="M213" s="25"/>
      <c r="N213" s="91"/>
      <c r="O213" s="25"/>
      <c r="P213" s="79"/>
      <c r="Q213" s="88"/>
      <c r="R213" s="5"/>
    </row>
    <row r="214" spans="1:18" ht="15.6" x14ac:dyDescent="0.3">
      <c r="A214" s="84"/>
      <c r="B214" s="76" t="s">
        <v>276</v>
      </c>
      <c r="C214" s="89"/>
      <c r="D214" s="90"/>
      <c r="E214" s="25"/>
      <c r="F214" s="25"/>
      <c r="G214" s="25"/>
      <c r="H214" s="25"/>
      <c r="I214" s="25"/>
      <c r="J214" s="25"/>
      <c r="K214" s="25"/>
      <c r="L214" s="25"/>
      <c r="M214" s="30">
        <v>13</v>
      </c>
      <c r="N214" s="85">
        <v>1176</v>
      </c>
      <c r="O214" s="25"/>
      <c r="P214" s="79"/>
      <c r="Q214" s="88"/>
      <c r="R214" s="5"/>
    </row>
    <row r="215" spans="1:18" ht="15.6" x14ac:dyDescent="0.3">
      <c r="A215" s="84"/>
      <c r="B215" s="76" t="s">
        <v>252</v>
      </c>
      <c r="C215" s="89"/>
      <c r="D215" s="90"/>
      <c r="E215" s="25"/>
      <c r="F215" s="25"/>
      <c r="G215" s="25"/>
      <c r="H215" s="25"/>
      <c r="I215" s="25"/>
      <c r="J215" s="25"/>
      <c r="K215" s="25"/>
      <c r="L215" s="25"/>
      <c r="M215" s="25"/>
      <c r="N215" s="62">
        <v>7.14</v>
      </c>
      <c r="O215" s="25"/>
      <c r="P215" s="79"/>
      <c r="Q215" s="88"/>
      <c r="R215" s="5"/>
    </row>
    <row r="216" spans="1:18" ht="15.6" x14ac:dyDescent="0.3">
      <c r="A216" s="84"/>
      <c r="B216" s="76"/>
      <c r="C216" s="89"/>
      <c r="D216" s="90"/>
      <c r="E216" s="25"/>
      <c r="F216" s="25"/>
      <c r="G216" s="25"/>
      <c r="H216" s="25"/>
      <c r="I216" s="25"/>
      <c r="J216" s="25"/>
      <c r="K216" s="25"/>
      <c r="L216" s="25"/>
      <c r="M216" s="25"/>
      <c r="N216" s="91"/>
      <c r="O216" s="25"/>
      <c r="P216" s="79"/>
      <c r="Q216" s="88"/>
      <c r="R216" s="5"/>
    </row>
    <row r="217" spans="1:18" ht="17.399999999999999" x14ac:dyDescent="0.3">
      <c r="A217" s="84"/>
      <c r="B217" s="160" t="s">
        <v>244</v>
      </c>
      <c r="C217" s="161"/>
      <c r="D217" s="162"/>
      <c r="E217" s="163"/>
      <c r="F217" s="163"/>
      <c r="G217" s="163"/>
      <c r="H217" s="163"/>
      <c r="I217" s="166"/>
      <c r="J217" s="169" t="s">
        <v>243</v>
      </c>
      <c r="K217" s="163"/>
      <c r="L217" s="163"/>
      <c r="M217" s="25"/>
      <c r="N217" s="91"/>
      <c r="O217" s="25"/>
      <c r="P217" s="79"/>
      <c r="Q217" s="88"/>
      <c r="R217" s="5"/>
    </row>
    <row r="218" spans="1:18" ht="15.6" x14ac:dyDescent="0.3">
      <c r="A218" s="84"/>
      <c r="B218" s="156"/>
      <c r="C218" s="157"/>
      <c r="D218" s="158"/>
      <c r="E218" s="146"/>
      <c r="F218" s="146"/>
      <c r="G218" s="146"/>
      <c r="H218" s="146"/>
      <c r="I218" s="146"/>
      <c r="J218" s="146"/>
      <c r="K218" s="146"/>
      <c r="L218" s="146"/>
      <c r="M218" s="25"/>
      <c r="N218" s="91"/>
      <c r="O218" s="25"/>
      <c r="P218" s="79"/>
      <c r="Q218" s="88"/>
      <c r="R218" s="5"/>
    </row>
    <row r="219" spans="1:18" ht="15.6" x14ac:dyDescent="0.3">
      <c r="A219" s="6"/>
      <c r="B219" s="14" t="s">
        <v>236</v>
      </c>
      <c r="C219" s="81"/>
      <c r="D219" s="82"/>
      <c r="E219" s="81"/>
      <c r="F219" s="17"/>
      <c r="G219" s="17"/>
      <c r="H219" s="17"/>
      <c r="I219" s="17"/>
      <c r="J219" s="17"/>
      <c r="K219" s="17"/>
      <c r="L219" s="83" t="s">
        <v>113</v>
      </c>
      <c r="M219" s="17" t="s">
        <v>114</v>
      </c>
      <c r="N219" s="83" t="s">
        <v>123</v>
      </c>
      <c r="O219" s="17" t="s">
        <v>114</v>
      </c>
      <c r="P219" s="8"/>
      <c r="Q219" s="92"/>
      <c r="R219" s="5"/>
    </row>
    <row r="220" spans="1:18" ht="15.6" x14ac:dyDescent="0.3">
      <c r="A220" s="24"/>
      <c r="B220" s="54" t="s">
        <v>98</v>
      </c>
      <c r="C220" s="93"/>
      <c r="D220" s="25"/>
      <c r="E220" s="93"/>
      <c r="F220" s="93"/>
      <c r="G220" s="93"/>
      <c r="H220" s="93"/>
      <c r="I220" s="93"/>
      <c r="J220" s="93"/>
      <c r="K220" s="93"/>
      <c r="L220" s="54">
        <v>7321</v>
      </c>
      <c r="M220" s="94">
        <f t="shared" ref="M220:M227" si="1">L220/$L$228</f>
        <v>0.98878984332793085</v>
      </c>
      <c r="N220" s="53">
        <v>701592</v>
      </c>
      <c r="O220" s="136">
        <f t="shared" ref="O220:O227" si="2">N220/$N$228</f>
        <v>0.98886109133961475</v>
      </c>
      <c r="P220" s="79"/>
      <c r="Q220" s="88"/>
      <c r="R220" s="5"/>
    </row>
    <row r="221" spans="1:18" ht="15.6" x14ac:dyDescent="0.3">
      <c r="A221" s="24"/>
      <c r="B221" s="54" t="s">
        <v>99</v>
      </c>
      <c r="C221" s="93"/>
      <c r="D221" s="25"/>
      <c r="E221" s="94"/>
      <c r="F221" s="93"/>
      <c r="G221" s="93"/>
      <c r="H221" s="93"/>
      <c r="I221" s="93"/>
      <c r="J221" s="93"/>
      <c r="K221" s="93"/>
      <c r="L221" s="54">
        <v>33</v>
      </c>
      <c r="M221" s="94">
        <f t="shared" si="1"/>
        <v>4.4570502431118316E-3</v>
      </c>
      <c r="N221" s="53">
        <v>2736</v>
      </c>
      <c r="O221" s="136">
        <f t="shared" si="2"/>
        <v>3.8562639623957885E-3</v>
      </c>
      <c r="P221" s="79"/>
      <c r="Q221" s="88"/>
      <c r="R221" s="5"/>
    </row>
    <row r="222" spans="1:18" ht="15.6" x14ac:dyDescent="0.3">
      <c r="A222" s="24"/>
      <c r="B222" s="54" t="s">
        <v>100</v>
      </c>
      <c r="C222" s="93"/>
      <c r="D222" s="25"/>
      <c r="E222" s="94"/>
      <c r="F222" s="93"/>
      <c r="G222" s="93"/>
      <c r="H222" s="93"/>
      <c r="I222" s="93"/>
      <c r="J222" s="93"/>
      <c r="K222" s="93"/>
      <c r="L222" s="54">
        <v>26</v>
      </c>
      <c r="M222" s="94">
        <f t="shared" si="1"/>
        <v>3.5116153430578066E-3</v>
      </c>
      <c r="N222" s="53">
        <v>2305</v>
      </c>
      <c r="O222" s="136">
        <f t="shared" si="2"/>
        <v>3.2487896320622413E-3</v>
      </c>
      <c r="P222" s="79"/>
      <c r="Q222" s="88"/>
      <c r="R222" s="5"/>
    </row>
    <row r="223" spans="1:18" ht="15.6" x14ac:dyDescent="0.3">
      <c r="A223" s="24"/>
      <c r="B223" s="54" t="s">
        <v>227</v>
      </c>
      <c r="C223" s="93"/>
      <c r="D223" s="25"/>
      <c r="E223" s="94"/>
      <c r="F223" s="93"/>
      <c r="G223" s="93"/>
      <c r="H223" s="93"/>
      <c r="I223" s="93"/>
      <c r="J223" s="93"/>
      <c r="K223" s="93"/>
      <c r="L223" s="54">
        <v>10</v>
      </c>
      <c r="M223" s="94">
        <f t="shared" si="1"/>
        <v>1.350621285791464E-3</v>
      </c>
      <c r="N223" s="53">
        <v>1804</v>
      </c>
      <c r="O223" s="136">
        <f t="shared" si="2"/>
        <v>2.5426535775445918E-3</v>
      </c>
      <c r="P223" s="79"/>
      <c r="Q223" s="88"/>
      <c r="R223" s="5"/>
    </row>
    <row r="224" spans="1:18" ht="15.6" x14ac:dyDescent="0.3">
      <c r="A224" s="24"/>
      <c r="B224" s="54" t="s">
        <v>228</v>
      </c>
      <c r="C224" s="93"/>
      <c r="D224" s="25"/>
      <c r="E224" s="94"/>
      <c r="F224" s="93"/>
      <c r="G224" s="93"/>
      <c r="H224" s="93"/>
      <c r="I224" s="93"/>
      <c r="J224" s="93"/>
      <c r="K224" s="93"/>
      <c r="L224" s="54">
        <v>7</v>
      </c>
      <c r="M224" s="94">
        <f t="shared" si="1"/>
        <v>9.454349000540249E-4</v>
      </c>
      <c r="N224" s="53">
        <v>499</v>
      </c>
      <c r="O224" s="136">
        <f t="shared" si="2"/>
        <v>7.0331714811238983E-4</v>
      </c>
      <c r="P224" s="79"/>
      <c r="Q224" s="88"/>
      <c r="R224" s="5"/>
    </row>
    <row r="225" spans="1:18" ht="15.6" x14ac:dyDescent="0.3">
      <c r="A225" s="24"/>
      <c r="B225" s="54" t="s">
        <v>229</v>
      </c>
      <c r="C225" s="93"/>
      <c r="D225" s="25"/>
      <c r="E225" s="94"/>
      <c r="F225" s="93"/>
      <c r="G225" s="93"/>
      <c r="H225" s="93"/>
      <c r="I225" s="93"/>
      <c r="J225" s="93"/>
      <c r="K225" s="93"/>
      <c r="L225" s="54">
        <v>0</v>
      </c>
      <c r="M225" s="94">
        <f t="shared" si="1"/>
        <v>0</v>
      </c>
      <c r="N225" s="53">
        <v>0</v>
      </c>
      <c r="O225" s="136">
        <f t="shared" si="2"/>
        <v>0</v>
      </c>
      <c r="P225" s="79"/>
      <c r="Q225" s="88"/>
      <c r="R225" s="5"/>
    </row>
    <row r="226" spans="1:18" ht="15.6" x14ac:dyDescent="0.3">
      <c r="A226" s="24"/>
      <c r="B226" s="54" t="s">
        <v>230</v>
      </c>
      <c r="C226" s="93"/>
      <c r="D226" s="25"/>
      <c r="E226" s="94"/>
      <c r="F226" s="93"/>
      <c r="G226" s="93"/>
      <c r="H226" s="93"/>
      <c r="I226" s="93"/>
      <c r="J226" s="93"/>
      <c r="K226" s="93"/>
      <c r="L226" s="54">
        <v>5</v>
      </c>
      <c r="M226" s="94">
        <f t="shared" si="1"/>
        <v>6.7531064289573202E-4</v>
      </c>
      <c r="N226" s="53">
        <v>436</v>
      </c>
      <c r="O226" s="136">
        <f t="shared" si="2"/>
        <v>6.1452159634669732E-4</v>
      </c>
      <c r="P226" s="79"/>
      <c r="Q226" s="88"/>
      <c r="R226" s="5"/>
    </row>
    <row r="227" spans="1:18" ht="15.6" x14ac:dyDescent="0.3">
      <c r="A227" s="24"/>
      <c r="B227" s="54" t="s">
        <v>231</v>
      </c>
      <c r="C227" s="93"/>
      <c r="D227" s="25"/>
      <c r="E227" s="94"/>
      <c r="F227" s="93"/>
      <c r="G227" s="93"/>
      <c r="H227" s="93"/>
      <c r="I227" s="93"/>
      <c r="J227" s="93"/>
      <c r="K227" s="93"/>
      <c r="L227" s="54">
        <v>2</v>
      </c>
      <c r="M227" s="94">
        <f t="shared" si="1"/>
        <v>2.7012425715829282E-4</v>
      </c>
      <c r="N227" s="53">
        <v>123</v>
      </c>
      <c r="O227" s="136">
        <f t="shared" si="2"/>
        <v>1.7336274392349489E-4</v>
      </c>
      <c r="P227" s="79"/>
      <c r="Q227" s="88"/>
      <c r="R227" s="5"/>
    </row>
    <row r="228" spans="1:18" ht="15.6" x14ac:dyDescent="0.3">
      <c r="A228" s="24"/>
      <c r="B228" s="25" t="s">
        <v>129</v>
      </c>
      <c r="C228" s="25"/>
      <c r="D228" s="25"/>
      <c r="E228" s="25"/>
      <c r="F228" s="95"/>
      <c r="G228" s="95"/>
      <c r="H228" s="95"/>
      <c r="I228" s="95"/>
      <c r="J228" s="95"/>
      <c r="K228" s="95"/>
      <c r="L228" s="34">
        <f>SUM(L220:L227)</f>
        <v>7404</v>
      </c>
      <c r="M228" s="136">
        <f>SUM(M220:M227)</f>
        <v>1</v>
      </c>
      <c r="N228" s="53">
        <f>SUM(N220:N227)</f>
        <v>709495</v>
      </c>
      <c r="O228" s="136">
        <f>SUM(O220:O227)</f>
        <v>0.99999999999999989</v>
      </c>
      <c r="P228" s="25"/>
      <c r="Q228" s="25"/>
      <c r="R228" s="5"/>
    </row>
    <row r="229" spans="1:18" ht="15.6" x14ac:dyDescent="0.3">
      <c r="A229" s="24"/>
      <c r="B229" s="25"/>
      <c r="C229" s="25"/>
      <c r="D229" s="25"/>
      <c r="E229" s="25"/>
      <c r="F229" s="95"/>
      <c r="G229" s="95"/>
      <c r="H229" s="95"/>
      <c r="I229" s="95"/>
      <c r="J229" s="95"/>
      <c r="K229" s="95"/>
      <c r="L229" s="34"/>
      <c r="M229" s="136"/>
      <c r="N229" s="53"/>
      <c r="O229" s="136"/>
      <c r="P229" s="25"/>
      <c r="Q229" s="25"/>
      <c r="R229" s="5"/>
    </row>
    <row r="230" spans="1:18" ht="15.6" x14ac:dyDescent="0.3">
      <c r="A230" s="148"/>
      <c r="B230" s="14" t="s">
        <v>238</v>
      </c>
      <c r="C230" s="81"/>
      <c r="D230" s="82"/>
      <c r="E230" s="81"/>
      <c r="F230" s="17"/>
      <c r="G230" s="17"/>
      <c r="H230" s="17"/>
      <c r="I230" s="17"/>
      <c r="J230" s="17"/>
      <c r="K230" s="17"/>
      <c r="L230" s="83" t="s">
        <v>113</v>
      </c>
      <c r="M230" s="17" t="s">
        <v>114</v>
      </c>
      <c r="N230" s="83" t="s">
        <v>123</v>
      </c>
      <c r="O230" s="17" t="s">
        <v>114</v>
      </c>
      <c r="P230" s="8"/>
      <c r="Q230" s="149"/>
      <c r="R230" s="5"/>
    </row>
    <row r="231" spans="1:18" ht="15.6" x14ac:dyDescent="0.3">
      <c r="A231" s="24"/>
      <c r="B231" s="54" t="s">
        <v>98</v>
      </c>
      <c r="C231" s="93"/>
      <c r="D231" s="25"/>
      <c r="E231" s="93"/>
      <c r="F231" s="93"/>
      <c r="G231" s="93"/>
      <c r="H231" s="93"/>
      <c r="I231" s="93"/>
      <c r="J231" s="93"/>
      <c r="K231" s="93"/>
      <c r="L231" s="54">
        <v>5</v>
      </c>
      <c r="M231" s="94">
        <f t="shared" ref="M231:M238" si="3">L231/$L$239</f>
        <v>9.6153846153846159E-2</v>
      </c>
      <c r="N231" s="53">
        <v>972</v>
      </c>
      <c r="O231" s="136">
        <f t="shared" ref="O231:O238" si="4">N231/$N$239</f>
        <v>0.14967662457653219</v>
      </c>
      <c r="P231" s="79"/>
      <c r="Q231" s="25"/>
      <c r="R231" s="5"/>
    </row>
    <row r="232" spans="1:18" ht="15.6" x14ac:dyDescent="0.3">
      <c r="A232" s="24"/>
      <c r="B232" s="54" t="s">
        <v>99</v>
      </c>
      <c r="C232" s="93"/>
      <c r="D232" s="25"/>
      <c r="E232" s="94"/>
      <c r="F232" s="93"/>
      <c r="G232" s="93"/>
      <c r="H232" s="93"/>
      <c r="I232" s="93"/>
      <c r="J232" s="93"/>
      <c r="K232" s="93"/>
      <c r="L232" s="54">
        <v>3</v>
      </c>
      <c r="M232" s="94">
        <f t="shared" si="3"/>
        <v>5.7692307692307696E-2</v>
      </c>
      <c r="N232" s="53">
        <v>132</v>
      </c>
      <c r="O232" s="136">
        <f t="shared" si="4"/>
        <v>2.0326455189405606E-2</v>
      </c>
      <c r="P232" s="79"/>
      <c r="Q232" s="25"/>
      <c r="R232" s="5"/>
    </row>
    <row r="233" spans="1:18" ht="15.6" x14ac:dyDescent="0.3">
      <c r="A233" s="24"/>
      <c r="B233" s="54" t="s">
        <v>100</v>
      </c>
      <c r="C233" s="93"/>
      <c r="D233" s="25"/>
      <c r="E233" s="94"/>
      <c r="F233" s="93"/>
      <c r="G233" s="93"/>
      <c r="H233" s="93"/>
      <c r="I233" s="93"/>
      <c r="J233" s="93"/>
      <c r="K233" s="93"/>
      <c r="L233" s="54">
        <v>0</v>
      </c>
      <c r="M233" s="94">
        <f t="shared" si="3"/>
        <v>0</v>
      </c>
      <c r="N233" s="53">
        <v>0</v>
      </c>
      <c r="O233" s="136">
        <f t="shared" si="4"/>
        <v>0</v>
      </c>
      <c r="P233" s="79"/>
      <c r="Q233" s="25"/>
      <c r="R233" s="5"/>
    </row>
    <row r="234" spans="1:18" ht="15.6" x14ac:dyDescent="0.3">
      <c r="A234" s="24"/>
      <c r="B234" s="54" t="s">
        <v>227</v>
      </c>
      <c r="C234" s="93"/>
      <c r="D234" s="25"/>
      <c r="E234" s="94"/>
      <c r="F234" s="93"/>
      <c r="G234" s="93"/>
      <c r="H234" s="93"/>
      <c r="I234" s="93"/>
      <c r="J234" s="93"/>
      <c r="K234" s="93"/>
      <c r="L234" s="54">
        <v>0</v>
      </c>
      <c r="M234" s="94">
        <f t="shared" si="3"/>
        <v>0</v>
      </c>
      <c r="N234" s="53">
        <v>0</v>
      </c>
      <c r="O234" s="136">
        <f t="shared" si="4"/>
        <v>0</v>
      </c>
      <c r="P234" s="79"/>
      <c r="Q234" s="25"/>
      <c r="R234" s="5"/>
    </row>
    <row r="235" spans="1:18" ht="15.6" x14ac:dyDescent="0.3">
      <c r="A235" s="24"/>
      <c r="B235" s="54" t="s">
        <v>228</v>
      </c>
      <c r="C235" s="93"/>
      <c r="D235" s="25"/>
      <c r="E235" s="94"/>
      <c r="F235" s="93"/>
      <c r="G235" s="93"/>
      <c r="H235" s="93"/>
      <c r="I235" s="93"/>
      <c r="J235" s="93"/>
      <c r="K235" s="93"/>
      <c r="L235" s="54">
        <v>1</v>
      </c>
      <c r="M235" s="94">
        <f t="shared" si="3"/>
        <v>1.9230769230769232E-2</v>
      </c>
      <c r="N235" s="53">
        <v>6</v>
      </c>
      <c r="O235" s="136">
        <f t="shared" si="4"/>
        <v>9.2392978133661843E-4</v>
      </c>
      <c r="P235" s="79"/>
      <c r="Q235" s="25"/>
      <c r="R235" s="5"/>
    </row>
    <row r="236" spans="1:18" ht="15.6" x14ac:dyDescent="0.3">
      <c r="A236" s="24"/>
      <c r="B236" s="54" t="s">
        <v>229</v>
      </c>
      <c r="C236" s="93"/>
      <c r="D236" s="25"/>
      <c r="E236" s="94"/>
      <c r="F236" s="93"/>
      <c r="G236" s="93"/>
      <c r="H236" s="93"/>
      <c r="I236" s="93"/>
      <c r="J236" s="93"/>
      <c r="K236" s="93"/>
      <c r="L236" s="54">
        <v>3</v>
      </c>
      <c r="M236" s="94">
        <f t="shared" si="3"/>
        <v>5.7692307692307696E-2</v>
      </c>
      <c r="N236" s="53">
        <v>382</v>
      </c>
      <c r="O236" s="136">
        <f t="shared" si="4"/>
        <v>5.8823529411764705E-2</v>
      </c>
      <c r="P236" s="79"/>
      <c r="Q236" s="25"/>
      <c r="R236" s="5"/>
    </row>
    <row r="237" spans="1:18" ht="15.6" x14ac:dyDescent="0.3">
      <c r="A237" s="24"/>
      <c r="B237" s="54" t="s">
        <v>230</v>
      </c>
      <c r="C237" s="93"/>
      <c r="D237" s="25"/>
      <c r="E237" s="94"/>
      <c r="F237" s="93"/>
      <c r="G237" s="93"/>
      <c r="H237" s="93"/>
      <c r="I237" s="93"/>
      <c r="J237" s="93"/>
      <c r="K237" s="93"/>
      <c r="L237" s="54">
        <v>20</v>
      </c>
      <c r="M237" s="94">
        <f t="shared" si="3"/>
        <v>0.38461538461538464</v>
      </c>
      <c r="N237" s="53">
        <v>2877</v>
      </c>
      <c r="O237" s="136">
        <f t="shared" si="4"/>
        <v>0.44302433015090853</v>
      </c>
      <c r="P237" s="79"/>
      <c r="Q237" s="25"/>
      <c r="R237" s="5"/>
    </row>
    <row r="238" spans="1:18" ht="15.6" x14ac:dyDescent="0.3">
      <c r="A238" s="24"/>
      <c r="B238" s="54" t="s">
        <v>231</v>
      </c>
      <c r="C238" s="93"/>
      <c r="D238" s="25"/>
      <c r="E238" s="94"/>
      <c r="F238" s="93"/>
      <c r="G238" s="93"/>
      <c r="H238" s="93"/>
      <c r="I238" s="93"/>
      <c r="J238" s="93"/>
      <c r="K238" s="93"/>
      <c r="L238" s="54">
        <v>20</v>
      </c>
      <c r="M238" s="94">
        <f t="shared" si="3"/>
        <v>0.38461538461538464</v>
      </c>
      <c r="N238" s="53">
        <v>2125</v>
      </c>
      <c r="O238" s="136">
        <f t="shared" si="4"/>
        <v>0.32722513089005234</v>
      </c>
      <c r="P238" s="79"/>
      <c r="Q238" s="25"/>
      <c r="R238" s="5"/>
    </row>
    <row r="239" spans="1:18" ht="15.6" x14ac:dyDescent="0.3">
      <c r="A239" s="24"/>
      <c r="B239" s="25" t="s">
        <v>129</v>
      </c>
      <c r="C239" s="25"/>
      <c r="D239" s="25"/>
      <c r="E239" s="25"/>
      <c r="F239" s="95"/>
      <c r="G239" s="95"/>
      <c r="H239" s="95"/>
      <c r="I239" s="95"/>
      <c r="J239" s="95"/>
      <c r="K239" s="95"/>
      <c r="L239" s="34">
        <f>SUM(L231:L238)</f>
        <v>52</v>
      </c>
      <c r="M239" s="136">
        <f>SUM(M231:M238)</f>
        <v>1</v>
      </c>
      <c r="N239" s="53">
        <f>SUM(N231:N238)</f>
        <v>6494</v>
      </c>
      <c r="O239" s="136">
        <f>SUM(O231:O238)</f>
        <v>1</v>
      </c>
      <c r="P239" s="25"/>
      <c r="Q239" s="25"/>
      <c r="R239" s="5"/>
    </row>
    <row r="240" spans="1:18" ht="15.6" x14ac:dyDescent="0.3">
      <c r="A240" s="24"/>
      <c r="B240" s="25"/>
      <c r="C240" s="25"/>
      <c r="D240" s="25"/>
      <c r="E240" s="25"/>
      <c r="F240" s="95"/>
      <c r="G240" s="95"/>
      <c r="H240" s="95"/>
      <c r="I240" s="95"/>
      <c r="J240" s="95"/>
      <c r="K240" s="95"/>
      <c r="L240" s="34"/>
      <c r="M240" s="136"/>
      <c r="N240" s="53"/>
      <c r="O240" s="136"/>
      <c r="P240" s="25"/>
      <c r="Q240" s="25"/>
      <c r="R240" s="5"/>
    </row>
    <row r="241" spans="1:18" ht="15.6" x14ac:dyDescent="0.3">
      <c r="A241" s="148"/>
      <c r="B241" s="14" t="s">
        <v>239</v>
      </c>
      <c r="C241" s="81"/>
      <c r="D241" s="82"/>
      <c r="E241" s="81"/>
      <c r="F241" s="17"/>
      <c r="G241" s="17"/>
      <c r="H241" s="17"/>
      <c r="I241" s="17"/>
      <c r="J241" s="17"/>
      <c r="K241" s="17"/>
      <c r="L241" s="83" t="s">
        <v>113</v>
      </c>
      <c r="M241" s="17" t="s">
        <v>114</v>
      </c>
      <c r="N241" s="83" t="s">
        <v>123</v>
      </c>
      <c r="O241" s="17" t="s">
        <v>114</v>
      </c>
      <c r="P241" s="150"/>
      <c r="Q241" s="149"/>
      <c r="R241" s="5"/>
    </row>
    <row r="242" spans="1:18" ht="15.6" x14ac:dyDescent="0.3">
      <c r="A242" s="24"/>
      <c r="B242" s="54" t="s">
        <v>98</v>
      </c>
      <c r="C242" s="93"/>
      <c r="D242" s="25"/>
      <c r="E242" s="93"/>
      <c r="F242" s="93"/>
      <c r="G242" s="93"/>
      <c r="H242" s="93"/>
      <c r="I242" s="93"/>
      <c r="J242" s="93"/>
      <c r="K242" s="93"/>
      <c r="L242" s="54">
        <v>0</v>
      </c>
      <c r="M242" s="94">
        <v>0</v>
      </c>
      <c r="N242" s="53">
        <v>0</v>
      </c>
      <c r="O242" s="136">
        <v>0</v>
      </c>
      <c r="P242" s="25"/>
      <c r="Q242" s="25"/>
      <c r="R242" s="5"/>
    </row>
    <row r="243" spans="1:18" ht="15.6" x14ac:dyDescent="0.3">
      <c r="A243" s="24"/>
      <c r="B243" s="54" t="s">
        <v>99</v>
      </c>
      <c r="C243" s="93"/>
      <c r="D243" s="25"/>
      <c r="E243" s="94"/>
      <c r="F243" s="93"/>
      <c r="G243" s="93"/>
      <c r="H243" s="93"/>
      <c r="I243" s="93"/>
      <c r="J243" s="93"/>
      <c r="K243" s="93"/>
      <c r="L243" s="54">
        <v>0</v>
      </c>
      <c r="M243" s="94">
        <v>0</v>
      </c>
      <c r="N243" s="53">
        <v>0</v>
      </c>
      <c r="O243" s="136">
        <v>0</v>
      </c>
      <c r="P243" s="25"/>
      <c r="Q243" s="25"/>
      <c r="R243" s="5"/>
    </row>
    <row r="244" spans="1:18" ht="15.6" x14ac:dyDescent="0.3">
      <c r="A244" s="24"/>
      <c r="B244" s="54" t="s">
        <v>100</v>
      </c>
      <c r="C244" s="93"/>
      <c r="D244" s="25"/>
      <c r="E244" s="94"/>
      <c r="F244" s="93"/>
      <c r="G244" s="93"/>
      <c r="H244" s="93"/>
      <c r="I244" s="93"/>
      <c r="J244" s="93"/>
      <c r="K244" s="93"/>
      <c r="L244" s="54">
        <v>0</v>
      </c>
      <c r="M244" s="94">
        <v>0</v>
      </c>
      <c r="N244" s="53">
        <v>0</v>
      </c>
      <c r="O244" s="136">
        <v>0</v>
      </c>
      <c r="P244" s="25"/>
      <c r="Q244" s="25"/>
      <c r="R244" s="5"/>
    </row>
    <row r="245" spans="1:18" ht="15.6" x14ac:dyDescent="0.3">
      <c r="A245" s="24"/>
      <c r="B245" s="54" t="s">
        <v>227</v>
      </c>
      <c r="C245" s="93"/>
      <c r="D245" s="25"/>
      <c r="E245" s="94"/>
      <c r="F245" s="93"/>
      <c r="G245" s="93"/>
      <c r="H245" s="93"/>
      <c r="I245" s="93"/>
      <c r="J245" s="93"/>
      <c r="K245" s="93"/>
      <c r="L245" s="54">
        <v>0</v>
      </c>
      <c r="M245" s="94">
        <v>0</v>
      </c>
      <c r="N245" s="53">
        <v>0</v>
      </c>
      <c r="O245" s="136">
        <v>0</v>
      </c>
      <c r="P245" s="25"/>
      <c r="Q245" s="25"/>
      <c r="R245" s="5"/>
    </row>
    <row r="246" spans="1:18" ht="15.6" x14ac:dyDescent="0.3">
      <c r="A246" s="24"/>
      <c r="B246" s="54" t="s">
        <v>228</v>
      </c>
      <c r="C246" s="93"/>
      <c r="D246" s="25"/>
      <c r="E246" s="94"/>
      <c r="F246" s="93"/>
      <c r="G246" s="93"/>
      <c r="H246" s="93"/>
      <c r="I246" s="93"/>
      <c r="J246" s="93"/>
      <c r="K246" s="93"/>
      <c r="L246" s="54">
        <v>0</v>
      </c>
      <c r="M246" s="94">
        <v>0</v>
      </c>
      <c r="N246" s="53">
        <v>0</v>
      </c>
      <c r="O246" s="136">
        <v>0</v>
      </c>
      <c r="P246" s="25"/>
      <c r="Q246" s="25"/>
      <c r="R246" s="5"/>
    </row>
    <row r="247" spans="1:18" ht="15.6" x14ac:dyDescent="0.3">
      <c r="A247" s="24"/>
      <c r="B247" s="54" t="s">
        <v>229</v>
      </c>
      <c r="C247" s="93"/>
      <c r="D247" s="25"/>
      <c r="E247" s="94"/>
      <c r="F247" s="93"/>
      <c r="G247" s="93"/>
      <c r="H247" s="93"/>
      <c r="I247" s="93"/>
      <c r="J247" s="93"/>
      <c r="K247" s="93"/>
      <c r="L247" s="54">
        <v>0</v>
      </c>
      <c r="M247" s="94">
        <v>0</v>
      </c>
      <c r="N247" s="53">
        <v>0</v>
      </c>
      <c r="O247" s="136">
        <v>0</v>
      </c>
      <c r="P247" s="25"/>
      <c r="Q247" s="25"/>
      <c r="R247" s="5"/>
    </row>
    <row r="248" spans="1:18" ht="15.6" x14ac:dyDescent="0.3">
      <c r="A248" s="24"/>
      <c r="B248" s="54" t="s">
        <v>230</v>
      </c>
      <c r="C248" s="93"/>
      <c r="D248" s="25"/>
      <c r="E248" s="94"/>
      <c r="F248" s="93"/>
      <c r="G248" s="93"/>
      <c r="H248" s="93"/>
      <c r="I248" s="93"/>
      <c r="J248" s="93"/>
      <c r="K248" s="93"/>
      <c r="L248" s="54">
        <v>0</v>
      </c>
      <c r="M248" s="94">
        <v>0</v>
      </c>
      <c r="N248" s="53">
        <v>0</v>
      </c>
      <c r="O248" s="136">
        <v>0</v>
      </c>
      <c r="P248" s="25"/>
      <c r="Q248" s="25"/>
      <c r="R248" s="5"/>
    </row>
    <row r="249" spans="1:18" ht="15.6" x14ac:dyDescent="0.3">
      <c r="A249" s="24"/>
      <c r="B249" s="54" t="s">
        <v>231</v>
      </c>
      <c r="C249" s="93"/>
      <c r="D249" s="25"/>
      <c r="E249" s="94"/>
      <c r="F249" s="93"/>
      <c r="G249" s="93"/>
      <c r="H249" s="93"/>
      <c r="I249" s="93"/>
      <c r="J249" s="93"/>
      <c r="K249" s="93"/>
      <c r="L249" s="54">
        <v>0</v>
      </c>
      <c r="M249" s="94">
        <v>0</v>
      </c>
      <c r="N249" s="53">
        <v>0</v>
      </c>
      <c r="O249" s="136">
        <v>0</v>
      </c>
      <c r="P249" s="25"/>
      <c r="Q249" s="25"/>
      <c r="R249" s="5"/>
    </row>
    <row r="250" spans="1:18" ht="15.6" x14ac:dyDescent="0.3">
      <c r="A250" s="24"/>
      <c r="B250" s="25" t="s">
        <v>129</v>
      </c>
      <c r="C250" s="25"/>
      <c r="D250" s="25"/>
      <c r="E250" s="25"/>
      <c r="F250" s="95"/>
      <c r="G250" s="95"/>
      <c r="H250" s="95"/>
      <c r="I250" s="95"/>
      <c r="J250" s="95"/>
      <c r="K250" s="95"/>
      <c r="L250" s="34">
        <f>SUM(L242:L249)</f>
        <v>0</v>
      </c>
      <c r="M250" s="136">
        <v>0</v>
      </c>
      <c r="N250" s="53">
        <f>SUM(N242:N249)</f>
        <v>0</v>
      </c>
      <c r="O250" s="136">
        <v>0</v>
      </c>
      <c r="P250" s="25"/>
      <c r="Q250" s="25"/>
      <c r="R250" s="5"/>
    </row>
    <row r="251" spans="1:18" ht="15.6" x14ac:dyDescent="0.3">
      <c r="A251" s="24"/>
      <c r="B251" s="25"/>
      <c r="C251" s="25"/>
      <c r="D251" s="25"/>
      <c r="E251" s="25"/>
      <c r="F251" s="95"/>
      <c r="G251" s="95"/>
      <c r="H251" s="95"/>
      <c r="I251" s="95"/>
      <c r="J251" s="95"/>
      <c r="K251" s="95"/>
      <c r="L251" s="34"/>
      <c r="M251" s="136"/>
      <c r="N251" s="53"/>
      <c r="O251" s="136"/>
      <c r="P251" s="25"/>
      <c r="Q251" s="25"/>
      <c r="R251" s="5"/>
    </row>
    <row r="252" spans="1:18" ht="15.6" x14ac:dyDescent="0.3">
      <c r="A252" s="24"/>
      <c r="B252" s="152" t="s">
        <v>240</v>
      </c>
      <c r="C252" s="25"/>
      <c r="D252" s="25"/>
      <c r="E252" s="25"/>
      <c r="F252" s="95"/>
      <c r="G252" s="95"/>
      <c r="H252" s="95"/>
      <c r="I252" s="95"/>
      <c r="J252" s="95"/>
      <c r="K252" s="95"/>
      <c r="L252" s="173">
        <f>+L228+L239+L250</f>
        <v>7456</v>
      </c>
      <c r="M252" s="136"/>
      <c r="N252" s="153">
        <f>+N250+N239+N228</f>
        <v>715989</v>
      </c>
      <c r="O252" s="136"/>
      <c r="P252" s="25"/>
      <c r="Q252" s="25"/>
      <c r="R252" s="5"/>
    </row>
    <row r="253" spans="1:18" ht="15.6" x14ac:dyDescent="0.3">
      <c r="A253" s="24"/>
      <c r="B253" s="25"/>
      <c r="C253" s="25"/>
      <c r="D253" s="25"/>
      <c r="E253" s="25"/>
      <c r="F253" s="95"/>
      <c r="G253" s="95"/>
      <c r="H253" s="95"/>
      <c r="I253" s="95"/>
      <c r="J253" s="95"/>
      <c r="K253" s="95"/>
      <c r="L253" s="95"/>
      <c r="M253" s="95"/>
      <c r="N253" s="53"/>
      <c r="O253" s="95"/>
      <c r="P253" s="25"/>
      <c r="Q253" s="25"/>
      <c r="R253" s="5"/>
    </row>
    <row r="254" spans="1:18" ht="15.6" x14ac:dyDescent="0.3">
      <c r="A254" s="6"/>
      <c r="B254" s="8"/>
      <c r="C254" s="8"/>
      <c r="D254" s="8"/>
      <c r="E254" s="8"/>
      <c r="F254" s="96"/>
      <c r="G254" s="96"/>
      <c r="H254" s="96"/>
      <c r="I254" s="96"/>
      <c r="J254" s="96"/>
      <c r="K254" s="96"/>
      <c r="L254" s="96"/>
      <c r="M254" s="96"/>
      <c r="N254" s="97"/>
      <c r="O254" s="96"/>
      <c r="P254" s="8"/>
      <c r="Q254" s="8"/>
      <c r="R254" s="5"/>
    </row>
    <row r="255" spans="1:18" ht="15.6" x14ac:dyDescent="0.3">
      <c r="A255" s="145"/>
      <c r="B255" s="14" t="s">
        <v>234</v>
      </c>
      <c r="C255" s="15"/>
      <c r="D255" s="17"/>
      <c r="E255" s="15"/>
      <c r="F255" s="14"/>
      <c r="G255" s="140"/>
      <c r="H255" s="140"/>
      <c r="I255" s="140"/>
      <c r="J255" s="140"/>
      <c r="K255" s="140"/>
      <c r="L255" s="140"/>
      <c r="M255" s="140"/>
      <c r="N255" s="140"/>
      <c r="O255" s="140"/>
      <c r="P255" s="140"/>
      <c r="Q255" s="140"/>
      <c r="R255" s="5"/>
    </row>
    <row r="256" spans="1:18" ht="15.6" x14ac:dyDescent="0.3">
      <c r="A256" s="145"/>
      <c r="B256" s="140"/>
      <c r="C256" s="8"/>
      <c r="D256" s="8"/>
      <c r="E256" s="8"/>
      <c r="F256" s="8"/>
      <c r="G256" s="140"/>
      <c r="H256" s="140"/>
      <c r="I256" s="140"/>
      <c r="J256" s="140"/>
      <c r="K256" s="140"/>
      <c r="L256" s="140"/>
      <c r="M256" s="140"/>
      <c r="N256" s="140"/>
      <c r="O256" s="140"/>
      <c r="P256" s="140"/>
      <c r="Q256" s="140"/>
      <c r="R256" s="5"/>
    </row>
    <row r="257" spans="1:18" ht="15.6" x14ac:dyDescent="0.3">
      <c r="A257" s="145"/>
      <c r="B257" s="13" t="s">
        <v>232</v>
      </c>
      <c r="C257" s="13"/>
      <c r="D257" s="134"/>
      <c r="E257" s="13"/>
      <c r="F257" s="13"/>
      <c r="G257" s="140"/>
      <c r="H257" s="140"/>
      <c r="I257" s="140"/>
      <c r="J257" s="140"/>
      <c r="K257" s="140"/>
      <c r="L257" s="140"/>
      <c r="M257" s="140"/>
      <c r="N257" s="140"/>
      <c r="O257" s="140"/>
      <c r="P257" s="140"/>
      <c r="Q257" s="140"/>
      <c r="R257" s="5"/>
    </row>
    <row r="258" spans="1:18" ht="15.6" x14ac:dyDescent="0.3">
      <c r="A258" s="145"/>
      <c r="B258" s="13" t="s">
        <v>233</v>
      </c>
      <c r="C258" s="13"/>
      <c r="D258" s="134"/>
      <c r="E258" s="13"/>
      <c r="F258" s="13"/>
      <c r="G258" s="140"/>
      <c r="H258" s="140"/>
      <c r="I258" s="140"/>
      <c r="J258" s="140"/>
      <c r="K258" s="140"/>
      <c r="L258" s="140"/>
      <c r="M258" s="140"/>
      <c r="N258" s="140"/>
      <c r="O258" s="140"/>
      <c r="P258" s="140"/>
      <c r="Q258" s="140"/>
      <c r="R258" s="5"/>
    </row>
    <row r="259" spans="1:18" ht="15.6" x14ac:dyDescent="0.3">
      <c r="A259" s="145"/>
      <c r="B259" s="13"/>
      <c r="C259" s="13"/>
      <c r="D259" s="13"/>
      <c r="E259" s="99"/>
      <c r="F259" s="140"/>
      <c r="G259" s="140"/>
      <c r="H259" s="140"/>
      <c r="I259" s="140"/>
      <c r="J259" s="140"/>
      <c r="K259" s="140"/>
      <c r="L259" s="140"/>
      <c r="M259" s="140"/>
      <c r="N259" s="140"/>
      <c r="O259" s="140"/>
      <c r="P259" s="140"/>
      <c r="Q259" s="140"/>
      <c r="R259" s="5"/>
    </row>
    <row r="260" spans="1:18" ht="15.6" x14ac:dyDescent="0.3">
      <c r="A260" s="145"/>
      <c r="B260" s="13"/>
      <c r="C260" s="13"/>
      <c r="D260" s="13"/>
      <c r="E260" s="99"/>
      <c r="F260" s="140"/>
      <c r="G260" s="140"/>
      <c r="H260" s="140"/>
      <c r="I260" s="140"/>
      <c r="J260" s="140"/>
      <c r="K260" s="140"/>
      <c r="L260" s="140"/>
      <c r="M260" s="140"/>
      <c r="N260" s="140"/>
      <c r="O260" s="140"/>
      <c r="P260" s="140"/>
      <c r="Q260" s="140"/>
      <c r="R260" s="5"/>
    </row>
    <row r="261" spans="1:18" ht="18" thickBot="1" x14ac:dyDescent="0.35">
      <c r="A261" s="145"/>
      <c r="B261" s="49" t="str">
        <f>B180</f>
        <v>PM7 INVESTOR REPORT QUARTER ENDING APRIL 2006</v>
      </c>
      <c r="C261" s="13"/>
      <c r="D261" s="13"/>
      <c r="E261" s="99"/>
      <c r="F261" s="140"/>
      <c r="G261" s="140"/>
      <c r="H261" s="140"/>
      <c r="I261" s="140"/>
      <c r="J261" s="140"/>
      <c r="K261" s="140"/>
      <c r="L261" s="140"/>
      <c r="M261" s="140"/>
      <c r="N261" s="140"/>
      <c r="O261" s="140"/>
      <c r="P261" s="140"/>
      <c r="Q261" s="140"/>
      <c r="R261" s="5"/>
    </row>
    <row r="262" spans="1:18" x14ac:dyDescent="0.25">
      <c r="A262" s="100"/>
      <c r="B262" s="100"/>
      <c r="C262" s="100"/>
      <c r="D262" s="100"/>
      <c r="E262" s="100"/>
      <c r="F262" s="100"/>
      <c r="G262" s="100"/>
      <c r="H262" s="100"/>
      <c r="I262" s="100"/>
      <c r="J262" s="100"/>
      <c r="K262" s="100"/>
      <c r="L262" s="100"/>
      <c r="M262" s="100"/>
      <c r="N262" s="100"/>
      <c r="O262" s="100"/>
      <c r="P262" s="100"/>
      <c r="Q262" s="100"/>
    </row>
  </sheetData>
  <phoneticPr fontId="0" type="noConversion"/>
  <hyperlinks>
    <hyperlink ref="H9" r:id="rId1"/>
    <hyperlink ref="J217"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0" max="14" man="1"/>
    <brk id="180" max="14"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8"/>
  </sheetPr>
  <dimension ref="A1:S262"/>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0.94330000000000003</v>
      </c>
      <c r="N17" s="17" t="s">
        <v>173</v>
      </c>
      <c r="O17" s="138">
        <v>5.67E-2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38954</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178</v>
      </c>
      <c r="K28" s="123"/>
      <c r="L28" s="123" t="s">
        <v>178</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347444.1</v>
      </c>
      <c r="E34" s="31"/>
      <c r="F34" s="131">
        <f>+F33*F40</f>
        <v>169851.22</v>
      </c>
      <c r="G34" s="31"/>
      <c r="H34" s="124">
        <f>+H33*H40</f>
        <v>386054.5</v>
      </c>
      <c r="I34" s="31"/>
      <c r="J34" s="130">
        <v>82500</v>
      </c>
      <c r="K34" s="31"/>
      <c r="L34" s="124">
        <v>65000</v>
      </c>
      <c r="M34" s="31"/>
      <c r="N34" s="31"/>
      <c r="O34" s="142"/>
      <c r="P34" s="31"/>
      <c r="Q34" s="34"/>
      <c r="R34" s="5"/>
    </row>
    <row r="35" spans="1:18" ht="15.6" x14ac:dyDescent="0.3">
      <c r="A35" s="28"/>
      <c r="B35" s="29" t="s">
        <v>158</v>
      </c>
      <c r="C35" s="36"/>
      <c r="D35" s="129">
        <f>+D33*D39</f>
        <v>334655.09999999998</v>
      </c>
      <c r="E35" s="35"/>
      <c r="F35" s="132">
        <f>+F33*F39</f>
        <v>163597.5</v>
      </c>
      <c r="G35" s="35"/>
      <c r="H35" s="125">
        <f>+H33*H39</f>
        <v>371845</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195303.03541315344</v>
      </c>
      <c r="E37" s="31"/>
      <c r="F37" s="31">
        <f>+F34</f>
        <v>169851.22</v>
      </c>
      <c r="G37" s="31"/>
      <c r="H37" s="31">
        <f>+H34/1.481481</f>
        <v>260586.87219073344</v>
      </c>
      <c r="I37" s="31"/>
      <c r="J37" s="31">
        <v>46374</v>
      </c>
      <c r="K37" s="31"/>
      <c r="L37" s="31">
        <v>43875</v>
      </c>
      <c r="M37" s="31"/>
      <c r="N37" s="31"/>
      <c r="O37" s="142"/>
      <c r="P37" s="31">
        <f>SUM(C37:L37)</f>
        <v>715990.12760388688</v>
      </c>
      <c r="Q37" s="34"/>
      <c r="R37" s="5"/>
    </row>
    <row r="38" spans="1:18" ht="15.6" x14ac:dyDescent="0.3">
      <c r="A38" s="28"/>
      <c r="B38" s="29" t="s">
        <v>281</v>
      </c>
      <c r="C38" s="36"/>
      <c r="D38" s="35">
        <f>D35/1.779</f>
        <v>188114.16526138279</v>
      </c>
      <c r="E38" s="35"/>
      <c r="F38" s="35">
        <f>+F35</f>
        <v>163597.5</v>
      </c>
      <c r="G38" s="35"/>
      <c r="H38" s="35">
        <f>H35/1.481481</f>
        <v>250995.45657352338</v>
      </c>
      <c r="I38" s="35"/>
      <c r="J38" s="35">
        <v>46374</v>
      </c>
      <c r="K38" s="35"/>
      <c r="L38" s="35">
        <v>43875</v>
      </c>
      <c r="M38" s="35"/>
      <c r="N38" s="35"/>
      <c r="O38" s="37"/>
      <c r="P38" s="35">
        <f>SUM(D38:L38)</f>
        <v>692956.12183490617</v>
      </c>
      <c r="Q38" s="34"/>
      <c r="R38" s="5"/>
    </row>
    <row r="39" spans="1:18" ht="15.6" x14ac:dyDescent="0.3">
      <c r="A39" s="28"/>
      <c r="B39" s="122" t="s">
        <v>154</v>
      </c>
      <c r="C39" s="126"/>
      <c r="D39" s="139">
        <v>0.74367799999999995</v>
      </c>
      <c r="E39" s="139"/>
      <c r="F39" s="139">
        <v>0.74362499999999998</v>
      </c>
      <c r="G39" s="139"/>
      <c r="H39" s="139">
        <v>0.74368999999999996</v>
      </c>
      <c r="I39" s="139"/>
      <c r="J39" s="139">
        <v>1</v>
      </c>
      <c r="K39" s="139"/>
      <c r="L39" s="139">
        <v>1</v>
      </c>
      <c r="M39" s="31"/>
      <c r="N39" s="31"/>
      <c r="O39" s="142"/>
      <c r="P39" s="31"/>
      <c r="Q39" s="34"/>
      <c r="R39" s="5"/>
    </row>
    <row r="40" spans="1:18" ht="15.6" x14ac:dyDescent="0.3">
      <c r="A40" s="28"/>
      <c r="B40" s="122" t="s">
        <v>155</v>
      </c>
      <c r="C40" s="126"/>
      <c r="D40" s="139">
        <v>0.77209799999999995</v>
      </c>
      <c r="E40" s="139"/>
      <c r="F40" s="139">
        <v>0.77205100000000004</v>
      </c>
      <c r="G40" s="139"/>
      <c r="H40" s="139">
        <v>0.77210900000000005</v>
      </c>
      <c r="I40" s="139"/>
      <c r="J40" s="139">
        <v>1</v>
      </c>
      <c r="K40" s="139"/>
      <c r="L40" s="139">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5.3800000000000001E-2</v>
      </c>
      <c r="E42" s="39"/>
      <c r="F42" s="38">
        <v>4.9206300000000001E-2</v>
      </c>
      <c r="G42" s="39"/>
      <c r="H42" s="38">
        <v>3.0890000000000001E-2</v>
      </c>
      <c r="I42" s="39"/>
      <c r="J42" s="38">
        <v>5.9200000000000003E-2</v>
      </c>
      <c r="K42" s="39"/>
      <c r="L42" s="38">
        <v>3.6290000000000003E-2</v>
      </c>
      <c r="M42" s="39"/>
      <c r="N42" s="38"/>
      <c r="O42" s="141"/>
      <c r="P42" s="39"/>
      <c r="Q42" s="25"/>
      <c r="R42" s="5"/>
    </row>
    <row r="43" spans="1:18" ht="15.6" x14ac:dyDescent="0.3">
      <c r="A43" s="24"/>
      <c r="B43" s="25" t="s">
        <v>14</v>
      </c>
      <c r="C43" s="25"/>
      <c r="D43" s="38">
        <v>4.95875E-2</v>
      </c>
      <c r="E43" s="39"/>
      <c r="F43" s="38">
        <v>4.7843799999999999E-2</v>
      </c>
      <c r="G43" s="39"/>
      <c r="H43" s="38">
        <v>2.8039999999999999E-2</v>
      </c>
      <c r="I43" s="39"/>
      <c r="J43" s="38">
        <v>5.4987500000000002E-2</v>
      </c>
      <c r="K43" s="39"/>
      <c r="L43" s="38">
        <v>3.3439999999999998E-2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5.0151300000000003E-2</v>
      </c>
      <c r="E45" s="39"/>
      <c r="F45" s="38">
        <v>4.9206300000000001E-2</v>
      </c>
      <c r="G45" s="39"/>
      <c r="H45" s="38">
        <v>5.0031300000000001E-2</v>
      </c>
      <c r="I45" s="39"/>
      <c r="J45" s="38">
        <v>5.6281299999999999E-2</v>
      </c>
      <c r="K45" s="39"/>
      <c r="L45" s="38">
        <v>5.6281299999999999E-2</v>
      </c>
      <c r="M45" s="39"/>
      <c r="N45" s="38"/>
      <c r="O45" s="141"/>
      <c r="P45" s="39">
        <f>SUMPRODUCT(D45:L45,D37:L37)/P37</f>
        <v>5.0656120567354357E-2</v>
      </c>
      <c r="Q45" s="25"/>
      <c r="R45" s="5"/>
    </row>
    <row r="46" spans="1:18" ht="15.6" x14ac:dyDescent="0.3">
      <c r="A46" s="24"/>
      <c r="B46" s="25" t="s">
        <v>283</v>
      </c>
      <c r="C46" s="25"/>
      <c r="D46" s="38">
        <v>4.87888E-2</v>
      </c>
      <c r="E46" s="39"/>
      <c r="F46" s="38">
        <v>4.7843799999999999E-2</v>
      </c>
      <c r="G46" s="39"/>
      <c r="H46" s="38">
        <v>4.8668799999999998E-2</v>
      </c>
      <c r="I46" s="39"/>
      <c r="J46" s="38">
        <v>5.4918799999999997E-2</v>
      </c>
      <c r="K46" s="39"/>
      <c r="L46" s="38">
        <v>5.4918799999999997E-2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0.14973939535547923</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38944</v>
      </c>
      <c r="Q57" s="25"/>
      <c r="R57" s="5"/>
    </row>
    <row r="58" spans="1:18" ht="15.6" x14ac:dyDescent="0.3">
      <c r="A58" s="24"/>
      <c r="B58" s="25" t="s">
        <v>142</v>
      </c>
      <c r="C58" s="25"/>
      <c r="D58" s="25"/>
      <c r="E58" s="25"/>
      <c r="F58" s="58"/>
      <c r="G58" s="58"/>
      <c r="H58" s="58"/>
      <c r="I58" s="58"/>
      <c r="J58" s="58"/>
      <c r="K58" s="58"/>
      <c r="L58" s="25">
        <f>+P58-N58+1</f>
        <v>89</v>
      </c>
      <c r="M58" s="58"/>
      <c r="N58" s="45">
        <v>38763</v>
      </c>
      <c r="O58" s="46"/>
      <c r="P58" s="45">
        <v>38851</v>
      </c>
      <c r="Q58" s="25"/>
      <c r="R58" s="5"/>
    </row>
    <row r="59" spans="1:18" ht="15.6" x14ac:dyDescent="0.3">
      <c r="A59" s="24"/>
      <c r="B59" s="25" t="s">
        <v>143</v>
      </c>
      <c r="C59" s="25"/>
      <c r="D59" s="25"/>
      <c r="E59" s="25"/>
      <c r="F59" s="25"/>
      <c r="G59" s="25"/>
      <c r="H59" s="25"/>
      <c r="I59" s="25"/>
      <c r="J59" s="25"/>
      <c r="K59" s="25"/>
      <c r="L59" s="25">
        <f>+P59-N59+1</f>
        <v>92</v>
      </c>
      <c r="M59" s="25"/>
      <c r="N59" s="45">
        <v>38852</v>
      </c>
      <c r="O59" s="46"/>
      <c r="P59" s="45">
        <v>38943</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38930</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255</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715990</v>
      </c>
      <c r="I70" s="34"/>
      <c r="J70" s="34">
        <f>23034+4129+122</f>
        <v>27285</v>
      </c>
      <c r="K70" s="34"/>
      <c r="L70" s="34">
        <f>4129+122</f>
        <v>4251</v>
      </c>
      <c r="M70" s="34"/>
      <c r="N70" s="34">
        <v>0</v>
      </c>
      <c r="O70" s="34"/>
      <c r="P70" s="53">
        <f>+H70-J70+L70-N70</f>
        <v>692956</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715990</v>
      </c>
      <c r="I73" s="34"/>
      <c r="J73" s="34">
        <f>SUM(J70:J72)</f>
        <v>27285</v>
      </c>
      <c r="K73" s="34"/>
      <c r="L73" s="34">
        <f>SUM(L70:L72)</f>
        <v>4251</v>
      </c>
      <c r="M73" s="34"/>
      <c r="N73" s="34">
        <f>SUM(N70:N72)</f>
        <v>0</v>
      </c>
      <c r="O73" s="34"/>
      <c r="P73" s="54">
        <f>SUM(P70:P72)</f>
        <v>692956</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v>0</v>
      </c>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v>0</v>
      </c>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715990</v>
      </c>
      <c r="I86" s="34"/>
      <c r="J86" s="34"/>
      <c r="K86" s="34"/>
      <c r="L86" s="34"/>
      <c r="M86" s="34"/>
      <c r="N86" s="54"/>
      <c r="O86" s="34"/>
      <c r="P86" s="54">
        <f>SUM(P73:P85)</f>
        <v>692956</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38929</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v>27285</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11840-1009-251-479+755+12</f>
        <v>10868</v>
      </c>
      <c r="Q92" s="25"/>
      <c r="R92" s="5"/>
    </row>
    <row r="93" spans="1:18" ht="15.6" x14ac:dyDescent="0.3">
      <c r="A93" s="24"/>
      <c r="B93" s="25" t="s">
        <v>249</v>
      </c>
      <c r="C93" s="25"/>
      <c r="D93" s="25"/>
      <c r="E93" s="25"/>
      <c r="F93" s="40"/>
      <c r="G93" s="57"/>
      <c r="H93" s="127"/>
      <c r="I93" s="25"/>
      <c r="J93" s="25"/>
      <c r="K93" s="25"/>
      <c r="L93" s="25"/>
      <c r="M93" s="25"/>
      <c r="N93" s="34"/>
      <c r="O93" s="25"/>
      <c r="P93" s="53">
        <f>609+23</f>
        <v>632</v>
      </c>
      <c r="Q93" s="25"/>
      <c r="R93" s="5"/>
    </row>
    <row r="94" spans="1:18" ht="15.6" x14ac:dyDescent="0.3">
      <c r="A94" s="24"/>
      <c r="B94" s="25" t="s">
        <v>250</v>
      </c>
      <c r="C94" s="25"/>
      <c r="D94" s="25"/>
      <c r="E94" s="25"/>
      <c r="F94" s="40"/>
      <c r="G94" s="57"/>
      <c r="H94" s="127"/>
      <c r="I94" s="25"/>
      <c r="J94" s="25"/>
      <c r="K94" s="25"/>
      <c r="L94" s="25"/>
      <c r="M94" s="25"/>
      <c r="N94" s="34"/>
      <c r="O94" s="25"/>
      <c r="P94" s="53">
        <v>468</v>
      </c>
      <c r="Q94" s="25"/>
      <c r="R94" s="5"/>
    </row>
    <row r="95" spans="1:18" ht="15.6" x14ac:dyDescent="0.3">
      <c r="A95" s="24"/>
      <c r="B95" s="25" t="s">
        <v>160</v>
      </c>
      <c r="C95" s="25"/>
      <c r="D95" s="25"/>
      <c r="E95" s="25"/>
      <c r="F95" s="25"/>
      <c r="G95" s="25"/>
      <c r="H95" s="25"/>
      <c r="I95" s="25"/>
      <c r="J95" s="25"/>
      <c r="K95" s="25"/>
      <c r="L95" s="25"/>
      <c r="M95" s="25"/>
      <c r="N95" s="34"/>
      <c r="O95" s="25"/>
      <c r="P95" s="53">
        <v>0</v>
      </c>
      <c r="Q95" s="25"/>
      <c r="R95" s="5"/>
    </row>
    <row r="96" spans="1:18" ht="15.6" x14ac:dyDescent="0.3">
      <c r="A96" s="24"/>
      <c r="B96" s="25" t="s">
        <v>192</v>
      </c>
      <c r="C96" s="25"/>
      <c r="D96" s="25"/>
      <c r="E96" s="25"/>
      <c r="F96" s="25"/>
      <c r="G96" s="25"/>
      <c r="H96" s="25"/>
      <c r="I96" s="25"/>
      <c r="J96" s="25"/>
      <c r="K96" s="25"/>
      <c r="L96" s="25"/>
      <c r="M96" s="25"/>
      <c r="N96" s="34"/>
      <c r="O96" s="25"/>
      <c r="P96" s="53">
        <v>73</v>
      </c>
      <c r="Q96" s="25"/>
      <c r="R96" s="5"/>
    </row>
    <row r="97" spans="1:19" ht="15.6" x14ac:dyDescent="0.3">
      <c r="A97" s="24"/>
      <c r="B97" s="25" t="s">
        <v>35</v>
      </c>
      <c r="C97" s="25"/>
      <c r="D97" s="25"/>
      <c r="E97" s="25"/>
      <c r="F97" s="25"/>
      <c r="G97" s="25"/>
      <c r="H97" s="25"/>
      <c r="I97" s="25"/>
      <c r="J97" s="25"/>
      <c r="K97" s="25"/>
      <c r="L97" s="25"/>
      <c r="M97" s="25"/>
      <c r="N97" s="34">
        <f>SUM(N90:N96)</f>
        <v>27285</v>
      </c>
      <c r="O97" s="25"/>
      <c r="P97" s="54">
        <f>SUM(P90:P96)</f>
        <v>12041</v>
      </c>
      <c r="Q97" s="25"/>
      <c r="R97" s="5"/>
    </row>
    <row r="98" spans="1:19" ht="15.6" x14ac:dyDescent="0.3">
      <c r="A98" s="24"/>
      <c r="B98" s="25" t="s">
        <v>237</v>
      </c>
      <c r="C98" s="25"/>
      <c r="D98" s="25"/>
      <c r="E98" s="25"/>
      <c r="F98" s="25"/>
      <c r="G98" s="25"/>
      <c r="H98" s="25"/>
      <c r="I98" s="25"/>
      <c r="J98" s="25"/>
      <c r="K98" s="25"/>
      <c r="L98" s="25"/>
      <c r="M98" s="25"/>
      <c r="N98" s="34">
        <v>-9</v>
      </c>
      <c r="O98" s="25"/>
      <c r="P98" s="54">
        <f>-N98</f>
        <v>9</v>
      </c>
      <c r="Q98" s="25"/>
      <c r="R98" s="5"/>
    </row>
    <row r="99" spans="1:19" ht="15.6" x14ac:dyDescent="0.3">
      <c r="A99" s="24"/>
      <c r="B99" s="25" t="s">
        <v>36</v>
      </c>
      <c r="C99" s="25"/>
      <c r="D99" s="25"/>
      <c r="E99" s="25"/>
      <c r="F99" s="25"/>
      <c r="G99" s="25"/>
      <c r="H99" s="25"/>
      <c r="I99" s="25"/>
      <c r="J99" s="25"/>
      <c r="K99" s="25"/>
      <c r="L99" s="25"/>
      <c r="M99" s="25"/>
      <c r="N99" s="34">
        <f>-P99</f>
        <v>0</v>
      </c>
      <c r="O99" s="25"/>
      <c r="P99" s="53">
        <v>0</v>
      </c>
      <c r="Q99" s="25"/>
      <c r="R99" s="5"/>
    </row>
    <row r="100" spans="1:19" ht="15.6" x14ac:dyDescent="0.3">
      <c r="A100" s="24"/>
      <c r="B100" s="25" t="s">
        <v>37</v>
      </c>
      <c r="C100" s="25"/>
      <c r="D100" s="25"/>
      <c r="E100" s="25"/>
      <c r="F100" s="25"/>
      <c r="G100" s="25"/>
      <c r="H100" s="25"/>
      <c r="I100" s="25"/>
      <c r="J100" s="25"/>
      <c r="K100" s="25"/>
      <c r="L100" s="25"/>
      <c r="M100" s="25"/>
      <c r="N100" s="34">
        <f>N97+N99+N98</f>
        <v>27276</v>
      </c>
      <c r="O100" s="25"/>
      <c r="P100" s="54">
        <f>P97+P99+P98</f>
        <v>12050</v>
      </c>
      <c r="Q100" s="25"/>
      <c r="R100" s="5"/>
      <c r="S100" s="154"/>
    </row>
    <row r="101" spans="1:19" ht="15.6" x14ac:dyDescent="0.3">
      <c r="A101" s="24"/>
      <c r="B101" s="118" t="s">
        <v>38</v>
      </c>
      <c r="C101" s="25"/>
      <c r="D101" s="25"/>
      <c r="E101" s="25"/>
      <c r="F101" s="25"/>
      <c r="G101" s="25"/>
      <c r="H101" s="25"/>
      <c r="I101" s="25"/>
      <c r="J101" s="25"/>
      <c r="K101" s="25"/>
      <c r="L101" s="25"/>
      <c r="M101" s="25"/>
      <c r="N101" s="34"/>
      <c r="O101" s="25"/>
      <c r="P101" s="53"/>
      <c r="Q101" s="25"/>
      <c r="R101" s="5"/>
    </row>
    <row r="102" spans="1:19" ht="15.6" x14ac:dyDescent="0.3">
      <c r="A102" s="24">
        <v>1</v>
      </c>
      <c r="B102" s="25" t="s">
        <v>39</v>
      </c>
      <c r="C102" s="25"/>
      <c r="D102" s="25"/>
      <c r="E102" s="25"/>
      <c r="F102" s="25"/>
      <c r="G102" s="25"/>
      <c r="H102" s="25"/>
      <c r="I102" s="25"/>
      <c r="J102" s="25"/>
      <c r="K102" s="25"/>
      <c r="L102" s="25"/>
      <c r="M102" s="25"/>
      <c r="N102" s="25"/>
      <c r="O102" s="25"/>
      <c r="P102" s="53">
        <v>0</v>
      </c>
      <c r="Q102" s="25"/>
      <c r="R102" s="5"/>
    </row>
    <row r="103" spans="1:19" ht="15.6" x14ac:dyDescent="0.3">
      <c r="A103" s="24">
        <f>+A102+1</f>
        <v>2</v>
      </c>
      <c r="B103" s="25" t="s">
        <v>40</v>
      </c>
      <c r="C103" s="25"/>
      <c r="D103" s="25"/>
      <c r="E103" s="25"/>
      <c r="F103" s="25"/>
      <c r="G103" s="25"/>
      <c r="H103" s="25"/>
      <c r="I103" s="25"/>
      <c r="J103" s="25"/>
      <c r="K103" s="25"/>
      <c r="L103" s="25"/>
      <c r="M103" s="25"/>
      <c r="N103" s="25"/>
      <c r="O103" s="25"/>
      <c r="P103" s="53">
        <v>-2</v>
      </c>
      <c r="Q103" s="25"/>
      <c r="R103" s="5"/>
    </row>
    <row r="104" spans="1:19" ht="15.6" x14ac:dyDescent="0.3">
      <c r="A104" s="24">
        <f>+A103+1</f>
        <v>3</v>
      </c>
      <c r="B104" s="25" t="s">
        <v>226</v>
      </c>
      <c r="C104" s="25"/>
      <c r="D104" s="25"/>
      <c r="E104" s="25"/>
      <c r="F104" s="25"/>
      <c r="G104" s="25"/>
      <c r="H104" s="25"/>
      <c r="I104" s="25"/>
      <c r="J104" s="25"/>
      <c r="K104" s="25"/>
      <c r="L104" s="25"/>
      <c r="M104" s="25"/>
      <c r="N104" s="25"/>
      <c r="O104" s="25"/>
      <c r="P104" s="53">
        <f>-179-49-13</f>
        <v>-241</v>
      </c>
      <c r="Q104" s="25"/>
      <c r="R104" s="5"/>
    </row>
    <row r="105" spans="1:19" ht="15.6" x14ac:dyDescent="0.3">
      <c r="A105" s="24" t="s">
        <v>151</v>
      </c>
      <c r="B105" s="25" t="s">
        <v>131</v>
      </c>
      <c r="C105" s="25"/>
      <c r="D105" s="25"/>
      <c r="E105" s="25"/>
      <c r="F105" s="25"/>
      <c r="G105" s="25"/>
      <c r="H105" s="25"/>
      <c r="I105" s="25"/>
      <c r="J105" s="25"/>
      <c r="K105" s="25"/>
      <c r="L105" s="25"/>
      <c r="M105" s="25"/>
      <c r="N105" s="25"/>
      <c r="O105" s="25"/>
      <c r="P105" s="53">
        <v>-125</v>
      </c>
      <c r="Q105" s="25"/>
      <c r="R105" s="5"/>
    </row>
    <row r="106" spans="1:19" ht="15.6" x14ac:dyDescent="0.3">
      <c r="A106" s="24" t="s">
        <v>152</v>
      </c>
      <c r="B106" s="25" t="s">
        <v>195</v>
      </c>
      <c r="C106" s="25"/>
      <c r="D106" s="25"/>
      <c r="E106" s="25"/>
      <c r="F106" s="25"/>
      <c r="G106" s="25"/>
      <c r="H106" s="25"/>
      <c r="I106" s="25"/>
      <c r="J106" s="25"/>
      <c r="K106" s="25"/>
      <c r="L106" s="25"/>
      <c r="M106" s="25"/>
      <c r="N106" s="25"/>
      <c r="O106" s="25"/>
      <c r="P106" s="53">
        <v>-2469</v>
      </c>
      <c r="Q106" s="25"/>
      <c r="R106" s="5"/>
      <c r="S106" s="109"/>
    </row>
    <row r="107" spans="1:19" ht="15.6" x14ac:dyDescent="0.3">
      <c r="A107" s="24" t="s">
        <v>217</v>
      </c>
      <c r="B107" s="25" t="s">
        <v>196</v>
      </c>
      <c r="C107" s="25"/>
      <c r="D107" s="25"/>
      <c r="E107" s="25"/>
      <c r="F107" s="25"/>
      <c r="G107" s="25"/>
      <c r="H107" s="25"/>
      <c r="I107" s="25"/>
      <c r="J107" s="25"/>
      <c r="K107" s="25"/>
      <c r="L107" s="25"/>
      <c r="M107" s="25"/>
      <c r="N107" s="25"/>
      <c r="O107" s="25"/>
      <c r="P107" s="53">
        <v>-2106</v>
      </c>
      <c r="Q107" s="25"/>
      <c r="R107" s="5"/>
      <c r="S107" s="109"/>
    </row>
    <row r="108" spans="1:19" ht="15.6" x14ac:dyDescent="0.3">
      <c r="A108" s="24" t="s">
        <v>218</v>
      </c>
      <c r="B108" s="25" t="s">
        <v>197</v>
      </c>
      <c r="C108" s="25"/>
      <c r="D108" s="25"/>
      <c r="E108" s="25"/>
      <c r="F108" s="25"/>
      <c r="G108" s="25"/>
      <c r="H108" s="25"/>
      <c r="I108" s="25"/>
      <c r="J108" s="25"/>
      <c r="K108" s="25"/>
      <c r="L108" s="25"/>
      <c r="M108" s="25"/>
      <c r="N108" s="25"/>
      <c r="O108" s="25"/>
      <c r="P108" s="53">
        <v>-3286</v>
      </c>
      <c r="Q108" s="25"/>
      <c r="R108" s="5"/>
      <c r="S108" s="109"/>
    </row>
    <row r="109" spans="1:19" ht="15.6" x14ac:dyDescent="0.3">
      <c r="A109" s="24" t="s">
        <v>147</v>
      </c>
      <c r="B109" s="25" t="s">
        <v>146</v>
      </c>
      <c r="C109" s="25"/>
      <c r="D109" s="25"/>
      <c r="E109" s="25"/>
      <c r="F109" s="25"/>
      <c r="G109" s="25"/>
      <c r="H109" s="25"/>
      <c r="I109" s="25"/>
      <c r="J109" s="25"/>
      <c r="K109" s="25"/>
      <c r="L109" s="25"/>
      <c r="M109" s="25"/>
      <c r="N109" s="25"/>
      <c r="O109" s="25"/>
      <c r="P109" s="53">
        <v>-658</v>
      </c>
      <c r="Q109" s="25"/>
      <c r="R109" s="5"/>
      <c r="S109" s="109"/>
    </row>
    <row r="110" spans="1:19" ht="15.6" x14ac:dyDescent="0.3">
      <c r="A110" s="24" t="s">
        <v>148</v>
      </c>
      <c r="B110" s="25" t="s">
        <v>198</v>
      </c>
      <c r="C110" s="25"/>
      <c r="D110" s="25"/>
      <c r="E110" s="25"/>
      <c r="F110" s="25"/>
      <c r="G110" s="25"/>
      <c r="H110" s="25"/>
      <c r="I110" s="25"/>
      <c r="J110" s="25"/>
      <c r="K110" s="25"/>
      <c r="L110" s="25"/>
      <c r="M110" s="25"/>
      <c r="N110" s="25"/>
      <c r="O110" s="25"/>
      <c r="P110" s="53">
        <v>-622</v>
      </c>
      <c r="Q110" s="25"/>
      <c r="R110" s="5"/>
      <c r="S110" s="109"/>
    </row>
    <row r="111" spans="1:19" ht="15.6" x14ac:dyDescent="0.3">
      <c r="A111" s="24">
        <v>6</v>
      </c>
      <c r="B111" s="25" t="s">
        <v>41</v>
      </c>
      <c r="C111" s="25"/>
      <c r="D111" s="25"/>
      <c r="E111" s="25"/>
      <c r="F111" s="25"/>
      <c r="G111" s="25"/>
      <c r="H111" s="25"/>
      <c r="I111" s="25"/>
      <c r="J111" s="25"/>
      <c r="K111" s="25"/>
      <c r="L111" s="25"/>
      <c r="M111" s="25"/>
      <c r="N111" s="25"/>
      <c r="O111" s="25"/>
      <c r="P111" s="53">
        <v>-10</v>
      </c>
      <c r="Q111" s="25"/>
      <c r="R111" s="5"/>
    </row>
    <row r="112" spans="1:19" ht="15.6" x14ac:dyDescent="0.3">
      <c r="A112" s="24">
        <f t="shared" ref="A112:A117" si="0">+A111+1</f>
        <v>7</v>
      </c>
      <c r="B112" s="25" t="s">
        <v>53</v>
      </c>
      <c r="C112" s="25"/>
      <c r="D112" s="25"/>
      <c r="E112" s="25"/>
      <c r="F112" s="25"/>
      <c r="G112" s="25"/>
      <c r="H112" s="25"/>
      <c r="I112" s="25"/>
      <c r="J112" s="25"/>
      <c r="K112" s="25"/>
      <c r="L112" s="25"/>
      <c r="M112" s="25"/>
      <c r="N112" s="25"/>
      <c r="O112" s="25"/>
      <c r="P112" s="53">
        <v>0</v>
      </c>
      <c r="Q112" s="25"/>
      <c r="R112" s="5"/>
    </row>
    <row r="113" spans="1:18" ht="15.6" x14ac:dyDescent="0.3">
      <c r="A113" s="24">
        <f t="shared" si="0"/>
        <v>8</v>
      </c>
      <c r="B113" s="25" t="s">
        <v>149</v>
      </c>
      <c r="C113" s="25"/>
      <c r="D113" s="25"/>
      <c r="E113" s="25"/>
      <c r="F113" s="25"/>
      <c r="G113" s="25"/>
      <c r="H113" s="25"/>
      <c r="I113" s="25"/>
      <c r="J113" s="25"/>
      <c r="K113" s="25"/>
      <c r="L113" s="25"/>
      <c r="M113" s="25"/>
      <c r="N113" s="25"/>
      <c r="O113" s="25"/>
      <c r="P113" s="53">
        <v>0</v>
      </c>
      <c r="Q113" s="25"/>
      <c r="R113" s="5"/>
    </row>
    <row r="114" spans="1:18" ht="15.6" x14ac:dyDescent="0.3">
      <c r="A114" s="24">
        <f t="shared" si="0"/>
        <v>9</v>
      </c>
      <c r="B114" s="25" t="s">
        <v>42</v>
      </c>
      <c r="C114" s="25"/>
      <c r="D114" s="25"/>
      <c r="E114" s="25"/>
      <c r="F114" s="25"/>
      <c r="G114" s="25"/>
      <c r="H114" s="25"/>
      <c r="I114" s="25"/>
      <c r="J114" s="25"/>
      <c r="K114" s="25"/>
      <c r="L114" s="25"/>
      <c r="M114" s="25"/>
      <c r="N114" s="25"/>
      <c r="O114" s="25"/>
      <c r="P114" s="53">
        <v>0</v>
      </c>
      <c r="Q114" s="25"/>
      <c r="R114" s="5"/>
    </row>
    <row r="115" spans="1:18" ht="15.6" x14ac:dyDescent="0.3">
      <c r="A115" s="24">
        <f t="shared" si="0"/>
        <v>10</v>
      </c>
      <c r="B115" s="25" t="s">
        <v>43</v>
      </c>
      <c r="C115" s="25"/>
      <c r="D115" s="25"/>
      <c r="E115" s="25"/>
      <c r="F115" s="25"/>
      <c r="G115" s="25"/>
      <c r="H115" s="25"/>
      <c r="I115" s="25"/>
      <c r="J115" s="25"/>
      <c r="K115" s="25"/>
      <c r="L115" s="25"/>
      <c r="M115" s="25"/>
      <c r="N115" s="25"/>
      <c r="O115" s="25"/>
      <c r="P115" s="53">
        <v>0</v>
      </c>
      <c r="Q115" s="25"/>
      <c r="R115" s="5"/>
    </row>
    <row r="116" spans="1:18" ht="15.6" x14ac:dyDescent="0.3">
      <c r="A116" s="24">
        <f t="shared" si="0"/>
        <v>11</v>
      </c>
      <c r="B116" s="25" t="s">
        <v>215</v>
      </c>
      <c r="C116" s="25"/>
      <c r="D116" s="25"/>
      <c r="E116" s="25"/>
      <c r="F116" s="25"/>
      <c r="G116" s="25"/>
      <c r="H116" s="25"/>
      <c r="I116" s="25"/>
      <c r="J116" s="25"/>
      <c r="K116" s="25"/>
      <c r="L116" s="25"/>
      <c r="M116" s="25"/>
      <c r="N116" s="25"/>
      <c r="O116" s="25"/>
      <c r="P116" s="53">
        <v>-363</v>
      </c>
      <c r="Q116" s="25"/>
      <c r="R116" s="5"/>
    </row>
    <row r="117" spans="1:18" ht="15.6" x14ac:dyDescent="0.3">
      <c r="A117" s="24">
        <f t="shared" si="0"/>
        <v>12</v>
      </c>
      <c r="B117" s="25" t="s">
        <v>150</v>
      </c>
      <c r="C117" s="25"/>
      <c r="D117" s="25"/>
      <c r="E117" s="25"/>
      <c r="F117" s="25"/>
      <c r="G117" s="25"/>
      <c r="H117" s="25"/>
      <c r="I117" s="25"/>
      <c r="J117" s="25"/>
      <c r="K117" s="25"/>
      <c r="L117" s="25"/>
      <c r="M117" s="25"/>
      <c r="N117" s="25"/>
      <c r="O117" s="25"/>
      <c r="P117" s="53">
        <f>-P100-SUM(P102:P116)</f>
        <v>-2168</v>
      </c>
      <c r="Q117" s="25"/>
      <c r="R117" s="5"/>
    </row>
    <row r="118" spans="1:18" ht="15.6" x14ac:dyDescent="0.3">
      <c r="A118" s="24"/>
      <c r="B118" s="118" t="s">
        <v>44</v>
      </c>
      <c r="C118" s="25"/>
      <c r="D118" s="25"/>
      <c r="E118" s="25"/>
      <c r="F118" s="25"/>
      <c r="G118" s="25"/>
      <c r="H118" s="25"/>
      <c r="I118" s="25"/>
      <c r="J118" s="25"/>
      <c r="K118" s="25"/>
      <c r="L118" s="25"/>
      <c r="M118" s="25"/>
      <c r="N118" s="25"/>
      <c r="O118" s="25"/>
      <c r="P118" s="59"/>
      <c r="Q118" s="25"/>
      <c r="R118" s="5"/>
    </row>
    <row r="119" spans="1:18" ht="15.6" x14ac:dyDescent="0.3">
      <c r="A119" s="24"/>
      <c r="B119" s="25" t="s">
        <v>45</v>
      </c>
      <c r="C119" s="25"/>
      <c r="D119" s="25"/>
      <c r="E119" s="25"/>
      <c r="F119" s="25"/>
      <c r="G119" s="25"/>
      <c r="H119" s="25"/>
      <c r="I119" s="25"/>
      <c r="J119" s="25"/>
      <c r="K119" s="25"/>
      <c r="L119" s="25"/>
      <c r="M119" s="25"/>
      <c r="N119" s="34">
        <v>-188</v>
      </c>
      <c r="O119" s="34"/>
      <c r="P119" s="53"/>
      <c r="Q119" s="25"/>
      <c r="R119" s="5"/>
    </row>
    <row r="120" spans="1:18" ht="15.6" x14ac:dyDescent="0.3">
      <c r="A120" s="24"/>
      <c r="B120" s="25" t="s">
        <v>46</v>
      </c>
      <c r="C120" s="25"/>
      <c r="D120" s="25"/>
      <c r="E120" s="25"/>
      <c r="F120" s="25"/>
      <c r="G120" s="25"/>
      <c r="H120" s="25"/>
      <c r="I120" s="25"/>
      <c r="J120" s="25"/>
      <c r="K120" s="25"/>
      <c r="L120" s="25"/>
      <c r="M120" s="25"/>
      <c r="N120" s="34">
        <f>-M167</f>
        <v>-4054</v>
      </c>
      <c r="O120" s="34"/>
      <c r="P120" s="53"/>
      <c r="Q120" s="25"/>
      <c r="R120" s="5"/>
    </row>
    <row r="121" spans="1:18" ht="15.6" x14ac:dyDescent="0.3">
      <c r="A121" s="24"/>
      <c r="B121" s="25" t="s">
        <v>199</v>
      </c>
      <c r="C121" s="25"/>
      <c r="D121" s="25"/>
      <c r="E121" s="25"/>
      <c r="F121" s="25"/>
      <c r="G121" s="25"/>
      <c r="H121" s="25"/>
      <c r="I121" s="25"/>
      <c r="J121" s="25"/>
      <c r="K121" s="25"/>
      <c r="L121" s="25"/>
      <c r="M121" s="25"/>
      <c r="N121" s="34">
        <v>-7189</v>
      </c>
      <c r="O121" s="34"/>
      <c r="P121" s="53"/>
      <c r="Q121" s="25"/>
      <c r="R121" s="5"/>
    </row>
    <row r="122" spans="1:18" ht="15.6" x14ac:dyDescent="0.3">
      <c r="A122" s="24"/>
      <c r="B122" s="25" t="s">
        <v>200</v>
      </c>
      <c r="C122" s="25"/>
      <c r="D122" s="25"/>
      <c r="E122" s="25"/>
      <c r="F122" s="25"/>
      <c r="G122" s="25"/>
      <c r="H122" s="25"/>
      <c r="I122" s="25"/>
      <c r="J122" s="25"/>
      <c r="K122" s="25"/>
      <c r="L122" s="25"/>
      <c r="M122" s="25"/>
      <c r="N122" s="34">
        <v>-6254</v>
      </c>
      <c r="O122" s="34"/>
      <c r="P122" s="53"/>
      <c r="Q122" s="25"/>
      <c r="R122" s="5"/>
    </row>
    <row r="123" spans="1:18" ht="15.6" x14ac:dyDescent="0.3">
      <c r="A123" s="24"/>
      <c r="B123" s="25" t="s">
        <v>201</v>
      </c>
      <c r="C123" s="25"/>
      <c r="D123" s="25"/>
      <c r="E123" s="25"/>
      <c r="F123" s="25"/>
      <c r="G123" s="25"/>
      <c r="H123" s="25"/>
      <c r="I123" s="25"/>
      <c r="J123" s="25"/>
      <c r="K123" s="25"/>
      <c r="L123" s="25"/>
      <c r="M123" s="25"/>
      <c r="N123" s="34">
        <v>-9591</v>
      </c>
      <c r="O123" s="34"/>
      <c r="P123" s="53"/>
      <c r="Q123" s="25"/>
      <c r="R123" s="5"/>
    </row>
    <row r="124" spans="1:18" ht="15.6" x14ac:dyDescent="0.3">
      <c r="A124" s="24"/>
      <c r="B124" s="25" t="s">
        <v>159</v>
      </c>
      <c r="C124" s="25"/>
      <c r="D124" s="25"/>
      <c r="E124" s="25"/>
      <c r="F124" s="25"/>
      <c r="G124" s="25"/>
      <c r="H124" s="25"/>
      <c r="I124" s="25"/>
      <c r="J124" s="25"/>
      <c r="K124" s="25"/>
      <c r="L124" s="25"/>
      <c r="M124" s="25"/>
      <c r="N124" s="34">
        <v>0</v>
      </c>
      <c r="O124" s="34"/>
      <c r="P124" s="53"/>
      <c r="Q124" s="25"/>
      <c r="R124" s="5"/>
    </row>
    <row r="125" spans="1:18" ht="15.6" x14ac:dyDescent="0.3">
      <c r="A125" s="24"/>
      <c r="B125" s="25" t="s">
        <v>214</v>
      </c>
      <c r="C125" s="25"/>
      <c r="D125" s="25"/>
      <c r="E125" s="25"/>
      <c r="F125" s="25"/>
      <c r="G125" s="25"/>
      <c r="H125" s="25"/>
      <c r="I125" s="25"/>
      <c r="J125" s="25"/>
      <c r="K125" s="25"/>
      <c r="L125" s="25"/>
      <c r="M125" s="25"/>
      <c r="N125" s="34">
        <v>0</v>
      </c>
      <c r="O125" s="34"/>
      <c r="P125" s="53"/>
      <c r="Q125" s="25"/>
      <c r="R125" s="5"/>
    </row>
    <row r="126" spans="1:18" ht="15.6" x14ac:dyDescent="0.3">
      <c r="A126" s="24"/>
      <c r="B126" s="25" t="s">
        <v>47</v>
      </c>
      <c r="C126" s="25"/>
      <c r="D126" s="25"/>
      <c r="E126" s="25"/>
      <c r="F126" s="25"/>
      <c r="G126" s="25"/>
      <c r="H126" s="25"/>
      <c r="I126" s="25"/>
      <c r="J126" s="25"/>
      <c r="K126" s="25"/>
      <c r="L126" s="25"/>
      <c r="M126" s="25"/>
      <c r="N126" s="34">
        <f>SUM(N119:N125)</f>
        <v>-27276</v>
      </c>
      <c r="O126" s="34"/>
      <c r="P126" s="34">
        <f>SUM(P101:P125)</f>
        <v>-12050</v>
      </c>
      <c r="Q126" s="25"/>
      <c r="R126" s="5"/>
    </row>
    <row r="127" spans="1:18" ht="15.6" x14ac:dyDescent="0.3">
      <c r="A127" s="24"/>
      <c r="B127" s="25" t="s">
        <v>48</v>
      </c>
      <c r="C127" s="25"/>
      <c r="D127" s="25"/>
      <c r="E127" s="25"/>
      <c r="F127" s="25"/>
      <c r="G127" s="25"/>
      <c r="H127" s="25"/>
      <c r="I127" s="25"/>
      <c r="J127" s="25"/>
      <c r="K127" s="25"/>
      <c r="L127" s="25"/>
      <c r="M127" s="25"/>
      <c r="N127" s="34">
        <f>N100+N126</f>
        <v>0</v>
      </c>
      <c r="O127" s="34"/>
      <c r="P127" s="34">
        <f>P100+P126</f>
        <v>0</v>
      </c>
      <c r="Q127" s="25"/>
      <c r="R127" s="5"/>
    </row>
    <row r="128" spans="1:18" ht="15.6" x14ac:dyDescent="0.3">
      <c r="A128" s="24"/>
      <c r="B128" s="25"/>
      <c r="C128" s="25"/>
      <c r="D128" s="25"/>
      <c r="E128" s="25"/>
      <c r="F128" s="25"/>
      <c r="G128" s="25"/>
      <c r="H128" s="25"/>
      <c r="I128" s="25"/>
      <c r="J128" s="25"/>
      <c r="K128" s="25"/>
      <c r="L128" s="25"/>
      <c r="M128" s="25"/>
      <c r="N128" s="34"/>
      <c r="O128" s="34"/>
      <c r="P128" s="34"/>
      <c r="Q128" s="25"/>
      <c r="R128" s="5"/>
    </row>
    <row r="129" spans="1:19" ht="15.6" x14ac:dyDescent="0.3">
      <c r="A129" s="6"/>
      <c r="B129" s="146"/>
      <c r="C129" s="146"/>
      <c r="D129" s="146"/>
      <c r="E129" s="146"/>
      <c r="F129" s="146"/>
      <c r="G129" s="146"/>
      <c r="H129" s="146"/>
      <c r="I129" s="146"/>
      <c r="J129" s="146"/>
      <c r="K129" s="146"/>
      <c r="L129" s="146"/>
      <c r="M129" s="146"/>
      <c r="N129" s="147"/>
      <c r="O129" s="147"/>
      <c r="P129" s="147"/>
      <c r="Q129" s="146"/>
      <c r="R129" s="5"/>
    </row>
    <row r="130" spans="1:19" ht="18" thickBot="1" x14ac:dyDescent="0.35">
      <c r="A130" s="101"/>
      <c r="B130" s="102" t="str">
        <f>B65</f>
        <v>PM7 INVESTOR REPORT QUARTER ENDING JULY 2006</v>
      </c>
      <c r="C130" s="103"/>
      <c r="D130" s="103"/>
      <c r="E130" s="103"/>
      <c r="F130" s="103"/>
      <c r="G130" s="103"/>
      <c r="H130" s="103"/>
      <c r="I130" s="103"/>
      <c r="J130" s="103"/>
      <c r="K130" s="103"/>
      <c r="L130" s="103"/>
      <c r="M130" s="103"/>
      <c r="N130" s="103"/>
      <c r="O130" s="103"/>
      <c r="P130" s="106"/>
      <c r="Q130" s="105"/>
      <c r="R130" s="5"/>
    </row>
    <row r="131" spans="1:19" ht="15.6" x14ac:dyDescent="0.3">
      <c r="A131" s="2"/>
      <c r="B131" s="60" t="s">
        <v>49</v>
      </c>
      <c r="C131" s="4"/>
      <c r="D131" s="4"/>
      <c r="E131" s="4"/>
      <c r="F131" s="4"/>
      <c r="G131" s="4"/>
      <c r="H131" s="4"/>
      <c r="I131" s="4"/>
      <c r="J131" s="4"/>
      <c r="K131" s="4"/>
      <c r="L131" s="4"/>
      <c r="M131" s="4"/>
      <c r="N131" s="4"/>
      <c r="O131" s="4"/>
      <c r="P131" s="50"/>
      <c r="Q131" s="4"/>
      <c r="R131" s="5"/>
    </row>
    <row r="132" spans="1:19" ht="15.6" x14ac:dyDescent="0.3">
      <c r="A132" s="6"/>
      <c r="B132" s="21"/>
      <c r="C132" s="8"/>
      <c r="D132" s="8"/>
      <c r="E132" s="8"/>
      <c r="F132" s="8"/>
      <c r="G132" s="8"/>
      <c r="H132" s="8"/>
      <c r="I132" s="8"/>
      <c r="J132" s="8"/>
      <c r="K132" s="8"/>
      <c r="L132" s="8"/>
      <c r="M132" s="8"/>
      <c r="N132" s="8"/>
      <c r="O132" s="8"/>
      <c r="P132" s="52"/>
      <c r="Q132" s="8"/>
      <c r="R132" s="5"/>
    </row>
    <row r="133" spans="1:19" ht="15.6" x14ac:dyDescent="0.3">
      <c r="A133" s="6"/>
      <c r="B133" s="119" t="s">
        <v>50</v>
      </c>
      <c r="C133" s="8"/>
      <c r="D133" s="8"/>
      <c r="E133" s="8"/>
      <c r="F133" s="8"/>
      <c r="G133" s="8"/>
      <c r="H133" s="8"/>
      <c r="I133" s="8"/>
      <c r="J133" s="8"/>
      <c r="K133" s="8"/>
      <c r="L133" s="8"/>
      <c r="M133" s="8"/>
      <c r="N133" s="8"/>
      <c r="O133" s="8"/>
      <c r="P133" s="52"/>
      <c r="Q133" s="8"/>
      <c r="R133" s="5"/>
    </row>
    <row r="134" spans="1:19" ht="15.6" x14ac:dyDescent="0.3">
      <c r="A134" s="24"/>
      <c r="B134" s="25" t="s">
        <v>51</v>
      </c>
      <c r="C134" s="25"/>
      <c r="D134" s="25"/>
      <c r="E134" s="25"/>
      <c r="F134" s="25"/>
      <c r="G134" s="25"/>
      <c r="H134" s="25"/>
      <c r="I134" s="25"/>
      <c r="J134" s="25"/>
      <c r="K134" s="25"/>
      <c r="L134" s="25"/>
      <c r="M134" s="25"/>
      <c r="N134" s="25"/>
      <c r="O134" s="25"/>
      <c r="P134" s="53">
        <f>+P36*0.022</f>
        <v>19815.399999999998</v>
      </c>
      <c r="Q134" s="25"/>
      <c r="R134" s="5"/>
    </row>
    <row r="135" spans="1:19" ht="15.6" x14ac:dyDescent="0.3">
      <c r="A135" s="24"/>
      <c r="B135" s="25" t="s">
        <v>52</v>
      </c>
      <c r="C135" s="25"/>
      <c r="D135" s="25"/>
      <c r="E135" s="25"/>
      <c r="F135" s="25"/>
      <c r="G135" s="25"/>
      <c r="H135" s="25"/>
      <c r="I135" s="25"/>
      <c r="J135" s="25"/>
      <c r="K135" s="25"/>
      <c r="L135" s="25"/>
      <c r="M135" s="25"/>
      <c r="N135" s="25"/>
      <c r="O135" s="25"/>
      <c r="P135" s="53">
        <v>19815</v>
      </c>
      <c r="Q135" s="25"/>
      <c r="R135" s="5"/>
    </row>
    <row r="136" spans="1:19" ht="15.6" x14ac:dyDescent="0.3">
      <c r="A136" s="24"/>
      <c r="B136" s="25" t="s">
        <v>161</v>
      </c>
      <c r="C136" s="25"/>
      <c r="D136" s="25"/>
      <c r="E136" s="25"/>
      <c r="F136" s="25"/>
      <c r="G136" s="25"/>
      <c r="H136" s="25"/>
      <c r="I136" s="25"/>
      <c r="J136" s="25"/>
      <c r="K136" s="25"/>
      <c r="L136" s="25"/>
      <c r="M136" s="25"/>
      <c r="N136" s="25"/>
      <c r="O136" s="25"/>
      <c r="P136" s="53">
        <v>0</v>
      </c>
      <c r="Q136" s="25"/>
      <c r="R136" s="5"/>
    </row>
    <row r="137" spans="1:19" ht="15.6" x14ac:dyDescent="0.3">
      <c r="A137" s="24"/>
      <c r="B137" s="25" t="s">
        <v>144</v>
      </c>
      <c r="C137" s="25"/>
      <c r="D137" s="25"/>
      <c r="E137" s="25"/>
      <c r="F137" s="25"/>
      <c r="G137" s="25"/>
      <c r="H137" s="25"/>
      <c r="I137" s="25"/>
      <c r="J137" s="25"/>
      <c r="K137" s="25"/>
      <c r="L137" s="25"/>
      <c r="M137" s="25"/>
      <c r="N137" s="25"/>
      <c r="O137" s="25"/>
      <c r="P137" s="53">
        <v>0</v>
      </c>
      <c r="Q137" s="25"/>
      <c r="R137" s="5"/>
    </row>
    <row r="138" spans="1:19" ht="15.6" x14ac:dyDescent="0.3">
      <c r="A138" s="24"/>
      <c r="B138" s="25" t="s">
        <v>145</v>
      </c>
      <c r="C138" s="25"/>
      <c r="D138" s="25"/>
      <c r="E138" s="25"/>
      <c r="F138" s="25"/>
      <c r="G138" s="25"/>
      <c r="H138" s="25"/>
      <c r="I138" s="25"/>
      <c r="J138" s="25"/>
      <c r="K138" s="25"/>
      <c r="L138" s="25"/>
      <c r="M138" s="25"/>
      <c r="N138" s="25"/>
      <c r="O138" s="25"/>
      <c r="P138" s="53">
        <v>0</v>
      </c>
      <c r="Q138" s="25"/>
      <c r="R138" s="5"/>
    </row>
    <row r="139" spans="1:19" ht="15.6" x14ac:dyDescent="0.3">
      <c r="A139" s="24"/>
      <c r="B139" s="25" t="s">
        <v>53</v>
      </c>
      <c r="C139" s="25"/>
      <c r="D139" s="25"/>
      <c r="E139" s="25"/>
      <c r="F139" s="25"/>
      <c r="G139" s="25"/>
      <c r="H139" s="25"/>
      <c r="I139" s="25"/>
      <c r="J139" s="25"/>
      <c r="K139" s="25"/>
      <c r="L139" s="25"/>
      <c r="M139" s="25"/>
      <c r="N139" s="25"/>
      <c r="O139" s="25"/>
      <c r="P139" s="53">
        <v>0</v>
      </c>
      <c r="Q139" s="25"/>
      <c r="R139" s="5"/>
    </row>
    <row r="140" spans="1:19" ht="15.6" x14ac:dyDescent="0.3">
      <c r="A140" s="24"/>
      <c r="B140" s="25" t="s">
        <v>153</v>
      </c>
      <c r="C140" s="25"/>
      <c r="D140" s="25"/>
      <c r="E140" s="25"/>
      <c r="F140" s="25"/>
      <c r="G140" s="25"/>
      <c r="H140" s="25"/>
      <c r="I140" s="25"/>
      <c r="J140" s="25"/>
      <c r="K140" s="25"/>
      <c r="L140" s="25"/>
      <c r="M140" s="25"/>
      <c r="N140" s="25"/>
      <c r="O140" s="25"/>
      <c r="P140" s="53">
        <v>0</v>
      </c>
      <c r="Q140" s="25"/>
      <c r="R140" s="5"/>
    </row>
    <row r="141" spans="1:19" ht="15.6" x14ac:dyDescent="0.3">
      <c r="A141" s="24"/>
      <c r="B141" s="25" t="s">
        <v>202</v>
      </c>
      <c r="C141" s="25"/>
      <c r="D141" s="25"/>
      <c r="E141" s="25"/>
      <c r="F141" s="25"/>
      <c r="G141" s="25"/>
      <c r="H141" s="25"/>
      <c r="I141" s="25"/>
      <c r="J141" s="25"/>
      <c r="K141" s="25"/>
      <c r="L141" s="25"/>
      <c r="M141" s="25"/>
      <c r="N141" s="25"/>
      <c r="O141" s="25"/>
      <c r="P141" s="53">
        <v>0</v>
      </c>
      <c r="Q141" s="25"/>
      <c r="R141" s="5"/>
      <c r="S141" s="109"/>
    </row>
    <row r="142" spans="1:19" ht="15.6" x14ac:dyDescent="0.3">
      <c r="A142" s="24"/>
      <c r="B142" s="25" t="s">
        <v>54</v>
      </c>
      <c r="C142" s="25"/>
      <c r="D142" s="25"/>
      <c r="E142" s="25"/>
      <c r="F142" s="25"/>
      <c r="G142" s="25"/>
      <c r="H142" s="25"/>
      <c r="I142" s="25"/>
      <c r="J142" s="25"/>
      <c r="K142" s="25"/>
      <c r="L142" s="25"/>
      <c r="M142" s="25"/>
      <c r="N142" s="25"/>
      <c r="O142" s="25"/>
      <c r="P142" s="53">
        <f>SUM(P135:P141)</f>
        <v>19815</v>
      </c>
      <c r="Q142" s="25"/>
      <c r="R142" s="5"/>
    </row>
    <row r="143" spans="1:19" ht="15.6" x14ac:dyDescent="0.3">
      <c r="A143" s="24"/>
      <c r="B143" s="25"/>
      <c r="C143" s="25"/>
      <c r="D143" s="25"/>
      <c r="E143" s="25"/>
      <c r="F143" s="25"/>
      <c r="G143" s="25"/>
      <c r="H143" s="25"/>
      <c r="I143" s="25"/>
      <c r="J143" s="25"/>
      <c r="K143" s="25"/>
      <c r="L143" s="25"/>
      <c r="M143" s="25"/>
      <c r="N143" s="25"/>
      <c r="O143" s="25"/>
      <c r="P143" s="61"/>
      <c r="Q143" s="25"/>
      <c r="R143" s="5"/>
    </row>
    <row r="144" spans="1:19" ht="15.6" x14ac:dyDescent="0.3">
      <c r="A144" s="6"/>
      <c r="B144" s="119" t="s">
        <v>28</v>
      </c>
      <c r="C144" s="8"/>
      <c r="D144" s="8"/>
      <c r="E144" s="8"/>
      <c r="F144" s="8"/>
      <c r="G144" s="8"/>
      <c r="H144" s="8"/>
      <c r="I144" s="8"/>
      <c r="J144" s="8"/>
      <c r="K144" s="8"/>
      <c r="L144" s="8"/>
      <c r="M144" s="8"/>
      <c r="N144" s="8"/>
      <c r="O144" s="8"/>
      <c r="P144" s="52"/>
      <c r="Q144" s="8"/>
      <c r="R144" s="5"/>
    </row>
    <row r="145" spans="1:18" ht="15.6" x14ac:dyDescent="0.3">
      <c r="A145" s="24"/>
      <c r="B145" s="25" t="s">
        <v>55</v>
      </c>
      <c r="C145" s="25"/>
      <c r="D145" s="25"/>
      <c r="E145" s="25"/>
      <c r="F145" s="25"/>
      <c r="G145" s="25"/>
      <c r="H145" s="25"/>
      <c r="I145" s="25"/>
      <c r="J145" s="25"/>
      <c r="K145" s="25"/>
      <c r="L145" s="25"/>
      <c r="M145" s="25"/>
      <c r="N145" s="25"/>
      <c r="O145" s="25"/>
      <c r="P145" s="59" t="s">
        <v>137</v>
      </c>
      <c r="Q145" s="25"/>
      <c r="R145" s="5"/>
    </row>
    <row r="146" spans="1:18" ht="15.6" x14ac:dyDescent="0.3">
      <c r="A146" s="24"/>
      <c r="B146" s="25" t="s">
        <v>56</v>
      </c>
      <c r="C146" s="141"/>
      <c r="D146" s="141"/>
      <c r="E146" s="141"/>
      <c r="F146" s="141"/>
      <c r="G146" s="141"/>
      <c r="H146" s="141"/>
      <c r="I146" s="141"/>
      <c r="J146" s="141"/>
      <c r="K146" s="141"/>
      <c r="L146" s="141"/>
      <c r="M146" s="141"/>
      <c r="N146" s="141"/>
      <c r="O146" s="141"/>
      <c r="P146" s="59" t="s">
        <v>137</v>
      </c>
      <c r="Q146" s="25"/>
      <c r="R146" s="5"/>
    </row>
    <row r="147" spans="1:18" ht="15.6" x14ac:dyDescent="0.3">
      <c r="A147" s="24"/>
      <c r="B147" s="25" t="s">
        <v>57</v>
      </c>
      <c r="C147" s="25"/>
      <c r="D147" s="25"/>
      <c r="E147" s="25"/>
      <c r="F147" s="25"/>
      <c r="G147" s="25"/>
      <c r="H147" s="25"/>
      <c r="I147" s="25"/>
      <c r="J147" s="25"/>
      <c r="K147" s="25"/>
      <c r="L147" s="25"/>
      <c r="M147" s="25"/>
      <c r="N147" s="25"/>
      <c r="O147" s="25"/>
      <c r="P147" s="59" t="s">
        <v>137</v>
      </c>
      <c r="Q147" s="25"/>
      <c r="R147" s="5"/>
    </row>
    <row r="148" spans="1:18" ht="15.6" x14ac:dyDescent="0.3">
      <c r="A148" s="24"/>
      <c r="B148" s="25" t="s">
        <v>58</v>
      </c>
      <c r="C148" s="25"/>
      <c r="D148" s="25"/>
      <c r="E148" s="25"/>
      <c r="F148" s="25"/>
      <c r="G148" s="25"/>
      <c r="H148" s="25"/>
      <c r="I148" s="25"/>
      <c r="J148" s="25"/>
      <c r="K148" s="25"/>
      <c r="L148" s="25"/>
      <c r="M148" s="25"/>
      <c r="N148" s="25"/>
      <c r="O148" s="25"/>
      <c r="P148" s="59" t="s">
        <v>137</v>
      </c>
      <c r="Q148" s="25"/>
      <c r="R148" s="5"/>
    </row>
    <row r="149" spans="1:18" ht="15.6" x14ac:dyDescent="0.3">
      <c r="A149" s="24"/>
      <c r="B149" s="25"/>
      <c r="C149" s="25"/>
      <c r="D149" s="25"/>
      <c r="E149" s="25"/>
      <c r="F149" s="25"/>
      <c r="G149" s="25"/>
      <c r="H149" s="25"/>
      <c r="I149" s="25"/>
      <c r="J149" s="25"/>
      <c r="K149" s="25"/>
      <c r="L149" s="25"/>
      <c r="M149" s="25"/>
      <c r="N149" s="25"/>
      <c r="O149" s="25"/>
      <c r="P149" s="61"/>
      <c r="Q149" s="25"/>
      <c r="R149" s="5"/>
    </row>
    <row r="150" spans="1:18" ht="15.6" x14ac:dyDescent="0.3">
      <c r="A150" s="6"/>
      <c r="B150" s="119" t="s">
        <v>59</v>
      </c>
      <c r="C150" s="8"/>
      <c r="D150" s="8"/>
      <c r="E150" s="8"/>
      <c r="F150" s="8"/>
      <c r="G150" s="8"/>
      <c r="H150" s="8"/>
      <c r="I150" s="8"/>
      <c r="J150" s="8"/>
      <c r="K150" s="8"/>
      <c r="L150" s="8"/>
      <c r="M150" s="8"/>
      <c r="N150" s="8"/>
      <c r="O150" s="8"/>
      <c r="P150" s="63"/>
      <c r="Q150" s="8"/>
      <c r="R150" s="5"/>
    </row>
    <row r="151" spans="1:18" ht="15.6" x14ac:dyDescent="0.3">
      <c r="A151" s="24"/>
      <c r="B151" s="25" t="s">
        <v>60</v>
      </c>
      <c r="C151" s="25"/>
      <c r="D151" s="25"/>
      <c r="E151" s="25"/>
      <c r="F151" s="25"/>
      <c r="G151" s="25"/>
      <c r="H151" s="25"/>
      <c r="I151" s="25"/>
      <c r="J151" s="25"/>
      <c r="K151" s="25"/>
      <c r="L151" s="25"/>
      <c r="M151" s="25"/>
      <c r="N151" s="25"/>
      <c r="O151" s="25"/>
      <c r="P151" s="53">
        <v>0</v>
      </c>
      <c r="Q151" s="25"/>
      <c r="R151" s="5"/>
    </row>
    <row r="152" spans="1:18" ht="15.6" x14ac:dyDescent="0.3">
      <c r="A152" s="24"/>
      <c r="B152" s="25" t="s">
        <v>61</v>
      </c>
      <c r="C152" s="25"/>
      <c r="D152" s="25"/>
      <c r="E152" s="25"/>
      <c r="F152" s="25"/>
      <c r="G152" s="25"/>
      <c r="H152" s="25"/>
      <c r="I152" s="25"/>
      <c r="J152" s="25"/>
      <c r="K152" s="25"/>
      <c r="L152" s="25"/>
      <c r="M152" s="25"/>
      <c r="N152" s="25"/>
      <c r="O152" s="25"/>
      <c r="P152" s="53">
        <v>0</v>
      </c>
      <c r="Q152" s="25"/>
      <c r="R152" s="5"/>
    </row>
    <row r="153" spans="1:18" ht="15.6" x14ac:dyDescent="0.3">
      <c r="A153" s="24"/>
      <c r="B153" s="25" t="s">
        <v>62</v>
      </c>
      <c r="C153" s="25"/>
      <c r="D153" s="25"/>
      <c r="E153" s="25"/>
      <c r="F153" s="25"/>
      <c r="G153" s="25"/>
      <c r="H153" s="25"/>
      <c r="I153" s="25"/>
      <c r="J153" s="25"/>
      <c r="K153" s="25"/>
      <c r="L153" s="25"/>
      <c r="M153" s="25"/>
      <c r="N153" s="25"/>
      <c r="O153" s="25"/>
      <c r="P153" s="53">
        <f>P152+P151</f>
        <v>0</v>
      </c>
      <c r="Q153" s="25"/>
      <c r="R153" s="5"/>
    </row>
    <row r="154" spans="1:18" ht="15.6" x14ac:dyDescent="0.3">
      <c r="A154" s="24"/>
      <c r="B154" s="403" t="s">
        <v>297</v>
      </c>
      <c r="C154" s="25"/>
      <c r="D154" s="25"/>
      <c r="E154" s="25"/>
      <c r="F154" s="25"/>
      <c r="G154" s="25"/>
      <c r="H154" s="25"/>
      <c r="I154" s="25"/>
      <c r="J154" s="25"/>
      <c r="K154" s="25"/>
      <c r="L154" s="25"/>
      <c r="M154" s="25"/>
      <c r="N154" s="25"/>
      <c r="O154" s="25"/>
      <c r="P154" s="53">
        <f>P113</f>
        <v>0</v>
      </c>
      <c r="Q154" s="25"/>
      <c r="R154" s="5"/>
    </row>
    <row r="155" spans="1:18" ht="15.6" x14ac:dyDescent="0.3">
      <c r="A155" s="24"/>
      <c r="B155" s="25" t="s">
        <v>63</v>
      </c>
      <c r="C155" s="25"/>
      <c r="D155" s="25"/>
      <c r="E155" s="25"/>
      <c r="F155" s="25"/>
      <c r="G155" s="25"/>
      <c r="H155" s="25"/>
      <c r="I155" s="25"/>
      <c r="J155" s="25"/>
      <c r="K155" s="25"/>
      <c r="L155" s="25"/>
      <c r="M155" s="25"/>
      <c r="N155" s="25"/>
      <c r="O155" s="25"/>
      <c r="P155" s="53">
        <f>P153+P154</f>
        <v>0</v>
      </c>
      <c r="Q155" s="25"/>
      <c r="R155" s="5"/>
    </row>
    <row r="156" spans="1:18" ht="16.2" thickBot="1" x14ac:dyDescent="0.35">
      <c r="A156" s="24"/>
      <c r="B156" s="25"/>
      <c r="C156" s="25"/>
      <c r="D156" s="25"/>
      <c r="E156" s="25"/>
      <c r="F156" s="25"/>
      <c r="G156" s="25"/>
      <c r="H156" s="25"/>
      <c r="I156" s="25"/>
      <c r="J156" s="25"/>
      <c r="K156" s="25"/>
      <c r="L156" s="25"/>
      <c r="M156" s="25"/>
      <c r="N156" s="25"/>
      <c r="O156" s="25"/>
      <c r="P156" s="61"/>
      <c r="Q156" s="25"/>
      <c r="R156" s="5"/>
    </row>
    <row r="157" spans="1:18" ht="15.6" x14ac:dyDescent="0.3">
      <c r="A157" s="2"/>
      <c r="B157" s="4"/>
      <c r="C157" s="4"/>
      <c r="D157" s="4"/>
      <c r="E157" s="4"/>
      <c r="F157" s="4"/>
      <c r="G157" s="4"/>
      <c r="H157" s="4"/>
      <c r="I157" s="4"/>
      <c r="J157" s="4"/>
      <c r="K157" s="4"/>
      <c r="L157" s="4"/>
      <c r="M157" s="4"/>
      <c r="N157" s="4"/>
      <c r="O157" s="4"/>
      <c r="P157" s="50"/>
      <c r="Q157" s="4"/>
      <c r="R157" s="5"/>
    </row>
    <row r="158" spans="1:18" ht="15.6" x14ac:dyDescent="0.3">
      <c r="A158" s="6"/>
      <c r="B158" s="119" t="s">
        <v>64</v>
      </c>
      <c r="C158" s="8"/>
      <c r="D158" s="8"/>
      <c r="E158" s="8"/>
      <c r="F158" s="8"/>
      <c r="G158" s="8"/>
      <c r="H158" s="8"/>
      <c r="I158" s="8"/>
      <c r="J158" s="8"/>
      <c r="K158" s="8"/>
      <c r="L158" s="8"/>
      <c r="M158" s="8"/>
      <c r="N158" s="8"/>
      <c r="O158" s="8"/>
      <c r="P158" s="52"/>
      <c r="Q158" s="8"/>
      <c r="R158" s="5"/>
    </row>
    <row r="159" spans="1:18" ht="15.6" x14ac:dyDescent="0.3">
      <c r="A159" s="6"/>
      <c r="B159" s="21"/>
      <c r="C159" s="8"/>
      <c r="D159" s="8"/>
      <c r="E159" s="8"/>
      <c r="F159" s="8"/>
      <c r="G159" s="8"/>
      <c r="H159" s="8"/>
      <c r="I159" s="8"/>
      <c r="J159" s="8"/>
      <c r="K159" s="8"/>
      <c r="L159" s="8"/>
      <c r="M159" s="8"/>
      <c r="N159" s="8"/>
      <c r="O159" s="8"/>
      <c r="P159" s="52"/>
      <c r="Q159" s="8"/>
      <c r="R159" s="5"/>
    </row>
    <row r="160" spans="1:18" ht="15.6" x14ac:dyDescent="0.3">
      <c r="A160" s="24"/>
      <c r="B160" s="25" t="s">
        <v>221</v>
      </c>
      <c r="C160" s="25"/>
      <c r="D160" s="25"/>
      <c r="E160" s="25"/>
      <c r="F160" s="25"/>
      <c r="G160" s="25"/>
      <c r="H160" s="25"/>
      <c r="I160" s="25"/>
      <c r="J160" s="25"/>
      <c r="K160" s="25"/>
      <c r="L160" s="25"/>
      <c r="M160" s="25"/>
      <c r="N160" s="25"/>
      <c r="O160" s="25"/>
      <c r="P160" s="53">
        <f>P73</f>
        <v>692956</v>
      </c>
      <c r="Q160" s="25"/>
      <c r="R160" s="5"/>
    </row>
    <row r="161" spans="1:18" ht="15.6" x14ac:dyDescent="0.3">
      <c r="A161" s="24"/>
      <c r="B161" s="25" t="s">
        <v>65</v>
      </c>
      <c r="C161" s="25"/>
      <c r="D161" s="25"/>
      <c r="E161" s="25"/>
      <c r="F161" s="25"/>
      <c r="G161" s="25"/>
      <c r="H161" s="25"/>
      <c r="I161" s="25"/>
      <c r="J161" s="25"/>
      <c r="K161" s="25"/>
      <c r="L161" s="25"/>
      <c r="M161" s="25"/>
      <c r="N161" s="25"/>
      <c r="O161" s="25"/>
      <c r="P161" s="53">
        <f>P86</f>
        <v>692956</v>
      </c>
      <c r="Q161" s="25"/>
      <c r="R161" s="5"/>
    </row>
    <row r="162" spans="1:18" ht="16.2" thickBot="1" x14ac:dyDescent="0.35">
      <c r="A162" s="24"/>
      <c r="B162" s="25"/>
      <c r="C162" s="25"/>
      <c r="D162" s="25"/>
      <c r="E162" s="25"/>
      <c r="F162" s="25"/>
      <c r="G162" s="25"/>
      <c r="H162" s="25"/>
      <c r="I162" s="25"/>
      <c r="J162" s="25"/>
      <c r="K162" s="25"/>
      <c r="L162" s="25"/>
      <c r="M162" s="25"/>
      <c r="N162" s="25"/>
      <c r="O162" s="25"/>
      <c r="P162" s="61"/>
      <c r="Q162" s="25"/>
      <c r="R162" s="5"/>
    </row>
    <row r="163" spans="1:18" ht="15.6" x14ac:dyDescent="0.3">
      <c r="A163" s="2"/>
      <c r="B163" s="4"/>
      <c r="C163" s="4"/>
      <c r="D163" s="4"/>
      <c r="E163" s="4"/>
      <c r="F163" s="4"/>
      <c r="G163" s="4"/>
      <c r="H163" s="4"/>
      <c r="I163" s="4"/>
      <c r="J163" s="4"/>
      <c r="K163" s="4"/>
      <c r="L163" s="4"/>
      <c r="M163" s="4"/>
      <c r="N163" s="4"/>
      <c r="O163" s="4"/>
      <c r="P163" s="50"/>
      <c r="Q163" s="4"/>
      <c r="R163" s="5"/>
    </row>
    <row r="164" spans="1:18" ht="15.6" x14ac:dyDescent="0.3">
      <c r="A164" s="6"/>
      <c r="B164" s="119" t="s">
        <v>66</v>
      </c>
      <c r="C164" s="117"/>
      <c r="D164" s="117"/>
      <c r="E164" s="117"/>
      <c r="F164" s="120"/>
      <c r="G164" s="120"/>
      <c r="H164" s="120"/>
      <c r="I164" s="120"/>
      <c r="J164" s="120"/>
      <c r="K164" s="120"/>
      <c r="L164" s="120"/>
      <c r="M164" s="120" t="s">
        <v>112</v>
      </c>
      <c r="N164" s="120" t="s">
        <v>120</v>
      </c>
      <c r="O164" s="111"/>
      <c r="P164" s="121" t="s">
        <v>129</v>
      </c>
      <c r="Q164" s="10"/>
      <c r="R164" s="5"/>
    </row>
    <row r="165" spans="1:18" ht="15.6" x14ac:dyDescent="0.3">
      <c r="A165" s="24"/>
      <c r="B165" s="25" t="s">
        <v>67</v>
      </c>
      <c r="C165" s="25"/>
      <c r="D165" s="25"/>
      <c r="E165" s="25"/>
      <c r="F165" s="25"/>
      <c r="G165" s="25"/>
      <c r="H165" s="25"/>
      <c r="I165" s="25"/>
      <c r="J165" s="25"/>
      <c r="K165" s="25"/>
      <c r="L165" s="25"/>
      <c r="M165" s="53">
        <v>144000</v>
      </c>
      <c r="N165" s="40">
        <v>0</v>
      </c>
      <c r="O165" s="25"/>
      <c r="P165" s="53"/>
      <c r="Q165" s="25"/>
      <c r="R165" s="5"/>
    </row>
    <row r="166" spans="1:18" ht="15.6" x14ac:dyDescent="0.3">
      <c r="A166" s="24"/>
      <c r="B166" s="25" t="s">
        <v>68</v>
      </c>
      <c r="C166" s="25"/>
      <c r="D166" s="25"/>
      <c r="E166" s="25"/>
      <c r="F166" s="25"/>
      <c r="G166" s="25"/>
      <c r="H166" s="25"/>
      <c r="I166" s="25"/>
      <c r="J166" s="25"/>
      <c r="K166" s="25"/>
      <c r="L166" s="25"/>
      <c r="M166" s="53">
        <f>'April 06'!M168</f>
        <v>45769</v>
      </c>
      <c r="N166" s="53">
        <f>'April 06'!N168</f>
        <v>8955</v>
      </c>
      <c r="O166" s="25"/>
      <c r="P166" s="53">
        <f>M166+N166</f>
        <v>54724</v>
      </c>
      <c r="Q166" s="25"/>
      <c r="R166" s="5"/>
    </row>
    <row r="167" spans="1:18" ht="15.6" x14ac:dyDescent="0.3">
      <c r="A167" s="24"/>
      <c r="B167" s="25" t="s">
        <v>69</v>
      </c>
      <c r="C167" s="25"/>
      <c r="D167" s="25"/>
      <c r="E167" s="25"/>
      <c r="F167" s="25"/>
      <c r="G167" s="25"/>
      <c r="H167" s="25"/>
      <c r="I167" s="25"/>
      <c r="J167" s="25"/>
      <c r="K167" s="25"/>
      <c r="L167" s="25"/>
      <c r="M167" s="34">
        <v>4054</v>
      </c>
      <c r="N167" s="34">
        <f>-N98-N119</f>
        <v>197</v>
      </c>
      <c r="O167" s="25"/>
      <c r="P167" s="53">
        <f>M167+N167</f>
        <v>4251</v>
      </c>
      <c r="Q167" s="25"/>
      <c r="R167" s="5"/>
    </row>
    <row r="168" spans="1:18" ht="15.6" x14ac:dyDescent="0.3">
      <c r="A168" s="24"/>
      <c r="B168" s="25" t="s">
        <v>70</v>
      </c>
      <c r="C168" s="25"/>
      <c r="D168" s="25"/>
      <c r="E168" s="25"/>
      <c r="F168" s="25"/>
      <c r="G168" s="25"/>
      <c r="H168" s="25"/>
      <c r="I168" s="25"/>
      <c r="J168" s="25"/>
      <c r="K168" s="25"/>
      <c r="L168" s="25"/>
      <c r="M168" s="53">
        <f>M166+M167</f>
        <v>49823</v>
      </c>
      <c r="N168" s="53">
        <f>N167+N166</f>
        <v>9152</v>
      </c>
      <c r="O168" s="25"/>
      <c r="P168" s="53">
        <f>M168+N168</f>
        <v>58975</v>
      </c>
      <c r="Q168" s="25"/>
      <c r="R168" s="5"/>
    </row>
    <row r="169" spans="1:18" ht="15.6" x14ac:dyDescent="0.3">
      <c r="A169" s="24"/>
      <c r="B169" s="25" t="s">
        <v>71</v>
      </c>
      <c r="C169" s="25"/>
      <c r="D169" s="25"/>
      <c r="E169" s="25"/>
      <c r="F169" s="25"/>
      <c r="G169" s="25"/>
      <c r="H169" s="25"/>
      <c r="I169" s="25"/>
      <c r="J169" s="25"/>
      <c r="K169" s="25"/>
      <c r="L169" s="25"/>
      <c r="M169" s="53">
        <f>M165-M168-N168</f>
        <v>85025</v>
      </c>
      <c r="N169" s="40"/>
      <c r="O169" s="25"/>
      <c r="P169" s="53"/>
      <c r="Q169" s="25"/>
      <c r="R169" s="5"/>
    </row>
    <row r="170" spans="1:18" ht="16.2" thickBot="1" x14ac:dyDescent="0.35">
      <c r="A170" s="24"/>
      <c r="B170" s="25"/>
      <c r="C170" s="25"/>
      <c r="D170" s="25"/>
      <c r="E170" s="25"/>
      <c r="F170" s="25"/>
      <c r="G170" s="25"/>
      <c r="H170" s="25"/>
      <c r="I170" s="25"/>
      <c r="J170" s="25"/>
      <c r="K170" s="25"/>
      <c r="L170" s="25"/>
      <c r="M170" s="25"/>
      <c r="N170" s="25"/>
      <c r="O170" s="25"/>
      <c r="P170" s="61"/>
      <c r="Q170" s="25"/>
      <c r="R170" s="5"/>
    </row>
    <row r="171" spans="1:18" ht="15.6" x14ac:dyDescent="0.3">
      <c r="A171" s="2"/>
      <c r="B171" s="4"/>
      <c r="C171" s="4"/>
      <c r="D171" s="4"/>
      <c r="E171" s="4"/>
      <c r="F171" s="4"/>
      <c r="G171" s="4"/>
      <c r="H171" s="4"/>
      <c r="I171" s="4"/>
      <c r="J171" s="4"/>
      <c r="K171" s="4"/>
      <c r="L171" s="4"/>
      <c r="M171" s="4"/>
      <c r="N171" s="4"/>
      <c r="O171" s="4"/>
      <c r="P171" s="50"/>
      <c r="Q171" s="4"/>
      <c r="R171" s="5"/>
    </row>
    <row r="172" spans="1:18" ht="15.6" x14ac:dyDescent="0.3">
      <c r="A172" s="6"/>
      <c r="B172" s="119" t="s">
        <v>72</v>
      </c>
      <c r="C172" s="8"/>
      <c r="D172" s="8"/>
      <c r="E172" s="8"/>
      <c r="F172" s="8"/>
      <c r="G172" s="8"/>
      <c r="H172" s="8"/>
      <c r="I172" s="8"/>
      <c r="J172" s="8"/>
      <c r="K172" s="8"/>
      <c r="L172" s="8"/>
      <c r="M172" s="8"/>
      <c r="N172" s="8"/>
      <c r="O172" s="8"/>
      <c r="P172" s="65"/>
      <c r="Q172" s="8"/>
      <c r="R172" s="5"/>
    </row>
    <row r="173" spans="1:18" ht="15.6" x14ac:dyDescent="0.3">
      <c r="A173" s="24"/>
      <c r="B173" s="25" t="s">
        <v>73</v>
      </c>
      <c r="C173" s="25"/>
      <c r="D173" s="25"/>
      <c r="E173" s="25"/>
      <c r="F173" s="25"/>
      <c r="G173" s="25"/>
      <c r="H173" s="25"/>
      <c r="I173" s="25"/>
      <c r="J173" s="25"/>
      <c r="K173" s="25"/>
      <c r="L173" s="25"/>
      <c r="M173" s="25"/>
      <c r="N173" s="25"/>
      <c r="O173" s="25"/>
      <c r="P173" s="66">
        <f>(P100+P102+P103+P104+P105)/-(P106+P107+P108)</f>
        <v>1.4860704744943392</v>
      </c>
      <c r="Q173" s="25" t="s">
        <v>130</v>
      </c>
      <c r="R173" s="5"/>
    </row>
    <row r="174" spans="1:18" ht="15.6" x14ac:dyDescent="0.3">
      <c r="A174" s="24"/>
      <c r="B174" s="25" t="s">
        <v>74</v>
      </c>
      <c r="C174" s="25"/>
      <c r="D174" s="25"/>
      <c r="E174" s="25"/>
      <c r="F174" s="25"/>
      <c r="G174" s="25"/>
      <c r="H174" s="25"/>
      <c r="I174" s="25"/>
      <c r="J174" s="25"/>
      <c r="K174" s="25"/>
      <c r="L174" s="25"/>
      <c r="M174" s="25"/>
      <c r="N174" s="25"/>
      <c r="O174" s="25"/>
      <c r="P174" s="66">
        <v>1.38</v>
      </c>
      <c r="Q174" s="25" t="s">
        <v>130</v>
      </c>
      <c r="R174" s="5"/>
    </row>
    <row r="175" spans="1:18" ht="15.6" x14ac:dyDescent="0.3">
      <c r="A175" s="24"/>
      <c r="B175" s="25" t="s">
        <v>75</v>
      </c>
      <c r="C175" s="25"/>
      <c r="D175" s="25"/>
      <c r="E175" s="25"/>
      <c r="F175" s="25"/>
      <c r="G175" s="25"/>
      <c r="H175" s="25"/>
      <c r="I175" s="25"/>
      <c r="J175" s="25"/>
      <c r="K175" s="25"/>
      <c r="L175" s="25"/>
      <c r="M175" s="25"/>
      <c r="N175" s="25"/>
      <c r="O175" s="25"/>
      <c r="P175" s="59">
        <f>(P100+P102+P103+P104+P105+P106+P107+P108)/-(P109+P110)</f>
        <v>2.9851562500000002</v>
      </c>
      <c r="Q175" s="25" t="s">
        <v>130</v>
      </c>
      <c r="R175" s="5"/>
    </row>
    <row r="176" spans="1:18" ht="15.6" x14ac:dyDescent="0.3">
      <c r="A176" s="24"/>
      <c r="B176" s="25" t="s">
        <v>76</v>
      </c>
      <c r="C176" s="25"/>
      <c r="D176" s="25"/>
      <c r="E176" s="25"/>
      <c r="F176" s="25"/>
      <c r="G176" s="25"/>
      <c r="H176" s="25"/>
      <c r="I176" s="25"/>
      <c r="J176" s="25"/>
      <c r="K176" s="25"/>
      <c r="L176" s="25"/>
      <c r="M176" s="25"/>
      <c r="N176" s="25"/>
      <c r="O176" s="25"/>
      <c r="P176" s="66">
        <v>2.68</v>
      </c>
      <c r="Q176" s="25" t="s">
        <v>130</v>
      </c>
      <c r="R176" s="5"/>
    </row>
    <row r="177" spans="1:18" ht="15.6" x14ac:dyDescent="0.3">
      <c r="A177" s="24"/>
      <c r="B177" s="25"/>
      <c r="C177" s="25"/>
      <c r="D177" s="25"/>
      <c r="E177" s="25"/>
      <c r="F177" s="25"/>
      <c r="G177" s="25"/>
      <c r="H177" s="25"/>
      <c r="I177" s="25"/>
      <c r="J177" s="25"/>
      <c r="K177" s="25"/>
      <c r="L177" s="25"/>
      <c r="M177" s="25"/>
      <c r="N177" s="25"/>
      <c r="O177" s="25"/>
      <c r="P177" s="25"/>
      <c r="Q177" s="25"/>
      <c r="R177" s="5"/>
    </row>
    <row r="178" spans="1:18" ht="15.6" x14ac:dyDescent="0.3">
      <c r="A178" s="24"/>
      <c r="B178" s="25"/>
      <c r="C178" s="25"/>
      <c r="D178" s="25"/>
      <c r="E178" s="25"/>
      <c r="F178" s="25"/>
      <c r="G178" s="25"/>
      <c r="H178" s="25"/>
      <c r="I178" s="25"/>
      <c r="J178" s="25"/>
      <c r="K178" s="25"/>
      <c r="L178" s="25"/>
      <c r="M178" s="25"/>
      <c r="N178" s="25"/>
      <c r="O178" s="25"/>
      <c r="P178" s="25"/>
      <c r="Q178" s="25"/>
      <c r="R178" s="5"/>
    </row>
    <row r="179" spans="1:18" ht="15.6" x14ac:dyDescent="0.3">
      <c r="A179" s="6"/>
      <c r="B179" s="8"/>
      <c r="C179" s="8"/>
      <c r="D179" s="8"/>
      <c r="E179" s="8"/>
      <c r="F179" s="8"/>
      <c r="G179" s="8"/>
      <c r="H179" s="8"/>
      <c r="I179" s="8"/>
      <c r="J179" s="8"/>
      <c r="K179" s="8"/>
      <c r="L179" s="8"/>
      <c r="M179" s="8"/>
      <c r="N179" s="8"/>
      <c r="O179" s="8"/>
      <c r="P179" s="8"/>
      <c r="Q179" s="8"/>
      <c r="R179" s="5"/>
    </row>
    <row r="180" spans="1:18" ht="18" thickBot="1" x14ac:dyDescent="0.35">
      <c r="A180" s="101"/>
      <c r="B180" s="102" t="str">
        <f>B130</f>
        <v>PM7 INVESTOR REPORT QUARTER ENDING JULY 2006</v>
      </c>
      <c r="C180" s="143"/>
      <c r="D180" s="143"/>
      <c r="E180" s="143"/>
      <c r="F180" s="143"/>
      <c r="G180" s="143"/>
      <c r="H180" s="143"/>
      <c r="I180" s="143"/>
      <c r="J180" s="143"/>
      <c r="K180" s="143"/>
      <c r="L180" s="143"/>
      <c r="M180" s="143"/>
      <c r="N180" s="143"/>
      <c r="O180" s="143"/>
      <c r="P180" s="143"/>
      <c r="Q180" s="144"/>
      <c r="R180" s="5"/>
    </row>
    <row r="181" spans="1:18" ht="15.6" x14ac:dyDescent="0.3">
      <c r="A181" s="67"/>
      <c r="B181" s="60" t="s">
        <v>77</v>
      </c>
      <c r="C181" s="68"/>
      <c r="D181" s="68"/>
      <c r="E181" s="69"/>
      <c r="F181" s="69"/>
      <c r="G181" s="69"/>
      <c r="H181" s="69"/>
      <c r="I181" s="69"/>
      <c r="J181" s="69"/>
      <c r="K181" s="69"/>
      <c r="L181" s="69"/>
      <c r="M181" s="69"/>
      <c r="N181" s="70">
        <f>H89</f>
        <v>38929</v>
      </c>
      <c r="O181" s="4"/>
      <c r="P181" s="4"/>
      <c r="Q181" s="4"/>
      <c r="R181" s="5"/>
    </row>
    <row r="182" spans="1:18" ht="15.6" x14ac:dyDescent="0.3">
      <c r="A182" s="71"/>
      <c r="B182" s="72"/>
      <c r="C182" s="73"/>
      <c r="D182" s="73"/>
      <c r="E182" s="74"/>
      <c r="F182" s="74"/>
      <c r="G182" s="74"/>
      <c r="H182" s="74"/>
      <c r="I182" s="74"/>
      <c r="J182" s="74"/>
      <c r="K182" s="74"/>
      <c r="L182" s="74"/>
      <c r="M182" s="74"/>
      <c r="N182" s="74"/>
      <c r="O182" s="8"/>
      <c r="P182" s="8"/>
      <c r="Q182" s="8"/>
      <c r="R182" s="5"/>
    </row>
    <row r="183" spans="1:18" ht="15.6" x14ac:dyDescent="0.3">
      <c r="A183" s="75"/>
      <c r="B183" s="76" t="s">
        <v>78</v>
      </c>
      <c r="C183" s="77"/>
      <c r="D183" s="77"/>
      <c r="E183" s="64"/>
      <c r="F183" s="64"/>
      <c r="G183" s="64"/>
      <c r="H183" s="64"/>
      <c r="I183" s="64"/>
      <c r="J183" s="64"/>
      <c r="K183" s="64"/>
      <c r="L183" s="64"/>
      <c r="M183" s="64"/>
      <c r="N183" s="78">
        <v>5.8069999999999997E-2</v>
      </c>
      <c r="O183" s="25"/>
      <c r="P183" s="25"/>
      <c r="Q183" s="25"/>
      <c r="R183" s="5"/>
    </row>
    <row r="184" spans="1:18" ht="15.6" x14ac:dyDescent="0.3">
      <c r="A184" s="75"/>
      <c r="B184" s="76" t="s">
        <v>219</v>
      </c>
      <c r="C184" s="77"/>
      <c r="D184" s="77"/>
      <c r="E184" s="64"/>
      <c r="F184" s="64"/>
      <c r="G184" s="64"/>
      <c r="H184" s="64"/>
      <c r="I184" s="64"/>
      <c r="J184" s="64"/>
      <c r="K184" s="64"/>
      <c r="L184" s="64"/>
      <c r="M184" s="64"/>
      <c r="N184" s="39">
        <v>5.1499999999999997E-2</v>
      </c>
      <c r="O184" s="25"/>
      <c r="P184" s="25"/>
      <c r="Q184" s="25"/>
      <c r="R184" s="5"/>
    </row>
    <row r="185" spans="1:18" ht="15.6" x14ac:dyDescent="0.3">
      <c r="A185" s="75"/>
      <c r="B185" s="76" t="s">
        <v>79</v>
      </c>
      <c r="C185" s="77"/>
      <c r="D185" s="77"/>
      <c r="E185" s="64"/>
      <c r="F185" s="64"/>
      <c r="G185" s="64"/>
      <c r="H185" s="64"/>
      <c r="I185" s="64"/>
      <c r="J185" s="64"/>
      <c r="K185" s="64"/>
      <c r="L185" s="64"/>
      <c r="M185" s="64"/>
      <c r="N185" s="78">
        <f>N183-N184</f>
        <v>6.5699999999999995E-3</v>
      </c>
      <c r="O185" s="25"/>
      <c r="P185" s="25"/>
      <c r="Q185" s="25"/>
      <c r="R185" s="5"/>
    </row>
    <row r="186" spans="1:18" ht="15.6" x14ac:dyDescent="0.3">
      <c r="A186" s="75"/>
      <c r="B186" s="76" t="s">
        <v>80</v>
      </c>
      <c r="C186" s="77"/>
      <c r="D186" s="77"/>
      <c r="E186" s="64"/>
      <c r="F186" s="64"/>
      <c r="G186" s="64"/>
      <c r="H186" s="64"/>
      <c r="I186" s="64"/>
      <c r="J186" s="64"/>
      <c r="K186" s="64"/>
      <c r="L186" s="64"/>
      <c r="M186" s="64"/>
      <c r="N186" s="78">
        <v>6.0690000000000001E-2</v>
      </c>
      <c r="O186" s="25"/>
      <c r="P186" s="25"/>
      <c r="Q186" s="25"/>
      <c r="R186" s="5"/>
    </row>
    <row r="187" spans="1:18" ht="15.6" x14ac:dyDescent="0.3">
      <c r="A187" s="75"/>
      <c r="B187" s="76" t="s">
        <v>241</v>
      </c>
      <c r="C187" s="77"/>
      <c r="D187" s="77"/>
      <c r="E187" s="64"/>
      <c r="F187" s="64"/>
      <c r="G187" s="64"/>
      <c r="H187" s="64"/>
      <c r="I187" s="64"/>
      <c r="J187" s="64"/>
      <c r="K187" s="64"/>
      <c r="L187" s="64"/>
      <c r="M187" s="64"/>
      <c r="N187" s="78">
        <f>+P45</f>
        <v>5.0656120567354357E-2</v>
      </c>
      <c r="O187" s="25"/>
      <c r="P187" s="25"/>
      <c r="Q187" s="25"/>
      <c r="R187" s="5"/>
    </row>
    <row r="188" spans="1:18" ht="15.6" x14ac:dyDescent="0.3">
      <c r="A188" s="75"/>
      <c r="B188" s="76" t="s">
        <v>81</v>
      </c>
      <c r="C188" s="77"/>
      <c r="D188" s="77"/>
      <c r="E188" s="64"/>
      <c r="F188" s="64"/>
      <c r="G188" s="64"/>
      <c r="H188" s="64"/>
      <c r="I188" s="64"/>
      <c r="J188" s="64"/>
      <c r="K188" s="64"/>
      <c r="L188" s="64"/>
      <c r="M188" s="64"/>
      <c r="N188" s="78">
        <f>N186-N187</f>
        <v>1.0033879432645644E-2</v>
      </c>
      <c r="O188" s="25"/>
      <c r="P188" s="25"/>
      <c r="Q188" s="25"/>
      <c r="R188" s="5"/>
    </row>
    <row r="189" spans="1:18" ht="15.6" x14ac:dyDescent="0.3">
      <c r="A189" s="75"/>
      <c r="B189" s="76" t="s">
        <v>257</v>
      </c>
      <c r="C189" s="77"/>
      <c r="D189" s="77"/>
      <c r="E189" s="64"/>
      <c r="F189" s="64"/>
      <c r="G189" s="64"/>
      <c r="H189" s="64"/>
      <c r="I189" s="64"/>
      <c r="J189" s="64"/>
      <c r="K189" s="64"/>
      <c r="L189" s="64"/>
      <c r="M189" s="64"/>
      <c r="N189" s="78">
        <f>+P100/H73</f>
        <v>1.6829843992234528E-2</v>
      </c>
      <c r="O189" s="25"/>
      <c r="P189" s="25"/>
      <c r="Q189" s="25"/>
      <c r="R189" s="5"/>
    </row>
    <row r="190" spans="1:18" ht="15.6" x14ac:dyDescent="0.3">
      <c r="A190" s="75"/>
      <c r="B190" s="76" t="s">
        <v>170</v>
      </c>
      <c r="C190" s="77"/>
      <c r="D190" s="77"/>
      <c r="E190" s="64"/>
      <c r="F190" s="64"/>
      <c r="G190" s="64"/>
      <c r="H190" s="64"/>
      <c r="I190" s="64"/>
      <c r="J190" s="64"/>
      <c r="K190" s="64"/>
      <c r="L190" s="64"/>
      <c r="M190" s="64"/>
      <c r="N190" s="133">
        <v>49065</v>
      </c>
      <c r="O190" s="25"/>
      <c r="P190" s="25"/>
      <c r="Q190" s="25"/>
      <c r="R190" s="5"/>
    </row>
    <row r="191" spans="1:18" ht="15.6" x14ac:dyDescent="0.3">
      <c r="A191" s="75"/>
      <c r="B191" s="76" t="s">
        <v>171</v>
      </c>
      <c r="C191" s="77"/>
      <c r="D191" s="77"/>
      <c r="E191" s="64"/>
      <c r="F191" s="64"/>
      <c r="G191" s="64"/>
      <c r="H191" s="64"/>
      <c r="I191" s="64"/>
      <c r="J191" s="64"/>
      <c r="K191" s="64"/>
      <c r="L191" s="64"/>
      <c r="M191" s="64"/>
      <c r="N191" s="133">
        <v>49065</v>
      </c>
      <c r="O191" s="25"/>
      <c r="P191" s="25"/>
      <c r="Q191" s="25"/>
      <c r="R191" s="5"/>
    </row>
    <row r="192" spans="1:18" ht="15.6" x14ac:dyDescent="0.3">
      <c r="A192" s="75"/>
      <c r="B192" s="76" t="s">
        <v>172</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138</v>
      </c>
      <c r="C193" s="77"/>
      <c r="D193" s="77"/>
      <c r="E193" s="64"/>
      <c r="F193" s="64"/>
      <c r="G193" s="64"/>
      <c r="H193" s="64"/>
      <c r="I193" s="64"/>
      <c r="J193" s="64"/>
      <c r="K193" s="64"/>
      <c r="L193" s="64"/>
      <c r="M193" s="64"/>
      <c r="N193" s="133">
        <v>52352</v>
      </c>
      <c r="O193" s="25"/>
      <c r="P193" s="25"/>
      <c r="Q193" s="25"/>
      <c r="R193" s="5"/>
    </row>
    <row r="194" spans="1:18" ht="15.6" x14ac:dyDescent="0.3">
      <c r="A194" s="75"/>
      <c r="B194" s="76" t="s">
        <v>139</v>
      </c>
      <c r="C194" s="77"/>
      <c r="D194" s="77"/>
      <c r="E194" s="64"/>
      <c r="F194" s="64"/>
      <c r="G194" s="64"/>
      <c r="H194" s="64"/>
      <c r="I194" s="64"/>
      <c r="J194" s="64"/>
      <c r="K194" s="64"/>
      <c r="L194" s="64"/>
      <c r="M194" s="64"/>
      <c r="N194" s="133">
        <v>52352</v>
      </c>
      <c r="O194" s="25"/>
      <c r="P194" s="25"/>
      <c r="Q194" s="25"/>
      <c r="R194" s="5"/>
    </row>
    <row r="195" spans="1:18" ht="15.6" x14ac:dyDescent="0.3">
      <c r="A195" s="75"/>
      <c r="B195" s="76" t="s">
        <v>82</v>
      </c>
      <c r="C195" s="77"/>
      <c r="D195" s="77"/>
      <c r="E195" s="64"/>
      <c r="F195" s="64"/>
      <c r="G195" s="64"/>
      <c r="H195" s="64"/>
      <c r="I195" s="64"/>
      <c r="J195" s="64"/>
      <c r="K195" s="64"/>
      <c r="L195" s="64"/>
      <c r="M195" s="64"/>
      <c r="N195" s="137">
        <v>20.45</v>
      </c>
      <c r="O195" s="25" t="s">
        <v>125</v>
      </c>
      <c r="P195" s="25"/>
      <c r="Q195" s="25"/>
      <c r="R195" s="5"/>
    </row>
    <row r="196" spans="1:18" ht="15.6" x14ac:dyDescent="0.3">
      <c r="A196" s="75"/>
      <c r="B196" s="76" t="s">
        <v>83</v>
      </c>
      <c r="C196" s="77"/>
      <c r="D196" s="77"/>
      <c r="E196" s="64"/>
      <c r="F196" s="64"/>
      <c r="G196" s="64"/>
      <c r="H196" s="64"/>
      <c r="I196" s="64"/>
      <c r="J196" s="64"/>
      <c r="K196" s="64"/>
      <c r="L196" s="64"/>
      <c r="M196" s="64"/>
      <c r="N196" s="137">
        <v>19.36</v>
      </c>
      <c r="O196" s="25" t="s">
        <v>125</v>
      </c>
      <c r="P196" s="25"/>
      <c r="Q196" s="25"/>
      <c r="R196" s="5"/>
    </row>
    <row r="197" spans="1:18" ht="15.6" x14ac:dyDescent="0.3">
      <c r="A197" s="75"/>
      <c r="B197" s="76" t="s">
        <v>84</v>
      </c>
      <c r="C197" s="77"/>
      <c r="D197" s="77"/>
      <c r="E197" s="64"/>
      <c r="F197" s="64"/>
      <c r="G197" s="64"/>
      <c r="H197" s="64"/>
      <c r="I197" s="64"/>
      <c r="J197" s="64"/>
      <c r="K197" s="64"/>
      <c r="L197" s="64"/>
      <c r="M197" s="64"/>
      <c r="N197" s="78">
        <v>3.8100000000000002E-2</v>
      </c>
      <c r="O197" s="25"/>
      <c r="P197" s="25"/>
      <c r="Q197" s="25"/>
      <c r="R197" s="5"/>
    </row>
    <row r="198" spans="1:18" ht="15.6" x14ac:dyDescent="0.3">
      <c r="A198" s="75"/>
      <c r="B198" s="76" t="s">
        <v>85</v>
      </c>
      <c r="C198" s="77"/>
      <c r="D198" s="77"/>
      <c r="E198" s="64"/>
      <c r="F198" s="64"/>
      <c r="G198" s="64"/>
      <c r="H198" s="64"/>
      <c r="I198" s="64"/>
      <c r="J198" s="64"/>
      <c r="K198" s="64"/>
      <c r="L198" s="64"/>
      <c r="M198" s="64"/>
      <c r="N198" s="78">
        <v>0.14990000000000001</v>
      </c>
      <c r="O198" s="25"/>
      <c r="P198" s="25"/>
      <c r="Q198" s="25"/>
      <c r="R198" s="5"/>
    </row>
    <row r="199" spans="1:18" ht="15.6" x14ac:dyDescent="0.3">
      <c r="A199" s="75"/>
      <c r="B199" s="76"/>
      <c r="C199" s="76"/>
      <c r="D199" s="76"/>
      <c r="E199" s="25"/>
      <c r="F199" s="25"/>
      <c r="G199" s="25"/>
      <c r="H199" s="25"/>
      <c r="I199" s="25"/>
      <c r="J199" s="25"/>
      <c r="K199" s="25"/>
      <c r="L199" s="25"/>
      <c r="M199" s="25"/>
      <c r="N199" s="61"/>
      <c r="O199" s="25"/>
      <c r="P199" s="79"/>
      <c r="Q199" s="25"/>
      <c r="R199" s="5"/>
    </row>
    <row r="200" spans="1:18" ht="15.6" x14ac:dyDescent="0.3">
      <c r="A200" s="80"/>
      <c r="B200" s="14" t="s">
        <v>86</v>
      </c>
      <c r="C200" s="81"/>
      <c r="D200" s="82"/>
      <c r="E200" s="81"/>
      <c r="F200" s="17"/>
      <c r="G200" s="17"/>
      <c r="H200" s="17"/>
      <c r="I200" s="17"/>
      <c r="J200" s="17"/>
      <c r="K200" s="17"/>
      <c r="L200" s="17"/>
      <c r="M200" s="17" t="s">
        <v>113</v>
      </c>
      <c r="N200" s="83" t="s">
        <v>121</v>
      </c>
      <c r="O200" s="8"/>
      <c r="P200" s="8"/>
      <c r="Q200" s="8"/>
      <c r="R200" s="5"/>
    </row>
    <row r="201" spans="1:18" ht="15.6" x14ac:dyDescent="0.3">
      <c r="A201" s="84"/>
      <c r="B201" s="76" t="s">
        <v>87</v>
      </c>
      <c r="C201" s="54"/>
      <c r="D201" s="25"/>
      <c r="E201" s="25"/>
      <c r="F201" s="30"/>
      <c r="G201" s="30"/>
      <c r="H201" s="30"/>
      <c r="I201" s="30"/>
      <c r="J201" s="30"/>
      <c r="K201" s="30"/>
      <c r="L201" s="30"/>
      <c r="M201" s="30">
        <v>9</v>
      </c>
      <c r="N201" s="85">
        <v>367</v>
      </c>
      <c r="O201" s="25"/>
      <c r="P201" s="79"/>
      <c r="Q201" s="86"/>
      <c r="R201" s="5"/>
    </row>
    <row r="202" spans="1:18" ht="15.6" x14ac:dyDescent="0.3">
      <c r="A202" s="84"/>
      <c r="B202" s="76" t="s">
        <v>203</v>
      </c>
      <c r="C202" s="54"/>
      <c r="D202" s="25"/>
      <c r="E202" s="25"/>
      <c r="F202" s="30"/>
      <c r="G202" s="30"/>
      <c r="H202" s="30"/>
      <c r="I202" s="30"/>
      <c r="J202" s="30"/>
      <c r="K202" s="30"/>
      <c r="L202" s="30"/>
      <c r="M202" s="151">
        <f>+L239</f>
        <v>73</v>
      </c>
      <c r="N202" s="85">
        <f>+N239</f>
        <v>7084</v>
      </c>
      <c r="O202" s="25"/>
      <c r="P202" s="79"/>
      <c r="Q202" s="86"/>
      <c r="R202" s="5"/>
    </row>
    <row r="203" spans="1:18" ht="15.6" x14ac:dyDescent="0.3">
      <c r="A203" s="84"/>
      <c r="B203" s="76" t="s">
        <v>88</v>
      </c>
      <c r="C203" s="54"/>
      <c r="D203" s="25"/>
      <c r="E203" s="25"/>
      <c r="F203" s="30"/>
      <c r="G203" s="30"/>
      <c r="H203" s="30"/>
      <c r="I203" s="30"/>
      <c r="J203" s="30"/>
      <c r="K203" s="30"/>
      <c r="L203" s="30"/>
      <c r="M203" s="151">
        <f>+L250</f>
        <v>1</v>
      </c>
      <c r="N203" s="85">
        <f>+N250</f>
        <v>36</v>
      </c>
      <c r="O203" s="25"/>
      <c r="P203" s="79"/>
      <c r="Q203" s="86"/>
      <c r="R203" s="5"/>
    </row>
    <row r="204" spans="1:18" ht="15.6" x14ac:dyDescent="0.3">
      <c r="A204" s="84"/>
      <c r="B204" s="122" t="s">
        <v>89</v>
      </c>
      <c r="C204" s="54"/>
      <c r="D204" s="25"/>
      <c r="E204" s="25"/>
      <c r="F204" s="25"/>
      <c r="G204" s="25"/>
      <c r="H204" s="25"/>
      <c r="I204" s="25"/>
      <c r="J204" s="25"/>
      <c r="K204" s="25"/>
      <c r="L204" s="25"/>
      <c r="M204" s="25"/>
      <c r="N204" s="85">
        <v>0</v>
      </c>
      <c r="O204" s="25"/>
      <c r="P204" s="79"/>
      <c r="Q204" s="86"/>
      <c r="R204" s="5"/>
    </row>
    <row r="205" spans="1:18" ht="15.6" x14ac:dyDescent="0.3">
      <c r="A205" s="84"/>
      <c r="B205" s="122" t="s">
        <v>90</v>
      </c>
      <c r="C205" s="54"/>
      <c r="D205" s="25"/>
      <c r="E205" s="25"/>
      <c r="F205" s="25"/>
      <c r="G205" s="25"/>
      <c r="H205" s="25"/>
      <c r="I205" s="25"/>
      <c r="J205" s="25"/>
      <c r="K205" s="25"/>
      <c r="L205" s="25"/>
      <c r="M205" s="25"/>
      <c r="N205" s="62" t="s">
        <v>122</v>
      </c>
      <c r="O205" s="25"/>
      <c r="P205" s="79"/>
      <c r="Q205" s="86"/>
      <c r="R205" s="5"/>
    </row>
    <row r="206" spans="1:18" ht="15.6" x14ac:dyDescent="0.3">
      <c r="A206" s="87"/>
      <c r="B206" s="122" t="s">
        <v>91</v>
      </c>
      <c r="C206" s="76"/>
      <c r="D206" s="76"/>
      <c r="E206" s="25"/>
      <c r="F206" s="25"/>
      <c r="G206" s="25"/>
      <c r="H206" s="25"/>
      <c r="I206" s="25"/>
      <c r="J206" s="167"/>
      <c r="K206" s="25"/>
      <c r="L206" s="25"/>
      <c r="M206" s="25"/>
      <c r="N206" s="85"/>
      <c r="O206" s="25"/>
      <c r="P206" s="79"/>
      <c r="Q206" s="88"/>
      <c r="R206" s="5"/>
    </row>
    <row r="207" spans="1:18" ht="15.6" x14ac:dyDescent="0.3">
      <c r="A207" s="87"/>
      <c r="B207" s="135" t="s">
        <v>92</v>
      </c>
      <c r="C207" s="76"/>
      <c r="D207" s="76"/>
      <c r="E207" s="25"/>
      <c r="F207" s="25"/>
      <c r="G207" s="25"/>
      <c r="H207" s="25"/>
      <c r="I207" s="25"/>
      <c r="J207" s="25"/>
      <c r="K207" s="25"/>
      <c r="L207" s="25"/>
      <c r="M207" s="25">
        <v>0</v>
      </c>
      <c r="N207" s="85">
        <f>P152</f>
        <v>0</v>
      </c>
      <c r="O207" s="25"/>
      <c r="P207" s="79"/>
      <c r="Q207" s="88"/>
      <c r="R207" s="5"/>
    </row>
    <row r="208" spans="1:18" ht="15.6" x14ac:dyDescent="0.3">
      <c r="A208" s="84"/>
      <c r="B208" s="76" t="s">
        <v>93</v>
      </c>
      <c r="C208" s="54"/>
      <c r="D208" s="54"/>
      <c r="E208" s="25"/>
      <c r="F208" s="25"/>
      <c r="G208" s="25"/>
      <c r="H208" s="25"/>
      <c r="I208" s="25"/>
      <c r="J208" s="25"/>
      <c r="K208" s="25"/>
      <c r="L208" s="25"/>
      <c r="M208" s="25">
        <v>0</v>
      </c>
      <c r="N208" s="85">
        <f>'April 06'!N208+'July 06'!N207</f>
        <v>0</v>
      </c>
      <c r="O208" s="25"/>
      <c r="P208" s="79"/>
      <c r="Q208" s="88"/>
      <c r="R208" s="5"/>
    </row>
    <row r="209" spans="1:18" ht="15.6" x14ac:dyDescent="0.3">
      <c r="A209" s="87"/>
      <c r="B209" s="122" t="s">
        <v>278</v>
      </c>
      <c r="C209" s="76"/>
      <c r="D209" s="76"/>
      <c r="E209" s="25"/>
      <c r="F209" s="25"/>
      <c r="G209" s="25"/>
      <c r="H209" s="25"/>
      <c r="I209" s="25"/>
      <c r="J209" s="25"/>
      <c r="K209" s="25"/>
      <c r="L209" s="25"/>
      <c r="M209" s="25"/>
      <c r="N209" s="85"/>
      <c r="O209" s="25"/>
      <c r="P209" s="79"/>
      <c r="Q209" s="88"/>
      <c r="R209" s="5"/>
    </row>
    <row r="210" spans="1:18" ht="15.6" x14ac:dyDescent="0.3">
      <c r="A210" s="87"/>
      <c r="B210" s="76" t="s">
        <v>276</v>
      </c>
      <c r="C210" s="76"/>
      <c r="D210" s="76"/>
      <c r="E210" s="25"/>
      <c r="F210" s="25"/>
      <c r="G210" s="25"/>
      <c r="H210" s="25"/>
      <c r="I210" s="25"/>
      <c r="J210" s="25"/>
      <c r="K210" s="25"/>
      <c r="L210" s="25"/>
      <c r="M210" s="30">
        <v>0</v>
      </c>
      <c r="N210" s="85">
        <v>0</v>
      </c>
      <c r="O210" s="25"/>
      <c r="P210" s="79"/>
      <c r="Q210" s="88"/>
      <c r="R210" s="5"/>
    </row>
    <row r="211" spans="1:18" ht="15.6" x14ac:dyDescent="0.3">
      <c r="A211" s="84"/>
      <c r="B211" s="76" t="s">
        <v>95</v>
      </c>
      <c r="C211" s="89"/>
      <c r="D211" s="90"/>
      <c r="E211" s="25"/>
      <c r="F211" s="25"/>
      <c r="G211" s="25"/>
      <c r="H211" s="25"/>
      <c r="I211" s="25"/>
      <c r="J211" s="25"/>
      <c r="K211" s="25"/>
      <c r="L211" s="25"/>
      <c r="M211" s="25"/>
      <c r="N211" s="62">
        <v>0</v>
      </c>
      <c r="O211" s="25"/>
      <c r="P211" s="79"/>
      <c r="Q211" s="88"/>
      <c r="R211" s="5"/>
    </row>
    <row r="212" spans="1:18" ht="15.6" x14ac:dyDescent="0.3">
      <c r="A212" s="84"/>
      <c r="B212" s="76" t="s">
        <v>96</v>
      </c>
      <c r="C212" s="89"/>
      <c r="D212" s="90"/>
      <c r="E212" s="25"/>
      <c r="F212" s="25"/>
      <c r="G212" s="25"/>
      <c r="H212" s="25"/>
      <c r="I212" s="25"/>
      <c r="J212" s="25"/>
      <c r="K212" s="25"/>
      <c r="L212" s="25"/>
      <c r="M212" s="25"/>
      <c r="N212" s="62">
        <v>0</v>
      </c>
      <c r="O212" s="25"/>
      <c r="P212" s="79"/>
      <c r="Q212" s="88"/>
      <c r="R212" s="5"/>
    </row>
    <row r="213" spans="1:18" ht="15.6" x14ac:dyDescent="0.3">
      <c r="A213" s="84"/>
      <c r="B213" s="122" t="s">
        <v>251</v>
      </c>
      <c r="C213" s="89"/>
      <c r="D213" s="90"/>
      <c r="E213" s="25"/>
      <c r="F213" s="25"/>
      <c r="G213" s="25"/>
      <c r="H213" s="25"/>
      <c r="I213" s="25"/>
      <c r="J213" s="25"/>
      <c r="K213" s="25"/>
      <c r="L213" s="25"/>
      <c r="M213" s="25"/>
      <c r="N213" s="91"/>
      <c r="O213" s="25"/>
      <c r="P213" s="79"/>
      <c r="Q213" s="88"/>
      <c r="R213" s="5"/>
    </row>
    <row r="214" spans="1:18" ht="15.6" x14ac:dyDescent="0.3">
      <c r="A214" s="84"/>
      <c r="B214" s="76" t="s">
        <v>276</v>
      </c>
      <c r="C214" s="89"/>
      <c r="D214" s="90"/>
      <c r="E214" s="25"/>
      <c r="F214" s="25"/>
      <c r="G214" s="25"/>
      <c r="H214" s="25"/>
      <c r="I214" s="25"/>
      <c r="J214" s="25"/>
      <c r="K214" s="25"/>
      <c r="L214" s="25"/>
      <c r="M214" s="30">
        <v>2</v>
      </c>
      <c r="N214" s="85">
        <v>138</v>
      </c>
      <c r="O214" s="25"/>
      <c r="P214" s="79"/>
      <c r="Q214" s="88"/>
      <c r="R214" s="5"/>
    </row>
    <row r="215" spans="1:18" ht="15.6" x14ac:dyDescent="0.3">
      <c r="A215" s="84"/>
      <c r="B215" s="76" t="s">
        <v>252</v>
      </c>
      <c r="C215" s="89"/>
      <c r="D215" s="90"/>
      <c r="E215" s="25"/>
      <c r="F215" s="25"/>
      <c r="G215" s="25"/>
      <c r="H215" s="25"/>
      <c r="I215" s="25"/>
      <c r="J215" s="25"/>
      <c r="K215" s="25"/>
      <c r="L215" s="25"/>
      <c r="M215" s="25"/>
      <c r="N215" s="62">
        <v>4.8499999999999996</v>
      </c>
      <c r="O215" s="25"/>
      <c r="P215" s="79"/>
      <c r="Q215" s="88"/>
      <c r="R215" s="5"/>
    </row>
    <row r="216" spans="1:18" ht="15.6" x14ac:dyDescent="0.3">
      <c r="A216" s="84"/>
      <c r="B216" s="76"/>
      <c r="C216" s="89"/>
      <c r="D216" s="90"/>
      <c r="E216" s="25"/>
      <c r="F216" s="25"/>
      <c r="G216" s="25"/>
      <c r="H216" s="25"/>
      <c r="I216" s="25"/>
      <c r="J216" s="25"/>
      <c r="K216" s="25"/>
      <c r="L216" s="25"/>
      <c r="M216" s="25"/>
      <c r="N216" s="91"/>
      <c r="O216" s="25"/>
      <c r="P216" s="79"/>
      <c r="Q216" s="88"/>
      <c r="R216" s="5"/>
    </row>
    <row r="217" spans="1:18" ht="17.399999999999999" x14ac:dyDescent="0.3">
      <c r="A217" s="84"/>
      <c r="B217" s="160" t="s">
        <v>244</v>
      </c>
      <c r="C217" s="161"/>
      <c r="D217" s="162"/>
      <c r="E217" s="163"/>
      <c r="F217" s="163"/>
      <c r="G217" s="163"/>
      <c r="H217" s="163"/>
      <c r="I217" s="166"/>
      <c r="J217" s="169" t="s">
        <v>243</v>
      </c>
      <c r="K217" s="163"/>
      <c r="L217" s="163"/>
      <c r="M217" s="25"/>
      <c r="N217" s="91"/>
      <c r="O217" s="25"/>
      <c r="P217" s="79"/>
      <c r="Q217" s="88"/>
      <c r="R217" s="5"/>
    </row>
    <row r="218" spans="1:18" ht="15.6" x14ac:dyDescent="0.3">
      <c r="A218" s="84"/>
      <c r="B218" s="156"/>
      <c r="C218" s="157"/>
      <c r="D218" s="158"/>
      <c r="E218" s="146"/>
      <c r="F218" s="146"/>
      <c r="G218" s="146"/>
      <c r="H218" s="146"/>
      <c r="I218" s="146"/>
      <c r="J218" s="146"/>
      <c r="K218" s="146"/>
      <c r="L218" s="146"/>
      <c r="M218" s="25"/>
      <c r="N218" s="91"/>
      <c r="O218" s="25"/>
      <c r="P218" s="79"/>
      <c r="Q218" s="88"/>
      <c r="R218" s="5"/>
    </row>
    <row r="219" spans="1:18" ht="15.6" x14ac:dyDescent="0.3">
      <c r="A219" s="6"/>
      <c r="B219" s="14" t="s">
        <v>236</v>
      </c>
      <c r="C219" s="81"/>
      <c r="D219" s="82"/>
      <c r="E219" s="81"/>
      <c r="F219" s="17"/>
      <c r="G219" s="17"/>
      <c r="H219" s="17"/>
      <c r="I219" s="17"/>
      <c r="J219" s="17"/>
      <c r="K219" s="17"/>
      <c r="L219" s="83" t="s">
        <v>113</v>
      </c>
      <c r="M219" s="17" t="s">
        <v>114</v>
      </c>
      <c r="N219" s="83" t="s">
        <v>123</v>
      </c>
      <c r="O219" s="17" t="s">
        <v>114</v>
      </c>
      <c r="P219" s="8"/>
      <c r="Q219" s="92"/>
      <c r="R219" s="5"/>
    </row>
    <row r="220" spans="1:18" ht="15.6" x14ac:dyDescent="0.3">
      <c r="A220" s="24"/>
      <c r="B220" s="54" t="s">
        <v>98</v>
      </c>
      <c r="C220" s="93"/>
      <c r="D220" s="25"/>
      <c r="E220" s="93"/>
      <c r="F220" s="93"/>
      <c r="G220" s="93"/>
      <c r="H220" s="93"/>
      <c r="I220" s="93"/>
      <c r="J220" s="93"/>
      <c r="K220" s="93"/>
      <c r="L220" s="54">
        <v>7243</v>
      </c>
      <c r="M220" s="94">
        <f t="shared" ref="M220:M227" si="1">L220/$L$228</f>
        <v>0.98961606776882083</v>
      </c>
      <c r="N220" s="53">
        <v>680202</v>
      </c>
      <c r="O220" s="136">
        <f t="shared" ref="O220:O227" si="2">N220/$N$228</f>
        <v>0.9917852081255577</v>
      </c>
      <c r="P220" s="79"/>
      <c r="Q220" s="88"/>
      <c r="R220" s="5"/>
    </row>
    <row r="221" spans="1:18" ht="15.6" x14ac:dyDescent="0.3">
      <c r="A221" s="24"/>
      <c r="B221" s="54" t="s">
        <v>99</v>
      </c>
      <c r="C221" s="93"/>
      <c r="D221" s="25"/>
      <c r="E221" s="94"/>
      <c r="F221" s="93"/>
      <c r="G221" s="93"/>
      <c r="H221" s="93"/>
      <c r="I221" s="93"/>
      <c r="J221" s="93"/>
      <c r="K221" s="93"/>
      <c r="L221" s="54">
        <v>46</v>
      </c>
      <c r="M221" s="94">
        <f t="shared" si="1"/>
        <v>6.2850116136084168E-3</v>
      </c>
      <c r="N221" s="53">
        <v>3951</v>
      </c>
      <c r="O221" s="136">
        <f t="shared" si="2"/>
        <v>5.7608524486903578E-3</v>
      </c>
      <c r="P221" s="79"/>
      <c r="Q221" s="88"/>
      <c r="R221" s="5"/>
    </row>
    <row r="222" spans="1:18" ht="15.6" x14ac:dyDescent="0.3">
      <c r="A222" s="24"/>
      <c r="B222" s="54" t="s">
        <v>100</v>
      </c>
      <c r="C222" s="93"/>
      <c r="D222" s="25"/>
      <c r="E222" s="94"/>
      <c r="F222" s="93"/>
      <c r="G222" s="93"/>
      <c r="H222" s="93"/>
      <c r="I222" s="93"/>
      <c r="J222" s="93"/>
      <c r="K222" s="93"/>
      <c r="L222" s="54">
        <v>16</v>
      </c>
      <c r="M222" s="94">
        <f t="shared" si="1"/>
        <v>2.1860909960377101E-3</v>
      </c>
      <c r="N222" s="53">
        <v>991</v>
      </c>
      <c r="O222" s="136">
        <f t="shared" si="2"/>
        <v>1.444951854379181E-3</v>
      </c>
      <c r="P222" s="79"/>
      <c r="Q222" s="88"/>
      <c r="R222" s="5"/>
    </row>
    <row r="223" spans="1:18" ht="15.6" x14ac:dyDescent="0.3">
      <c r="A223" s="24"/>
      <c r="B223" s="54" t="s">
        <v>227</v>
      </c>
      <c r="C223" s="93"/>
      <c r="D223" s="25"/>
      <c r="E223" s="94"/>
      <c r="F223" s="93"/>
      <c r="G223" s="93"/>
      <c r="H223" s="93"/>
      <c r="I223" s="93"/>
      <c r="J223" s="93"/>
      <c r="K223" s="93"/>
      <c r="L223" s="54">
        <v>5</v>
      </c>
      <c r="M223" s="94">
        <f t="shared" si="1"/>
        <v>6.8315343626178444E-4</v>
      </c>
      <c r="N223" s="53">
        <v>294</v>
      </c>
      <c r="O223" s="136">
        <f t="shared" si="2"/>
        <v>4.286739103809074E-4</v>
      </c>
      <c r="P223" s="79"/>
      <c r="Q223" s="88"/>
      <c r="R223" s="5"/>
    </row>
    <row r="224" spans="1:18" ht="15.6" x14ac:dyDescent="0.3">
      <c r="A224" s="24"/>
      <c r="B224" s="54" t="s">
        <v>228</v>
      </c>
      <c r="C224" s="93"/>
      <c r="D224" s="25"/>
      <c r="E224" s="94"/>
      <c r="F224" s="93"/>
      <c r="G224" s="93"/>
      <c r="H224" s="93"/>
      <c r="I224" s="93"/>
      <c r="J224" s="93"/>
      <c r="K224" s="93"/>
      <c r="L224" s="54">
        <v>3</v>
      </c>
      <c r="M224" s="94">
        <f t="shared" si="1"/>
        <v>4.0989206175707062E-4</v>
      </c>
      <c r="N224" s="53">
        <v>112</v>
      </c>
      <c r="O224" s="136">
        <f t="shared" si="2"/>
        <v>1.6330434681177425E-4</v>
      </c>
      <c r="P224" s="79"/>
      <c r="Q224" s="88"/>
      <c r="R224" s="5"/>
    </row>
    <row r="225" spans="1:18" ht="15.6" x14ac:dyDescent="0.3">
      <c r="A225" s="24"/>
      <c r="B225" s="54" t="s">
        <v>229</v>
      </c>
      <c r="C225" s="93"/>
      <c r="D225" s="25"/>
      <c r="E225" s="94"/>
      <c r="F225" s="93"/>
      <c r="G225" s="93"/>
      <c r="H225" s="93"/>
      <c r="I225" s="93"/>
      <c r="J225" s="93"/>
      <c r="K225" s="93"/>
      <c r="L225" s="54">
        <v>2</v>
      </c>
      <c r="M225" s="94">
        <f t="shared" si="1"/>
        <v>2.7326137450471376E-4</v>
      </c>
      <c r="N225" s="53">
        <v>92</v>
      </c>
      <c r="O225" s="136">
        <f t="shared" si="2"/>
        <v>1.3414285630967171E-4</v>
      </c>
      <c r="P225" s="79"/>
      <c r="Q225" s="88"/>
      <c r="R225" s="5"/>
    </row>
    <row r="226" spans="1:18" ht="15.6" x14ac:dyDescent="0.3">
      <c r="A226" s="24"/>
      <c r="B226" s="54" t="s">
        <v>230</v>
      </c>
      <c r="C226" s="93"/>
      <c r="D226" s="25"/>
      <c r="E226" s="94"/>
      <c r="F226" s="93"/>
      <c r="G226" s="93"/>
      <c r="H226" s="93"/>
      <c r="I226" s="93"/>
      <c r="J226" s="93"/>
      <c r="K226" s="93"/>
      <c r="L226" s="54">
        <v>2</v>
      </c>
      <c r="M226" s="94">
        <f t="shared" si="1"/>
        <v>2.7326137450471376E-4</v>
      </c>
      <c r="N226" s="53">
        <v>69</v>
      </c>
      <c r="O226" s="136">
        <f t="shared" si="2"/>
        <v>1.0060714223225377E-4</v>
      </c>
      <c r="P226" s="79"/>
      <c r="Q226" s="88"/>
      <c r="R226" s="5"/>
    </row>
    <row r="227" spans="1:18" ht="15.6" x14ac:dyDescent="0.3">
      <c r="A227" s="24"/>
      <c r="B227" s="54" t="s">
        <v>231</v>
      </c>
      <c r="C227" s="93"/>
      <c r="D227" s="25"/>
      <c r="E227" s="94"/>
      <c r="F227" s="93"/>
      <c r="G227" s="93"/>
      <c r="H227" s="93"/>
      <c r="I227" s="93"/>
      <c r="J227" s="93"/>
      <c r="K227" s="93"/>
      <c r="L227" s="54">
        <v>2</v>
      </c>
      <c r="M227" s="94">
        <f t="shared" si="1"/>
        <v>2.7326137450471376E-4</v>
      </c>
      <c r="N227" s="53">
        <v>125</v>
      </c>
      <c r="O227" s="136">
        <f t="shared" si="2"/>
        <v>1.8225931563814089E-4</v>
      </c>
      <c r="P227" s="79"/>
      <c r="Q227" s="88"/>
      <c r="R227" s="5"/>
    </row>
    <row r="228" spans="1:18" ht="15.6" x14ac:dyDescent="0.3">
      <c r="A228" s="24"/>
      <c r="B228" s="25" t="s">
        <v>129</v>
      </c>
      <c r="C228" s="25"/>
      <c r="D228" s="25"/>
      <c r="E228" s="25"/>
      <c r="F228" s="95"/>
      <c r="G228" s="95"/>
      <c r="H228" s="95"/>
      <c r="I228" s="95"/>
      <c r="J228" s="95"/>
      <c r="K228" s="95"/>
      <c r="L228" s="34">
        <f>SUM(L220:L227)</f>
        <v>7319</v>
      </c>
      <c r="M228" s="136">
        <f>SUM(M220:M227)</f>
        <v>0.99999999999999989</v>
      </c>
      <c r="N228" s="53">
        <f>SUM(N220:N227)</f>
        <v>685836</v>
      </c>
      <c r="O228" s="136">
        <f>SUM(O220:O227)</f>
        <v>1</v>
      </c>
      <c r="P228" s="25"/>
      <c r="Q228" s="25"/>
      <c r="R228" s="5"/>
    </row>
    <row r="229" spans="1:18" ht="15.6" x14ac:dyDescent="0.3">
      <c r="A229" s="24"/>
      <c r="B229" s="25"/>
      <c r="C229" s="25"/>
      <c r="D229" s="25"/>
      <c r="E229" s="25"/>
      <c r="F229" s="95"/>
      <c r="G229" s="95"/>
      <c r="H229" s="95"/>
      <c r="I229" s="95"/>
      <c r="J229" s="95"/>
      <c r="K229" s="95"/>
      <c r="L229" s="34"/>
      <c r="M229" s="136"/>
      <c r="N229" s="53"/>
      <c r="O229" s="136"/>
      <c r="P229" s="25"/>
      <c r="Q229" s="25"/>
      <c r="R229" s="5"/>
    </row>
    <row r="230" spans="1:18" ht="15.6" x14ac:dyDescent="0.3">
      <c r="A230" s="148"/>
      <c r="B230" s="14" t="s">
        <v>238</v>
      </c>
      <c r="C230" s="81"/>
      <c r="D230" s="82"/>
      <c r="E230" s="81"/>
      <c r="F230" s="17"/>
      <c r="G230" s="17"/>
      <c r="H230" s="17"/>
      <c r="I230" s="17"/>
      <c r="J230" s="17"/>
      <c r="K230" s="17"/>
      <c r="L230" s="83" t="s">
        <v>113</v>
      </c>
      <c r="M230" s="17" t="s">
        <v>114</v>
      </c>
      <c r="N230" s="83" t="s">
        <v>123</v>
      </c>
      <c r="O230" s="17" t="s">
        <v>114</v>
      </c>
      <c r="P230" s="8"/>
      <c r="Q230" s="149"/>
      <c r="R230" s="5"/>
    </row>
    <row r="231" spans="1:18" ht="15.6" x14ac:dyDescent="0.3">
      <c r="A231" s="24"/>
      <c r="B231" s="54" t="s">
        <v>98</v>
      </c>
      <c r="C231" s="93"/>
      <c r="D231" s="25"/>
      <c r="E231" s="93"/>
      <c r="F231" s="93"/>
      <c r="G231" s="93"/>
      <c r="H231" s="93"/>
      <c r="I231" s="93"/>
      <c r="J231" s="93"/>
      <c r="K231" s="93"/>
      <c r="L231" s="54">
        <v>26</v>
      </c>
      <c r="M231" s="94">
        <f t="shared" ref="M231:M238" si="3">L231/$L$239</f>
        <v>0.35616438356164382</v>
      </c>
      <c r="N231" s="53">
        <v>1802</v>
      </c>
      <c r="O231" s="136">
        <f t="shared" ref="O231:O238" si="4">N231/$N$239</f>
        <v>0.2543760587238848</v>
      </c>
      <c r="P231" s="79"/>
      <c r="Q231" s="25"/>
      <c r="R231" s="5"/>
    </row>
    <row r="232" spans="1:18" ht="15.6" x14ac:dyDescent="0.3">
      <c r="A232" s="24"/>
      <c r="B232" s="54" t="s">
        <v>99</v>
      </c>
      <c r="C232" s="93"/>
      <c r="D232" s="25"/>
      <c r="E232" s="94"/>
      <c r="F232" s="93"/>
      <c r="G232" s="93"/>
      <c r="H232" s="93"/>
      <c r="I232" s="93"/>
      <c r="J232" s="93"/>
      <c r="K232" s="93"/>
      <c r="L232" s="54">
        <v>2</v>
      </c>
      <c r="M232" s="94">
        <f t="shared" si="3"/>
        <v>2.7397260273972601E-2</v>
      </c>
      <c r="N232" s="53">
        <v>506</v>
      </c>
      <c r="O232" s="136">
        <f t="shared" si="4"/>
        <v>7.1428571428571425E-2</v>
      </c>
      <c r="P232" s="79"/>
      <c r="Q232" s="25"/>
      <c r="R232" s="5"/>
    </row>
    <row r="233" spans="1:18" ht="15.6" x14ac:dyDescent="0.3">
      <c r="A233" s="24"/>
      <c r="B233" s="54" t="s">
        <v>100</v>
      </c>
      <c r="C233" s="93"/>
      <c r="D233" s="25"/>
      <c r="E233" s="94"/>
      <c r="F233" s="93"/>
      <c r="G233" s="93"/>
      <c r="H233" s="93"/>
      <c r="I233" s="93"/>
      <c r="J233" s="93"/>
      <c r="K233" s="93"/>
      <c r="L233" s="54">
        <v>2</v>
      </c>
      <c r="M233" s="94">
        <f t="shared" si="3"/>
        <v>2.7397260273972601E-2</v>
      </c>
      <c r="N233" s="53">
        <v>193</v>
      </c>
      <c r="O233" s="136">
        <f t="shared" si="4"/>
        <v>2.7244494635798984E-2</v>
      </c>
      <c r="P233" s="79"/>
      <c r="Q233" s="25"/>
      <c r="R233" s="5"/>
    </row>
    <row r="234" spans="1:18" ht="15.6" x14ac:dyDescent="0.3">
      <c r="A234" s="24"/>
      <c r="B234" s="54" t="s">
        <v>227</v>
      </c>
      <c r="C234" s="93"/>
      <c r="D234" s="25"/>
      <c r="E234" s="94"/>
      <c r="F234" s="93"/>
      <c r="G234" s="93"/>
      <c r="H234" s="93"/>
      <c r="I234" s="93"/>
      <c r="J234" s="93"/>
      <c r="K234" s="93"/>
      <c r="L234" s="54">
        <v>2</v>
      </c>
      <c r="M234" s="94">
        <f t="shared" si="3"/>
        <v>2.7397260273972601E-2</v>
      </c>
      <c r="N234" s="53">
        <v>62</v>
      </c>
      <c r="O234" s="136">
        <f t="shared" si="4"/>
        <v>8.752117447769622E-3</v>
      </c>
      <c r="P234" s="79"/>
      <c r="Q234" s="25"/>
      <c r="R234" s="5"/>
    </row>
    <row r="235" spans="1:18" ht="15.6" x14ac:dyDescent="0.3">
      <c r="A235" s="24"/>
      <c r="B235" s="54" t="s">
        <v>228</v>
      </c>
      <c r="C235" s="93"/>
      <c r="D235" s="25"/>
      <c r="E235" s="94"/>
      <c r="F235" s="93"/>
      <c r="G235" s="93"/>
      <c r="H235" s="93"/>
      <c r="I235" s="93"/>
      <c r="J235" s="93"/>
      <c r="K235" s="93"/>
      <c r="L235" s="54">
        <v>2</v>
      </c>
      <c r="M235" s="94">
        <f t="shared" si="3"/>
        <v>2.7397260273972601E-2</v>
      </c>
      <c r="N235" s="53">
        <v>66</v>
      </c>
      <c r="O235" s="136">
        <f t="shared" si="4"/>
        <v>9.316770186335404E-3</v>
      </c>
      <c r="P235" s="79"/>
      <c r="Q235" s="25"/>
      <c r="R235" s="5"/>
    </row>
    <row r="236" spans="1:18" ht="15.6" x14ac:dyDescent="0.3">
      <c r="A236" s="24"/>
      <c r="B236" s="54" t="s">
        <v>229</v>
      </c>
      <c r="C236" s="93"/>
      <c r="D236" s="25"/>
      <c r="E236" s="94"/>
      <c r="F236" s="93"/>
      <c r="G236" s="93"/>
      <c r="H236" s="93"/>
      <c r="I236" s="93"/>
      <c r="J236" s="93"/>
      <c r="K236" s="93"/>
      <c r="L236" s="54">
        <v>2</v>
      </c>
      <c r="M236" s="94">
        <f t="shared" si="3"/>
        <v>2.7397260273972601E-2</v>
      </c>
      <c r="N236" s="53">
        <v>130</v>
      </c>
      <c r="O236" s="136">
        <f t="shared" si="4"/>
        <v>1.8351214003387916E-2</v>
      </c>
      <c r="P236" s="79"/>
      <c r="Q236" s="25"/>
      <c r="R236" s="5"/>
    </row>
    <row r="237" spans="1:18" ht="15.6" x14ac:dyDescent="0.3">
      <c r="A237" s="24"/>
      <c r="B237" s="54" t="s">
        <v>230</v>
      </c>
      <c r="C237" s="93"/>
      <c r="D237" s="25"/>
      <c r="E237" s="94"/>
      <c r="F237" s="93"/>
      <c r="G237" s="93"/>
      <c r="H237" s="93"/>
      <c r="I237" s="93"/>
      <c r="J237" s="93"/>
      <c r="K237" s="93"/>
      <c r="L237" s="54">
        <v>14</v>
      </c>
      <c r="M237" s="94">
        <f t="shared" si="3"/>
        <v>0.19178082191780821</v>
      </c>
      <c r="N237" s="53">
        <v>1880</v>
      </c>
      <c r="O237" s="136">
        <f t="shared" si="4"/>
        <v>0.26538678712591757</v>
      </c>
      <c r="P237" s="79"/>
      <c r="Q237" s="25"/>
      <c r="R237" s="5"/>
    </row>
    <row r="238" spans="1:18" ht="15.6" x14ac:dyDescent="0.3">
      <c r="A238" s="24"/>
      <c r="B238" s="54" t="s">
        <v>231</v>
      </c>
      <c r="C238" s="93"/>
      <c r="D238" s="25"/>
      <c r="E238" s="94"/>
      <c r="F238" s="93"/>
      <c r="G238" s="93"/>
      <c r="H238" s="93"/>
      <c r="I238" s="93"/>
      <c r="J238" s="93"/>
      <c r="K238" s="93"/>
      <c r="L238" s="54">
        <v>23</v>
      </c>
      <c r="M238" s="94">
        <f t="shared" si="3"/>
        <v>0.31506849315068491</v>
      </c>
      <c r="N238" s="53">
        <v>2445</v>
      </c>
      <c r="O238" s="136">
        <f t="shared" si="4"/>
        <v>0.34514398644833427</v>
      </c>
      <c r="P238" s="79"/>
      <c r="Q238" s="25"/>
      <c r="R238" s="5"/>
    </row>
    <row r="239" spans="1:18" ht="15.6" x14ac:dyDescent="0.3">
      <c r="A239" s="24"/>
      <c r="B239" s="25" t="s">
        <v>129</v>
      </c>
      <c r="C239" s="25"/>
      <c r="D239" s="25"/>
      <c r="E239" s="25"/>
      <c r="F239" s="95"/>
      <c r="G239" s="95"/>
      <c r="H239" s="95"/>
      <c r="I239" s="95"/>
      <c r="J239" s="95"/>
      <c r="K239" s="95"/>
      <c r="L239" s="34">
        <f>SUM(L231:L238)</f>
        <v>73</v>
      </c>
      <c r="M239" s="136">
        <f>SUM(M231:M238)</f>
        <v>1</v>
      </c>
      <c r="N239" s="53">
        <f>SUM(N231:N238)</f>
        <v>7084</v>
      </c>
      <c r="O239" s="136">
        <f>SUM(O231:O238)</f>
        <v>1</v>
      </c>
      <c r="P239" s="25"/>
      <c r="Q239" s="25"/>
      <c r="R239" s="5"/>
    </row>
    <row r="240" spans="1:18" ht="15.6" x14ac:dyDescent="0.3">
      <c r="A240" s="24"/>
      <c r="B240" s="25"/>
      <c r="C240" s="25"/>
      <c r="D240" s="25"/>
      <c r="E240" s="25"/>
      <c r="F240" s="95"/>
      <c r="G240" s="95"/>
      <c r="H240" s="95"/>
      <c r="I240" s="95"/>
      <c r="J240" s="95"/>
      <c r="K240" s="95"/>
      <c r="L240" s="34"/>
      <c r="M240" s="136"/>
      <c r="N240" s="53"/>
      <c r="O240" s="136"/>
      <c r="P240" s="25"/>
      <c r="Q240" s="25"/>
      <c r="R240" s="5"/>
    </row>
    <row r="241" spans="1:18" ht="15.6" x14ac:dyDescent="0.3">
      <c r="A241" s="148"/>
      <c r="B241" s="14" t="s">
        <v>239</v>
      </c>
      <c r="C241" s="81"/>
      <c r="D241" s="82"/>
      <c r="E241" s="81"/>
      <c r="F241" s="17"/>
      <c r="G241" s="17"/>
      <c r="H241" s="17"/>
      <c r="I241" s="17"/>
      <c r="J241" s="17"/>
      <c r="K241" s="17"/>
      <c r="L241" s="83" t="s">
        <v>113</v>
      </c>
      <c r="M241" s="17" t="s">
        <v>114</v>
      </c>
      <c r="N241" s="83" t="s">
        <v>123</v>
      </c>
      <c r="O241" s="17" t="s">
        <v>114</v>
      </c>
      <c r="P241" s="150"/>
      <c r="Q241" s="149"/>
      <c r="R241" s="5"/>
    </row>
    <row r="242" spans="1:18" ht="15.6" x14ac:dyDescent="0.3">
      <c r="A242" s="24"/>
      <c r="B242" s="54" t="s">
        <v>98</v>
      </c>
      <c r="C242" s="93"/>
      <c r="D242" s="25"/>
      <c r="E242" s="93"/>
      <c r="F242" s="93"/>
      <c r="G242" s="93"/>
      <c r="H242" s="93"/>
      <c r="I242" s="93"/>
      <c r="J242" s="93"/>
      <c r="K242" s="93"/>
      <c r="L242" s="54">
        <v>0</v>
      </c>
      <c r="M242" s="94">
        <v>0</v>
      </c>
      <c r="N242" s="53">
        <v>0</v>
      </c>
      <c r="O242" s="136">
        <v>0</v>
      </c>
      <c r="P242" s="25"/>
      <c r="Q242" s="25"/>
      <c r="R242" s="5"/>
    </row>
    <row r="243" spans="1:18" ht="15.6" x14ac:dyDescent="0.3">
      <c r="A243" s="24"/>
      <c r="B243" s="54" t="s">
        <v>99</v>
      </c>
      <c r="C243" s="93"/>
      <c r="D243" s="25"/>
      <c r="E243" s="94"/>
      <c r="F243" s="93"/>
      <c r="G243" s="93"/>
      <c r="H243" s="93"/>
      <c r="I243" s="93"/>
      <c r="J243" s="93"/>
      <c r="K243" s="93"/>
      <c r="L243" s="54">
        <v>0</v>
      </c>
      <c r="M243" s="94">
        <v>0</v>
      </c>
      <c r="N243" s="53">
        <v>0</v>
      </c>
      <c r="O243" s="136">
        <v>0</v>
      </c>
      <c r="P243" s="25"/>
      <c r="Q243" s="25"/>
      <c r="R243" s="5"/>
    </row>
    <row r="244" spans="1:18" ht="15.6" x14ac:dyDescent="0.3">
      <c r="A244" s="24"/>
      <c r="B244" s="54" t="s">
        <v>100</v>
      </c>
      <c r="C244" s="93"/>
      <c r="D244" s="25"/>
      <c r="E244" s="94"/>
      <c r="F244" s="93"/>
      <c r="G244" s="93"/>
      <c r="H244" s="93"/>
      <c r="I244" s="93"/>
      <c r="J244" s="93"/>
      <c r="K244" s="93"/>
      <c r="L244" s="54">
        <v>0</v>
      </c>
      <c r="M244" s="94">
        <v>0</v>
      </c>
      <c r="N244" s="53">
        <v>0</v>
      </c>
      <c r="O244" s="136">
        <v>0</v>
      </c>
      <c r="P244" s="25"/>
      <c r="Q244" s="25"/>
      <c r="R244" s="5"/>
    </row>
    <row r="245" spans="1:18" ht="15.6" x14ac:dyDescent="0.3">
      <c r="A245" s="24"/>
      <c r="B245" s="54" t="s">
        <v>227</v>
      </c>
      <c r="C245" s="93"/>
      <c r="D245" s="25"/>
      <c r="E245" s="94"/>
      <c r="F245" s="93"/>
      <c r="G245" s="93"/>
      <c r="H245" s="93"/>
      <c r="I245" s="93"/>
      <c r="J245" s="93"/>
      <c r="K245" s="93"/>
      <c r="L245" s="54">
        <v>0</v>
      </c>
      <c r="M245" s="94">
        <v>0</v>
      </c>
      <c r="N245" s="53">
        <v>0</v>
      </c>
      <c r="O245" s="136">
        <v>0</v>
      </c>
      <c r="P245" s="25"/>
      <c r="Q245" s="25"/>
      <c r="R245" s="5"/>
    </row>
    <row r="246" spans="1:18" ht="15.6" x14ac:dyDescent="0.3">
      <c r="A246" s="24"/>
      <c r="B246" s="54" t="s">
        <v>228</v>
      </c>
      <c r="C246" s="93"/>
      <c r="D246" s="25"/>
      <c r="E246" s="94"/>
      <c r="F246" s="93"/>
      <c r="G246" s="93"/>
      <c r="H246" s="93"/>
      <c r="I246" s="93"/>
      <c r="J246" s="93"/>
      <c r="K246" s="93"/>
      <c r="L246" s="54">
        <v>0</v>
      </c>
      <c r="M246" s="94">
        <v>0</v>
      </c>
      <c r="N246" s="53">
        <v>0</v>
      </c>
      <c r="O246" s="136">
        <v>0</v>
      </c>
      <c r="P246" s="25"/>
      <c r="Q246" s="25"/>
      <c r="R246" s="5"/>
    </row>
    <row r="247" spans="1:18" ht="15.6" x14ac:dyDescent="0.3">
      <c r="A247" s="24"/>
      <c r="B247" s="54" t="s">
        <v>229</v>
      </c>
      <c r="C247" s="93"/>
      <c r="D247" s="25"/>
      <c r="E247" s="94"/>
      <c r="F247" s="93"/>
      <c r="G247" s="93"/>
      <c r="H247" s="93"/>
      <c r="I247" s="93"/>
      <c r="J247" s="93"/>
      <c r="K247" s="93"/>
      <c r="L247" s="54">
        <v>0</v>
      </c>
      <c r="M247" s="94">
        <v>0</v>
      </c>
      <c r="N247" s="53">
        <v>0</v>
      </c>
      <c r="O247" s="136">
        <v>0</v>
      </c>
      <c r="P247" s="25"/>
      <c r="Q247" s="25"/>
      <c r="R247" s="5"/>
    </row>
    <row r="248" spans="1:18" ht="15.6" x14ac:dyDescent="0.3">
      <c r="A248" s="24"/>
      <c r="B248" s="54" t="s">
        <v>230</v>
      </c>
      <c r="C248" s="93"/>
      <c r="D248" s="25"/>
      <c r="E248" s="94"/>
      <c r="F248" s="93"/>
      <c r="G248" s="93"/>
      <c r="H248" s="93"/>
      <c r="I248" s="93"/>
      <c r="J248" s="93"/>
      <c r="K248" s="93"/>
      <c r="L248" s="54">
        <v>1</v>
      </c>
      <c r="M248" s="136">
        <f>L248/$L$250</f>
        <v>1</v>
      </c>
      <c r="N248" s="53">
        <v>36</v>
      </c>
      <c r="O248" s="136">
        <f>N248/$N$250</f>
        <v>1</v>
      </c>
      <c r="P248" s="25"/>
      <c r="Q248" s="25"/>
      <c r="R248" s="5"/>
    </row>
    <row r="249" spans="1:18" ht="15.6" x14ac:dyDescent="0.3">
      <c r="A249" s="24"/>
      <c r="B249" s="54" t="s">
        <v>231</v>
      </c>
      <c r="C249" s="93"/>
      <c r="D249" s="25"/>
      <c r="E249" s="94"/>
      <c r="F249" s="93"/>
      <c r="G249" s="93"/>
      <c r="H249" s="93"/>
      <c r="I249" s="93"/>
      <c r="J249" s="93"/>
      <c r="K249" s="93"/>
      <c r="L249" s="54">
        <v>0</v>
      </c>
      <c r="M249" s="94">
        <v>0</v>
      </c>
      <c r="N249" s="53">
        <v>0</v>
      </c>
      <c r="O249" s="136">
        <v>0</v>
      </c>
      <c r="P249" s="25"/>
      <c r="Q249" s="25"/>
      <c r="R249" s="5"/>
    </row>
    <row r="250" spans="1:18" ht="15.6" x14ac:dyDescent="0.3">
      <c r="A250" s="24"/>
      <c r="B250" s="25" t="s">
        <v>129</v>
      </c>
      <c r="C250" s="25"/>
      <c r="D250" s="25"/>
      <c r="E250" s="25"/>
      <c r="F250" s="95"/>
      <c r="G250" s="95"/>
      <c r="H250" s="95"/>
      <c r="I250" s="95"/>
      <c r="J250" s="95"/>
      <c r="K250" s="95"/>
      <c r="L250" s="34">
        <f>SUM(L242:L249)</f>
        <v>1</v>
      </c>
      <c r="M250" s="136">
        <f>SUM(M242:M249)</f>
        <v>1</v>
      </c>
      <c r="N250" s="53">
        <f>SUM(N242:N249)</f>
        <v>36</v>
      </c>
      <c r="O250" s="136">
        <f>SUM(O242:O249)</f>
        <v>1</v>
      </c>
      <c r="P250" s="25"/>
      <c r="Q250" s="25"/>
      <c r="R250" s="5"/>
    </row>
    <row r="251" spans="1:18" ht="15.6" x14ac:dyDescent="0.3">
      <c r="A251" s="24"/>
      <c r="B251" s="25"/>
      <c r="C251" s="25"/>
      <c r="D251" s="25"/>
      <c r="E251" s="25"/>
      <c r="F251" s="95"/>
      <c r="G251" s="95"/>
      <c r="H251" s="95"/>
      <c r="I251" s="95"/>
      <c r="J251" s="95"/>
      <c r="K251" s="95"/>
      <c r="L251" s="34"/>
      <c r="M251" s="136"/>
      <c r="N251" s="53"/>
      <c r="O251" s="136"/>
      <c r="P251" s="25"/>
      <c r="Q251" s="25"/>
      <c r="R251" s="5"/>
    </row>
    <row r="252" spans="1:18" ht="15.6" x14ac:dyDescent="0.3">
      <c r="A252" s="24"/>
      <c r="B252" s="152" t="s">
        <v>240</v>
      </c>
      <c r="C252" s="25"/>
      <c r="D252" s="25"/>
      <c r="E252" s="25"/>
      <c r="F252" s="95"/>
      <c r="G252" s="95"/>
      <c r="H252" s="95"/>
      <c r="I252" s="95"/>
      <c r="J252" s="95"/>
      <c r="K252" s="95"/>
      <c r="L252" s="173">
        <f>+L228+L239+L250</f>
        <v>7393</v>
      </c>
      <c r="M252" s="136"/>
      <c r="N252" s="153">
        <f>+N250+N239+N228</f>
        <v>692956</v>
      </c>
      <c r="O252" s="136"/>
      <c r="P252" s="25"/>
      <c r="Q252" s="25"/>
      <c r="R252" s="5"/>
    </row>
    <row r="253" spans="1:18" ht="15.6" x14ac:dyDescent="0.3">
      <c r="A253" s="24"/>
      <c r="B253" s="25"/>
      <c r="C253" s="25"/>
      <c r="D253" s="25"/>
      <c r="E253" s="25"/>
      <c r="F253" s="95"/>
      <c r="G253" s="95"/>
      <c r="H253" s="95"/>
      <c r="I253" s="95"/>
      <c r="J253" s="95"/>
      <c r="K253" s="95"/>
      <c r="L253" s="95"/>
      <c r="M253" s="95"/>
      <c r="N253" s="53"/>
      <c r="O253" s="95"/>
      <c r="P253" s="25"/>
      <c r="Q253" s="25"/>
      <c r="R253" s="5"/>
    </row>
    <row r="254" spans="1:18" ht="15.6" x14ac:dyDescent="0.3">
      <c r="A254" s="6"/>
      <c r="B254" s="8"/>
      <c r="C254" s="8"/>
      <c r="D254" s="8"/>
      <c r="E254" s="8"/>
      <c r="F254" s="96"/>
      <c r="G254" s="96"/>
      <c r="H254" s="96"/>
      <c r="I254" s="96"/>
      <c r="J254" s="96"/>
      <c r="K254" s="96"/>
      <c r="L254" s="96"/>
      <c r="M254" s="96"/>
      <c r="N254" s="97"/>
      <c r="O254" s="96"/>
      <c r="P254" s="8"/>
      <c r="Q254" s="8"/>
      <c r="R254" s="5"/>
    </row>
    <row r="255" spans="1:18" ht="15.6" x14ac:dyDescent="0.3">
      <c r="A255" s="145"/>
      <c r="B255" s="14" t="s">
        <v>234</v>
      </c>
      <c r="C255" s="15"/>
      <c r="D255" s="17"/>
      <c r="E255" s="15"/>
      <c r="F255" s="14"/>
      <c r="G255" s="140"/>
      <c r="H255" s="140"/>
      <c r="I255" s="140"/>
      <c r="J255" s="140"/>
      <c r="K255" s="140"/>
      <c r="L255" s="140"/>
      <c r="M255" s="140"/>
      <c r="N255" s="140"/>
      <c r="O255" s="140"/>
      <c r="P255" s="140"/>
      <c r="Q255" s="140"/>
      <c r="R255" s="5"/>
    </row>
    <row r="256" spans="1:18" ht="15.6" x14ac:dyDescent="0.3">
      <c r="A256" s="145"/>
      <c r="B256" s="140"/>
      <c r="C256" s="8"/>
      <c r="D256" s="8"/>
      <c r="E256" s="8"/>
      <c r="F256" s="8"/>
      <c r="G256" s="140"/>
      <c r="H256" s="140"/>
      <c r="I256" s="140"/>
      <c r="J256" s="140"/>
      <c r="K256" s="140"/>
      <c r="L256" s="140"/>
      <c r="M256" s="140"/>
      <c r="N256" s="140"/>
      <c r="O256" s="140"/>
      <c r="P256" s="140"/>
      <c r="Q256" s="140"/>
      <c r="R256" s="5"/>
    </row>
    <row r="257" spans="1:18" ht="15.6" x14ac:dyDescent="0.3">
      <c r="A257" s="145"/>
      <c r="B257" s="13" t="s">
        <v>232</v>
      </c>
      <c r="C257" s="13"/>
      <c r="D257" s="134"/>
      <c r="E257" s="13"/>
      <c r="F257" s="13"/>
      <c r="G257" s="140"/>
      <c r="H257" s="140"/>
      <c r="I257" s="140"/>
      <c r="J257" s="140"/>
      <c r="K257" s="140"/>
      <c r="L257" s="140"/>
      <c r="M257" s="140"/>
      <c r="N257" s="140"/>
      <c r="O257" s="140"/>
      <c r="P257" s="140"/>
      <c r="Q257" s="140"/>
      <c r="R257" s="5"/>
    </row>
    <row r="258" spans="1:18" ht="15.6" x14ac:dyDescent="0.3">
      <c r="A258" s="145"/>
      <c r="B258" s="13" t="s">
        <v>233</v>
      </c>
      <c r="C258" s="13"/>
      <c r="D258" s="134"/>
      <c r="E258" s="13"/>
      <c r="F258" s="13"/>
      <c r="G258" s="140"/>
      <c r="H258" s="140"/>
      <c r="I258" s="140"/>
      <c r="J258" s="140"/>
      <c r="K258" s="140"/>
      <c r="L258" s="140"/>
      <c r="M258" s="140"/>
      <c r="N258" s="140"/>
      <c r="O258" s="140"/>
      <c r="P258" s="140"/>
      <c r="Q258" s="140"/>
      <c r="R258" s="5"/>
    </row>
    <row r="259" spans="1:18" ht="15.6" x14ac:dyDescent="0.3">
      <c r="A259" s="145"/>
      <c r="B259" s="13"/>
      <c r="C259" s="13"/>
      <c r="D259" s="13"/>
      <c r="E259" s="99"/>
      <c r="F259" s="140"/>
      <c r="G259" s="140"/>
      <c r="H259" s="140"/>
      <c r="I259" s="140"/>
      <c r="J259" s="140"/>
      <c r="K259" s="140"/>
      <c r="L259" s="140"/>
      <c r="M259" s="140"/>
      <c r="N259" s="140"/>
      <c r="O259" s="140"/>
      <c r="P259" s="140"/>
      <c r="Q259" s="140"/>
      <c r="R259" s="5"/>
    </row>
    <row r="260" spans="1:18" ht="15.6" x14ac:dyDescent="0.3">
      <c r="A260" s="145"/>
      <c r="B260" s="13"/>
      <c r="C260" s="13"/>
      <c r="D260" s="13"/>
      <c r="E260" s="99"/>
      <c r="F260" s="140"/>
      <c r="G260" s="140"/>
      <c r="H260" s="140"/>
      <c r="I260" s="140"/>
      <c r="J260" s="140"/>
      <c r="K260" s="140"/>
      <c r="L260" s="140"/>
      <c r="M260" s="140"/>
      <c r="N260" s="140"/>
      <c r="O260" s="140"/>
      <c r="P260" s="140"/>
      <c r="Q260" s="140"/>
      <c r="R260" s="5"/>
    </row>
    <row r="261" spans="1:18" ht="18" thickBot="1" x14ac:dyDescent="0.35">
      <c r="A261" s="145"/>
      <c r="B261" s="49" t="str">
        <f>B180</f>
        <v>PM7 INVESTOR REPORT QUARTER ENDING JULY 2006</v>
      </c>
      <c r="C261" s="13"/>
      <c r="D261" s="13"/>
      <c r="E261" s="99"/>
      <c r="F261" s="140"/>
      <c r="G261" s="140"/>
      <c r="H261" s="140"/>
      <c r="I261" s="140"/>
      <c r="J261" s="140"/>
      <c r="K261" s="140"/>
      <c r="L261" s="140"/>
      <c r="M261" s="140"/>
      <c r="N261" s="140"/>
      <c r="O261" s="140"/>
      <c r="P261" s="140"/>
      <c r="Q261" s="140"/>
      <c r="R261" s="5"/>
    </row>
    <row r="262" spans="1:18" x14ac:dyDescent="0.25">
      <c r="A262" s="100"/>
      <c r="B262" s="100"/>
      <c r="C262" s="100"/>
      <c r="D262" s="100"/>
      <c r="E262" s="100"/>
      <c r="F262" s="100"/>
      <c r="G262" s="100"/>
      <c r="H262" s="100"/>
      <c r="I262" s="100"/>
      <c r="J262" s="100"/>
      <c r="K262" s="100"/>
      <c r="L262" s="100"/>
      <c r="M262" s="100"/>
      <c r="N262" s="100"/>
      <c r="O262" s="100"/>
      <c r="P262" s="100"/>
      <c r="Q262" s="100"/>
    </row>
  </sheetData>
  <phoneticPr fontId="0" type="noConversion"/>
  <hyperlinks>
    <hyperlink ref="H9" r:id="rId1"/>
    <hyperlink ref="J217"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0" max="14" man="1"/>
    <brk id="180" max="14"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23"/>
  </sheetPr>
  <dimension ref="A1:S262"/>
  <sheetViews>
    <sheetView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7.90625" style="1" bestFit="1" customWidth="1"/>
    <col min="5" max="5" width="2.1796875" style="1" customWidth="1"/>
    <col min="6" max="6" width="34.81640625" style="1" customWidth="1"/>
    <col min="7" max="7" width="7.453125" style="1" customWidth="1"/>
    <col min="8" max="8" width="30.81640625" style="1" customWidth="1"/>
    <col min="9" max="9" width="2.36328125" style="1" customWidth="1"/>
    <col min="10" max="10" width="29.36328125" style="1" customWidth="1"/>
    <col min="11" max="11" width="2.1796875" style="1" customWidth="1"/>
    <col min="12" max="12" width="15.54296875" style="1" customWidth="1"/>
    <col min="13" max="14" width="12.6328125" style="1" customWidth="1"/>
    <col min="15" max="15" width="7.81640625" style="1" customWidth="1"/>
    <col min="16" max="16" width="14.6328125" style="1" customWidth="1"/>
    <col min="17" max="17" width="14.453125" style="1" customWidth="1"/>
    <col min="18" max="16384" width="9.6328125" style="1"/>
  </cols>
  <sheetData>
    <row r="1" spans="1:18" ht="20.399999999999999" x14ac:dyDescent="0.35">
      <c r="A1" s="2"/>
      <c r="B1" s="3" t="s">
        <v>162</v>
      </c>
      <c r="C1" s="4"/>
      <c r="D1" s="4"/>
      <c r="E1" s="4"/>
      <c r="F1" s="4"/>
      <c r="G1" s="4"/>
      <c r="H1" s="4"/>
      <c r="I1" s="4"/>
      <c r="J1" s="4"/>
      <c r="K1" s="4"/>
      <c r="L1" s="4"/>
      <c r="M1" s="4"/>
      <c r="N1" s="4"/>
      <c r="O1" s="4"/>
      <c r="P1" s="4"/>
      <c r="Q1" s="155"/>
      <c r="R1" s="5"/>
    </row>
    <row r="2" spans="1:18" ht="15.6" x14ac:dyDescent="0.3">
      <c r="A2" s="6"/>
      <c r="B2" s="7"/>
      <c r="C2" s="8"/>
      <c r="D2" s="8"/>
      <c r="E2" s="8"/>
      <c r="F2" s="8"/>
      <c r="G2" s="8"/>
      <c r="H2" s="8"/>
      <c r="I2" s="8"/>
      <c r="J2" s="8"/>
      <c r="K2" s="8"/>
      <c r="L2" s="8"/>
      <c r="M2" s="8"/>
      <c r="N2" s="8"/>
      <c r="O2" s="8"/>
      <c r="P2" s="8"/>
      <c r="Q2" s="8"/>
      <c r="R2" s="5"/>
    </row>
    <row r="3" spans="1:18" ht="15.6" x14ac:dyDescent="0.3">
      <c r="A3" s="9"/>
      <c r="B3" s="111" t="s">
        <v>163</v>
      </c>
      <c r="C3" s="8"/>
      <c r="D3" s="8"/>
      <c r="E3" s="8"/>
      <c r="F3" s="8"/>
      <c r="G3" s="8"/>
      <c r="H3" s="8"/>
      <c r="I3" s="8"/>
      <c r="J3" s="8"/>
      <c r="K3" s="8"/>
      <c r="L3" s="8"/>
      <c r="M3" s="8"/>
      <c r="N3" s="8"/>
      <c r="O3" s="8"/>
      <c r="P3" s="8"/>
      <c r="Q3" s="8"/>
      <c r="R3" s="5"/>
    </row>
    <row r="4" spans="1:18" ht="15.6" x14ac:dyDescent="0.3">
      <c r="A4" s="6"/>
      <c r="B4" s="7"/>
      <c r="C4" s="8"/>
      <c r="D4" s="8"/>
      <c r="E4" s="8"/>
      <c r="F4" s="8"/>
      <c r="G4" s="8"/>
      <c r="H4" s="8"/>
      <c r="I4" s="8"/>
      <c r="J4" s="8"/>
      <c r="K4" s="8"/>
      <c r="L4" s="8"/>
      <c r="M4" s="8"/>
      <c r="N4" s="8"/>
      <c r="O4" s="8"/>
      <c r="P4" s="8"/>
      <c r="Q4" s="8"/>
      <c r="R4" s="5"/>
    </row>
    <row r="5" spans="1:18" ht="15.6" x14ac:dyDescent="0.3">
      <c r="A5" s="6"/>
      <c r="B5" s="11" t="s">
        <v>164</v>
      </c>
      <c r="C5" s="8"/>
      <c r="D5" s="8"/>
      <c r="E5" s="8"/>
      <c r="F5" s="8"/>
      <c r="G5" s="8"/>
      <c r="H5" s="8"/>
      <c r="I5" s="8"/>
      <c r="J5" s="8"/>
      <c r="K5" s="8"/>
      <c r="L5" s="8"/>
      <c r="M5" s="8"/>
      <c r="N5" s="8"/>
      <c r="O5" s="8"/>
      <c r="P5" s="8"/>
      <c r="Q5" s="8"/>
      <c r="R5" s="5"/>
    </row>
    <row r="6" spans="1:18" ht="15.6" x14ac:dyDescent="0.3">
      <c r="A6" s="6"/>
      <c r="B6" s="11" t="s">
        <v>166</v>
      </c>
      <c r="C6" s="8"/>
      <c r="D6" s="8"/>
      <c r="E6" s="8"/>
      <c r="F6" s="8"/>
      <c r="G6" s="8"/>
      <c r="H6" s="8"/>
      <c r="I6" s="8"/>
      <c r="J6" s="8"/>
      <c r="K6" s="8"/>
      <c r="L6" s="8"/>
      <c r="M6" s="8"/>
      <c r="N6" s="8"/>
      <c r="O6" s="8"/>
      <c r="P6" s="8"/>
      <c r="Q6" s="8"/>
      <c r="R6" s="5"/>
    </row>
    <row r="7" spans="1:18" ht="15.6" x14ac:dyDescent="0.3">
      <c r="A7" s="6"/>
      <c r="B7" s="11" t="s">
        <v>165</v>
      </c>
      <c r="C7" s="8"/>
      <c r="D7" s="8"/>
      <c r="E7" s="8"/>
      <c r="F7" s="8"/>
      <c r="G7" s="8"/>
      <c r="H7" s="8"/>
      <c r="I7" s="8"/>
      <c r="J7" s="8"/>
      <c r="K7" s="8"/>
      <c r="L7" s="8"/>
      <c r="M7" s="8"/>
      <c r="N7" s="8"/>
      <c r="O7" s="8"/>
      <c r="P7" s="8"/>
      <c r="Q7" s="8"/>
      <c r="R7" s="5"/>
    </row>
    <row r="8" spans="1:18" ht="15.6" x14ac:dyDescent="0.3">
      <c r="A8" s="6"/>
      <c r="B8" s="11"/>
      <c r="C8" s="8"/>
      <c r="D8" s="8"/>
      <c r="E8" s="8"/>
      <c r="F8" s="8"/>
      <c r="G8" s="8"/>
      <c r="H8" s="8"/>
      <c r="I8" s="8"/>
      <c r="J8" s="8"/>
      <c r="K8" s="8"/>
      <c r="L8" s="8"/>
      <c r="M8" s="8"/>
      <c r="N8" s="8"/>
      <c r="O8" s="8"/>
      <c r="P8" s="8"/>
      <c r="Q8" s="8"/>
      <c r="R8" s="5"/>
    </row>
    <row r="9" spans="1:18" ht="17.399999999999999" x14ac:dyDescent="0.3">
      <c r="A9" s="6"/>
      <c r="B9" s="159" t="s">
        <v>245</v>
      </c>
      <c r="C9" s="146"/>
      <c r="D9" s="146"/>
      <c r="E9" s="146"/>
      <c r="F9" s="146"/>
      <c r="G9" s="146"/>
      <c r="H9" s="168" t="s">
        <v>243</v>
      </c>
      <c r="I9" s="146"/>
      <c r="J9" s="146"/>
      <c r="K9" s="8"/>
      <c r="L9" s="8"/>
      <c r="M9" s="8"/>
      <c r="N9" s="8"/>
      <c r="O9" s="8"/>
      <c r="P9" s="8"/>
      <c r="Q9" s="8"/>
      <c r="R9" s="5"/>
    </row>
    <row r="10" spans="1:18" ht="17.399999999999999" x14ac:dyDescent="0.3">
      <c r="A10" s="6"/>
      <c r="B10" s="164"/>
      <c r="C10" s="8"/>
      <c r="D10" s="8"/>
      <c r="E10" s="8"/>
      <c r="F10" s="8"/>
      <c r="G10" s="8"/>
      <c r="H10" s="8"/>
      <c r="I10" s="8"/>
      <c r="J10" s="8"/>
      <c r="K10" s="8"/>
      <c r="L10" s="8"/>
      <c r="M10" s="8"/>
      <c r="N10" s="8"/>
      <c r="O10" s="8"/>
      <c r="P10" s="8"/>
      <c r="Q10" s="8"/>
      <c r="R10" s="5"/>
    </row>
    <row r="11" spans="1:18" ht="15.6" x14ac:dyDescent="0.3">
      <c r="A11" s="6"/>
      <c r="B11" s="11"/>
      <c r="C11" s="13"/>
      <c r="D11" s="8"/>
      <c r="E11" s="8"/>
      <c r="F11" s="8"/>
      <c r="G11" s="8"/>
      <c r="H11" s="8"/>
      <c r="I11" s="8"/>
      <c r="J11" s="8"/>
      <c r="K11" s="8"/>
      <c r="L11" s="8"/>
      <c r="M11" s="8"/>
      <c r="N11" s="8"/>
      <c r="O11" s="8"/>
      <c r="P11" s="8"/>
      <c r="Q11" s="8"/>
      <c r="R11" s="5"/>
    </row>
    <row r="12" spans="1:18" ht="15.6" x14ac:dyDescent="0.3">
      <c r="A12" s="6"/>
      <c r="B12" s="14" t="s">
        <v>0</v>
      </c>
      <c r="C12" s="8"/>
      <c r="D12" s="8"/>
      <c r="E12" s="8"/>
      <c r="F12" s="8"/>
      <c r="G12" s="8"/>
      <c r="H12" s="8"/>
      <c r="I12" s="8"/>
      <c r="J12" s="8"/>
      <c r="K12" s="8"/>
      <c r="L12" s="8"/>
      <c r="M12" s="8"/>
      <c r="N12" s="8"/>
      <c r="O12" s="8"/>
      <c r="P12" s="8"/>
      <c r="Q12" s="8"/>
      <c r="R12" s="5"/>
    </row>
    <row r="13" spans="1:18" ht="16.2" thickBot="1" x14ac:dyDescent="0.35">
      <c r="A13" s="6"/>
      <c r="B13" s="13"/>
      <c r="C13" s="8"/>
      <c r="D13" s="8"/>
      <c r="E13" s="8"/>
      <c r="F13" s="8"/>
      <c r="G13" s="8"/>
      <c r="H13" s="8"/>
      <c r="I13" s="8"/>
      <c r="J13" s="8"/>
      <c r="K13" s="8"/>
      <c r="L13" s="8"/>
      <c r="M13" s="8"/>
      <c r="N13" s="8"/>
      <c r="O13" s="8"/>
      <c r="P13" s="8"/>
      <c r="Q13" s="8"/>
      <c r="R13" s="5"/>
    </row>
    <row r="14" spans="1:18" ht="15.6" x14ac:dyDescent="0.3">
      <c r="A14" s="2"/>
      <c r="B14" s="4"/>
      <c r="C14" s="4"/>
      <c r="D14" s="4"/>
      <c r="E14" s="4"/>
      <c r="F14" s="4"/>
      <c r="G14" s="4"/>
      <c r="H14" s="4"/>
      <c r="I14" s="4"/>
      <c r="J14" s="4"/>
      <c r="K14" s="4"/>
      <c r="L14" s="4"/>
      <c r="M14" s="4"/>
      <c r="N14" s="4"/>
      <c r="O14" s="4"/>
      <c r="P14" s="4"/>
      <c r="Q14" s="4"/>
      <c r="R14" s="5"/>
    </row>
    <row r="15" spans="1:18" ht="15.6" x14ac:dyDescent="0.3">
      <c r="A15" s="6"/>
      <c r="B15" s="14" t="s">
        <v>1</v>
      </c>
      <c r="C15" s="15"/>
      <c r="D15" s="15"/>
      <c r="E15" s="15"/>
      <c r="F15" s="15"/>
      <c r="G15" s="15"/>
      <c r="H15" s="15"/>
      <c r="I15" s="15"/>
      <c r="J15" s="15"/>
      <c r="K15" s="15"/>
      <c r="L15" s="15"/>
      <c r="M15" s="15"/>
      <c r="N15" s="15"/>
      <c r="O15" s="15"/>
      <c r="P15" s="16" t="s">
        <v>167</v>
      </c>
      <c r="Q15" s="15"/>
      <c r="R15" s="5"/>
    </row>
    <row r="16" spans="1:18" ht="15.6" x14ac:dyDescent="0.3">
      <c r="A16" s="6"/>
      <c r="B16" s="14" t="s">
        <v>2</v>
      </c>
      <c r="C16" s="15"/>
      <c r="D16" s="15"/>
      <c r="E16" s="15"/>
      <c r="F16" s="18"/>
      <c r="G16" s="18"/>
      <c r="H16" s="18"/>
      <c r="I16" s="18"/>
      <c r="J16" s="18"/>
      <c r="K16" s="18"/>
      <c r="L16" s="18" t="s">
        <v>115</v>
      </c>
      <c r="M16" s="138">
        <v>0.91859999999999997</v>
      </c>
      <c r="N16" s="17" t="s">
        <v>173</v>
      </c>
      <c r="O16" s="138">
        <v>8.14E-2</v>
      </c>
      <c r="P16" s="16"/>
      <c r="Q16" s="15"/>
      <c r="R16" s="5"/>
    </row>
    <row r="17" spans="1:19" ht="15.6" x14ac:dyDescent="0.3">
      <c r="A17" s="6"/>
      <c r="B17" s="14" t="s">
        <v>3</v>
      </c>
      <c r="C17" s="15"/>
      <c r="D17" s="15"/>
      <c r="E17" s="15"/>
      <c r="F17" s="18"/>
      <c r="G17" s="18"/>
      <c r="H17" s="18"/>
      <c r="I17" s="18"/>
      <c r="J17" s="18"/>
      <c r="K17" s="18"/>
      <c r="L17" s="18" t="s">
        <v>115</v>
      </c>
      <c r="M17" s="138">
        <v>0.94430000000000003</v>
      </c>
      <c r="N17" s="17" t="s">
        <v>173</v>
      </c>
      <c r="O17" s="138">
        <v>5.57E-2</v>
      </c>
      <c r="P17" s="16"/>
      <c r="Q17" s="15"/>
      <c r="R17" s="5"/>
      <c r="S17" s="154"/>
    </row>
    <row r="18" spans="1:19" ht="15.6" x14ac:dyDescent="0.3">
      <c r="A18" s="6"/>
      <c r="B18" s="14" t="s">
        <v>4</v>
      </c>
      <c r="C18" s="15"/>
      <c r="D18" s="15"/>
      <c r="E18" s="15"/>
      <c r="F18" s="15"/>
      <c r="G18" s="15"/>
      <c r="H18" s="15"/>
      <c r="I18" s="15"/>
      <c r="J18" s="15"/>
      <c r="K18" s="15"/>
      <c r="L18" s="15"/>
      <c r="M18" s="15"/>
      <c r="N18" s="15"/>
      <c r="O18" s="15"/>
      <c r="P18" s="19">
        <v>38133</v>
      </c>
      <c r="Q18" s="15"/>
      <c r="R18" s="5"/>
    </row>
    <row r="19" spans="1:19" ht="15.6" x14ac:dyDescent="0.3">
      <c r="A19" s="6"/>
      <c r="B19" s="14" t="s">
        <v>5</v>
      </c>
      <c r="C19" s="15"/>
      <c r="D19" s="15"/>
      <c r="E19" s="15"/>
      <c r="F19" s="15"/>
      <c r="G19" s="15"/>
      <c r="H19" s="15"/>
      <c r="I19" s="15"/>
      <c r="J19" s="15"/>
      <c r="K19" s="15"/>
      <c r="L19" s="15"/>
      <c r="M19" s="15"/>
      <c r="N19" s="15"/>
      <c r="O19" s="15"/>
      <c r="P19" s="19">
        <v>39045</v>
      </c>
      <c r="Q19" s="15"/>
      <c r="R19" s="5"/>
    </row>
    <row r="20" spans="1:19" ht="15.6" x14ac:dyDescent="0.3">
      <c r="A20" s="6"/>
      <c r="B20" s="8"/>
      <c r="C20" s="8"/>
      <c r="D20" s="8"/>
      <c r="E20" s="8"/>
      <c r="F20" s="8"/>
      <c r="G20" s="8"/>
      <c r="H20" s="8"/>
      <c r="I20" s="8"/>
      <c r="J20" s="8"/>
      <c r="K20" s="8"/>
      <c r="L20" s="8"/>
      <c r="M20" s="8"/>
      <c r="N20" s="8"/>
      <c r="O20" s="8"/>
      <c r="P20" s="20"/>
      <c r="Q20" s="8"/>
      <c r="R20" s="5"/>
    </row>
    <row r="21" spans="1:19" ht="15.6" x14ac:dyDescent="0.3">
      <c r="A21" s="6"/>
      <c r="B21" s="21" t="s">
        <v>6</v>
      </c>
      <c r="C21" s="8"/>
      <c r="D21" s="8"/>
      <c r="E21" s="8"/>
      <c r="F21" s="8"/>
      <c r="G21" s="8"/>
      <c r="H21" s="8"/>
      <c r="I21" s="8"/>
      <c r="J21" s="8"/>
      <c r="K21" s="8"/>
      <c r="L21" s="8"/>
      <c r="M21" s="8"/>
      <c r="N21" s="20" t="s">
        <v>116</v>
      </c>
      <c r="O21" s="8"/>
      <c r="P21" s="140"/>
      <c r="Q21" s="8"/>
      <c r="R21" s="5"/>
    </row>
    <row r="22" spans="1:19" ht="15.6" x14ac:dyDescent="0.3">
      <c r="A22" s="6"/>
      <c r="B22" s="8"/>
      <c r="C22" s="8"/>
      <c r="D22" s="8"/>
      <c r="E22" s="8"/>
      <c r="F22" s="8"/>
      <c r="G22" s="8"/>
      <c r="H22" s="8"/>
      <c r="I22" s="8"/>
      <c r="J22" s="8"/>
      <c r="K22" s="8"/>
      <c r="L22" s="8"/>
      <c r="M22" s="8"/>
      <c r="N22" s="8"/>
      <c r="O22" s="8"/>
      <c r="P22" s="22"/>
      <c r="Q22" s="8"/>
      <c r="R22" s="5"/>
    </row>
    <row r="23" spans="1:19" ht="15.6" x14ac:dyDescent="0.3">
      <c r="A23" s="6"/>
      <c r="B23" s="8"/>
      <c r="C23" s="112"/>
      <c r="D23" s="112" t="s">
        <v>168</v>
      </c>
      <c r="E23" s="112"/>
      <c r="F23" s="112" t="s">
        <v>169</v>
      </c>
      <c r="G23" s="112"/>
      <c r="H23" s="112" t="s">
        <v>174</v>
      </c>
      <c r="I23" s="112"/>
      <c r="J23" s="112" t="s">
        <v>133</v>
      </c>
      <c r="K23" s="112"/>
      <c r="L23" s="112" t="s">
        <v>134</v>
      </c>
      <c r="M23" s="113"/>
      <c r="N23" s="23"/>
      <c r="O23" s="140"/>
      <c r="P23" s="140"/>
      <c r="Q23" s="8"/>
      <c r="R23" s="5"/>
    </row>
    <row r="24" spans="1:19" ht="15.6" x14ac:dyDescent="0.3">
      <c r="A24" s="24"/>
      <c r="B24" s="25" t="s">
        <v>7</v>
      </c>
      <c r="C24" s="26"/>
      <c r="D24" s="26" t="s">
        <v>175</v>
      </c>
      <c r="E24" s="26"/>
      <c r="F24" s="26" t="s">
        <v>175</v>
      </c>
      <c r="G24" s="26"/>
      <c r="H24" s="26" t="s">
        <v>175</v>
      </c>
      <c r="I24" s="26"/>
      <c r="J24" s="26" t="s">
        <v>176</v>
      </c>
      <c r="K24" s="26"/>
      <c r="L24" s="26" t="s">
        <v>176</v>
      </c>
      <c r="M24" s="26"/>
      <c r="N24" s="26"/>
      <c r="O24" s="141"/>
      <c r="P24" s="141"/>
      <c r="Q24" s="25"/>
      <c r="R24" s="5"/>
    </row>
    <row r="25" spans="1:19" ht="15.6" x14ac:dyDescent="0.3">
      <c r="A25" s="24"/>
      <c r="B25" s="25" t="s">
        <v>8</v>
      </c>
      <c r="C25" s="26"/>
      <c r="D25" s="26" t="s">
        <v>177</v>
      </c>
      <c r="E25" s="26"/>
      <c r="F25" s="26" t="s">
        <v>177</v>
      </c>
      <c r="G25" s="26"/>
      <c r="H25" s="26" t="s">
        <v>177</v>
      </c>
      <c r="I25" s="26"/>
      <c r="J25" s="26" t="s">
        <v>178</v>
      </c>
      <c r="K25" s="26"/>
      <c r="L25" s="26" t="s">
        <v>178</v>
      </c>
      <c r="M25" s="26"/>
      <c r="N25" s="26"/>
      <c r="O25" s="141"/>
      <c r="P25" s="141"/>
      <c r="Q25" s="25"/>
      <c r="R25" s="5"/>
    </row>
    <row r="26" spans="1:19" ht="15.6" x14ac:dyDescent="0.3">
      <c r="A26" s="24"/>
      <c r="B26" s="25" t="s">
        <v>135</v>
      </c>
      <c r="C26" s="26"/>
      <c r="D26" s="26" t="s">
        <v>177</v>
      </c>
      <c r="E26" s="26"/>
      <c r="F26" s="26" t="s">
        <v>177</v>
      </c>
      <c r="G26" s="26"/>
      <c r="H26" s="26" t="s">
        <v>177</v>
      </c>
      <c r="I26" s="26"/>
      <c r="J26" s="26" t="s">
        <v>178</v>
      </c>
      <c r="K26" s="26"/>
      <c r="L26" s="26" t="s">
        <v>178</v>
      </c>
      <c r="M26" s="26"/>
      <c r="N26" s="26"/>
      <c r="O26" s="141"/>
      <c r="P26" s="141"/>
      <c r="Q26" s="25"/>
      <c r="R26" s="5"/>
    </row>
    <row r="27" spans="1:19" ht="15.6" x14ac:dyDescent="0.3">
      <c r="A27" s="28"/>
      <c r="B27" s="29" t="s">
        <v>9</v>
      </c>
      <c r="C27" s="123"/>
      <c r="D27" s="123" t="s">
        <v>175</v>
      </c>
      <c r="E27" s="123"/>
      <c r="F27" s="123" t="s">
        <v>175</v>
      </c>
      <c r="G27" s="123"/>
      <c r="H27" s="123" t="s">
        <v>175</v>
      </c>
      <c r="I27" s="123"/>
      <c r="J27" s="123" t="s">
        <v>176</v>
      </c>
      <c r="K27" s="123"/>
      <c r="L27" s="123" t="s">
        <v>176</v>
      </c>
      <c r="M27" s="123"/>
      <c r="N27" s="26"/>
      <c r="O27" s="141"/>
      <c r="P27" s="141"/>
      <c r="Q27" s="25"/>
      <c r="R27" s="5"/>
    </row>
    <row r="28" spans="1:19" ht="15.6" x14ac:dyDescent="0.3">
      <c r="A28" s="28"/>
      <c r="B28" s="29" t="s">
        <v>10</v>
      </c>
      <c r="C28" s="123"/>
      <c r="D28" s="123" t="s">
        <v>177</v>
      </c>
      <c r="E28" s="123"/>
      <c r="F28" s="123" t="s">
        <v>177</v>
      </c>
      <c r="G28" s="123"/>
      <c r="H28" s="123" t="s">
        <v>177</v>
      </c>
      <c r="I28" s="123"/>
      <c r="J28" s="123" t="s">
        <v>178</v>
      </c>
      <c r="K28" s="123"/>
      <c r="L28" s="123" t="s">
        <v>178</v>
      </c>
      <c r="M28" s="123"/>
      <c r="N28" s="26"/>
      <c r="O28" s="141"/>
      <c r="P28" s="141"/>
      <c r="Q28" s="25"/>
      <c r="R28" s="5"/>
    </row>
    <row r="29" spans="1:19" ht="15.6" x14ac:dyDescent="0.3">
      <c r="A29" s="28"/>
      <c r="B29" s="29" t="s">
        <v>136</v>
      </c>
      <c r="C29" s="123"/>
      <c r="D29" s="123" t="s">
        <v>177</v>
      </c>
      <c r="E29" s="123"/>
      <c r="F29" s="123" t="s">
        <v>177</v>
      </c>
      <c r="G29" s="123"/>
      <c r="H29" s="123" t="s">
        <v>177</v>
      </c>
      <c r="I29" s="123"/>
      <c r="J29" s="123" t="s">
        <v>178</v>
      </c>
      <c r="K29" s="123"/>
      <c r="L29" s="123" t="s">
        <v>178</v>
      </c>
      <c r="M29" s="123"/>
      <c r="N29" s="26"/>
      <c r="O29" s="141"/>
      <c r="P29" s="141"/>
      <c r="Q29" s="25"/>
      <c r="R29" s="5"/>
    </row>
    <row r="30" spans="1:19" ht="15.6" x14ac:dyDescent="0.3">
      <c r="A30" s="24"/>
      <c r="B30" s="25" t="s">
        <v>11</v>
      </c>
      <c r="C30" s="26"/>
      <c r="D30" s="30" t="s">
        <v>181</v>
      </c>
      <c r="E30" s="26"/>
      <c r="F30" s="26" t="s">
        <v>183</v>
      </c>
      <c r="G30" s="26"/>
      <c r="H30" s="26" t="s">
        <v>184</v>
      </c>
      <c r="I30" s="26"/>
      <c r="J30" s="26" t="s">
        <v>185</v>
      </c>
      <c r="K30" s="26"/>
      <c r="L30" s="26" t="s">
        <v>189</v>
      </c>
      <c r="M30" s="26"/>
      <c r="N30" s="30"/>
      <c r="O30" s="141"/>
      <c r="P30" s="141"/>
      <c r="Q30" s="25"/>
      <c r="R30" s="5"/>
    </row>
    <row r="31" spans="1:19" ht="15.6" x14ac:dyDescent="0.3">
      <c r="A31" s="24"/>
      <c r="B31" s="25" t="s">
        <v>11</v>
      </c>
      <c r="C31" s="26"/>
      <c r="D31" s="30" t="s">
        <v>182</v>
      </c>
      <c r="E31" s="26"/>
      <c r="F31" s="30" t="s">
        <v>137</v>
      </c>
      <c r="G31" s="26"/>
      <c r="H31" s="30" t="s">
        <v>137</v>
      </c>
      <c r="I31" s="26"/>
      <c r="J31" s="30" t="s">
        <v>186</v>
      </c>
      <c r="K31" s="26"/>
      <c r="L31" s="30" t="s">
        <v>137</v>
      </c>
      <c r="M31" s="26"/>
      <c r="N31" s="30"/>
      <c r="O31" s="141"/>
      <c r="P31" s="141"/>
      <c r="Q31" s="25"/>
      <c r="R31" s="5"/>
    </row>
    <row r="32" spans="1:19" ht="15.6" x14ac:dyDescent="0.3">
      <c r="A32" s="24"/>
      <c r="B32" s="25"/>
      <c r="C32" s="26"/>
      <c r="D32" s="26"/>
      <c r="E32" s="26"/>
      <c r="F32" s="26"/>
      <c r="G32" s="26"/>
      <c r="H32" s="26"/>
      <c r="I32" s="26"/>
      <c r="J32" s="26"/>
      <c r="K32" s="26"/>
      <c r="L32" s="26"/>
      <c r="M32" s="26"/>
      <c r="N32" s="26"/>
      <c r="O32" s="141"/>
      <c r="P32" s="141"/>
      <c r="Q32" s="25"/>
      <c r="R32" s="5"/>
    </row>
    <row r="33" spans="1:18" ht="15.6" x14ac:dyDescent="0.3">
      <c r="A33" s="24"/>
      <c r="B33" s="25" t="s">
        <v>157</v>
      </c>
      <c r="C33" s="32"/>
      <c r="D33" s="130">
        <v>450000</v>
      </c>
      <c r="E33" s="31"/>
      <c r="F33" s="131">
        <v>220000</v>
      </c>
      <c r="G33" s="31"/>
      <c r="H33" s="124">
        <v>500000</v>
      </c>
      <c r="I33" s="31"/>
      <c r="J33" s="130">
        <v>82500</v>
      </c>
      <c r="K33" s="31"/>
      <c r="L33" s="124">
        <v>65000</v>
      </c>
      <c r="M33" s="31"/>
      <c r="N33" s="31"/>
      <c r="O33" s="142"/>
      <c r="P33" s="31"/>
      <c r="Q33" s="34"/>
      <c r="R33" s="5"/>
    </row>
    <row r="34" spans="1:18" ht="15.6" x14ac:dyDescent="0.3">
      <c r="A34" s="24"/>
      <c r="B34" s="25" t="s">
        <v>156</v>
      </c>
      <c r="C34" s="32"/>
      <c r="D34" s="130">
        <f>+D33*D40</f>
        <v>334655.09999999998</v>
      </c>
      <c r="E34" s="31"/>
      <c r="F34" s="131">
        <f>+F33*F40</f>
        <v>163597.5</v>
      </c>
      <c r="G34" s="31"/>
      <c r="H34" s="124">
        <f>+H33*H40</f>
        <v>371845</v>
      </c>
      <c r="I34" s="31"/>
      <c r="J34" s="130">
        <v>82500</v>
      </c>
      <c r="K34" s="31"/>
      <c r="L34" s="124">
        <v>65000</v>
      </c>
      <c r="M34" s="31"/>
      <c r="N34" s="31"/>
      <c r="O34" s="142"/>
      <c r="P34" s="31"/>
      <c r="Q34" s="34"/>
      <c r="R34" s="5"/>
    </row>
    <row r="35" spans="1:18" ht="15.6" x14ac:dyDescent="0.3">
      <c r="A35" s="28"/>
      <c r="B35" s="29" t="s">
        <v>158</v>
      </c>
      <c r="C35" s="36"/>
      <c r="D35" s="129">
        <f>+D33*D39</f>
        <v>317043.45</v>
      </c>
      <c r="E35" s="35"/>
      <c r="F35" s="132">
        <f>+F33*F39</f>
        <v>154985.60000000001</v>
      </c>
      <c r="G35" s="35"/>
      <c r="H35" s="125">
        <f>+H33*H39</f>
        <v>352277</v>
      </c>
      <c r="I35" s="35"/>
      <c r="J35" s="129">
        <v>82500</v>
      </c>
      <c r="K35" s="35"/>
      <c r="L35" s="125">
        <v>65000</v>
      </c>
      <c r="M35" s="35"/>
      <c r="N35" s="35"/>
      <c r="O35" s="37"/>
      <c r="P35" s="35"/>
      <c r="Q35" s="34"/>
      <c r="R35" s="5"/>
    </row>
    <row r="36" spans="1:18" ht="15.6" x14ac:dyDescent="0.3">
      <c r="A36" s="24"/>
      <c r="B36" s="25" t="s">
        <v>279</v>
      </c>
      <c r="C36" s="32"/>
      <c r="D36" s="31">
        <v>252951</v>
      </c>
      <c r="E36" s="31"/>
      <c r="F36" s="31">
        <v>220000</v>
      </c>
      <c r="G36" s="31"/>
      <c r="H36" s="31">
        <v>337500</v>
      </c>
      <c r="I36" s="31"/>
      <c r="J36" s="31">
        <v>46374</v>
      </c>
      <c r="K36" s="31"/>
      <c r="L36" s="31">
        <v>43875</v>
      </c>
      <c r="M36" s="31"/>
      <c r="N36" s="31"/>
      <c r="O36" s="142"/>
      <c r="P36" s="31">
        <f>SUM(C36:L36)</f>
        <v>900700</v>
      </c>
      <c r="Q36" s="34"/>
      <c r="R36" s="5"/>
    </row>
    <row r="37" spans="1:18" ht="15.6" x14ac:dyDescent="0.3">
      <c r="A37" s="24"/>
      <c r="B37" s="25" t="s">
        <v>280</v>
      </c>
      <c r="C37" s="32"/>
      <c r="D37" s="31">
        <f>+D34/1.779</f>
        <v>188114.16526138279</v>
      </c>
      <c r="E37" s="31"/>
      <c r="F37" s="31">
        <f>+F34</f>
        <v>163597.5</v>
      </c>
      <c r="G37" s="31"/>
      <c r="H37" s="31">
        <f>+H34/1.481481</f>
        <v>250995.45657352338</v>
      </c>
      <c r="I37" s="31"/>
      <c r="J37" s="31">
        <v>46374</v>
      </c>
      <c r="K37" s="31"/>
      <c r="L37" s="31">
        <v>43875</v>
      </c>
      <c r="M37" s="31"/>
      <c r="N37" s="31"/>
      <c r="O37" s="142"/>
      <c r="P37" s="31">
        <f>SUM(C37:L37)</f>
        <v>692956.12183490617</v>
      </c>
      <c r="Q37" s="34"/>
      <c r="R37" s="5"/>
    </row>
    <row r="38" spans="1:18" ht="15.6" x14ac:dyDescent="0.3">
      <c r="A38" s="28"/>
      <c r="B38" s="29" t="s">
        <v>281</v>
      </c>
      <c r="C38" s="36"/>
      <c r="D38" s="35">
        <f>D35/1.779</f>
        <v>178214.41821247892</v>
      </c>
      <c r="E38" s="35"/>
      <c r="F38" s="35">
        <f>+F35</f>
        <v>154985.60000000001</v>
      </c>
      <c r="G38" s="35"/>
      <c r="H38" s="35">
        <f>H35/1.481481</f>
        <v>237787.05228079198</v>
      </c>
      <c r="I38" s="35"/>
      <c r="J38" s="35">
        <v>46374</v>
      </c>
      <c r="K38" s="35"/>
      <c r="L38" s="35">
        <v>43875</v>
      </c>
      <c r="M38" s="35"/>
      <c r="N38" s="35"/>
      <c r="O38" s="37"/>
      <c r="P38" s="35">
        <f>SUM(D38:L38)</f>
        <v>661236.07049327088</v>
      </c>
      <c r="Q38" s="34"/>
      <c r="R38" s="5"/>
    </row>
    <row r="39" spans="1:18" ht="15.6" x14ac:dyDescent="0.3">
      <c r="A39" s="28"/>
      <c r="B39" s="122" t="s">
        <v>154</v>
      </c>
      <c r="C39" s="126"/>
      <c r="D39" s="139">
        <v>0.70454099999999997</v>
      </c>
      <c r="E39" s="139"/>
      <c r="F39" s="139">
        <v>0.70448</v>
      </c>
      <c r="G39" s="139"/>
      <c r="H39" s="139">
        <v>0.70455400000000001</v>
      </c>
      <c r="I39" s="139"/>
      <c r="J39" s="139">
        <v>1</v>
      </c>
      <c r="K39" s="139"/>
      <c r="L39" s="139">
        <v>1</v>
      </c>
      <c r="M39" s="31"/>
      <c r="N39" s="31"/>
      <c r="O39" s="142"/>
      <c r="P39" s="31"/>
      <c r="Q39" s="34"/>
      <c r="R39" s="5"/>
    </row>
    <row r="40" spans="1:18" ht="15.6" x14ac:dyDescent="0.3">
      <c r="A40" s="28"/>
      <c r="B40" s="122" t="s">
        <v>155</v>
      </c>
      <c r="C40" s="126"/>
      <c r="D40" s="139">
        <v>0.74367799999999995</v>
      </c>
      <c r="E40" s="139"/>
      <c r="F40" s="139">
        <v>0.74362499999999998</v>
      </c>
      <c r="G40" s="139"/>
      <c r="H40" s="139">
        <v>0.74368999999999996</v>
      </c>
      <c r="I40" s="139"/>
      <c r="J40" s="139">
        <v>1</v>
      </c>
      <c r="K40" s="139"/>
      <c r="L40" s="139">
        <v>1</v>
      </c>
      <c r="M40" s="128"/>
      <c r="N40" s="128"/>
      <c r="O40" s="142"/>
      <c r="P40" s="31"/>
      <c r="Q40" s="34"/>
      <c r="R40" s="5"/>
    </row>
    <row r="41" spans="1:18" ht="15.6" x14ac:dyDescent="0.3">
      <c r="A41" s="24"/>
      <c r="B41" s="25" t="s">
        <v>12</v>
      </c>
      <c r="C41" s="25"/>
      <c r="D41" s="30" t="s">
        <v>179</v>
      </c>
      <c r="E41" s="30"/>
      <c r="F41" s="30" t="s">
        <v>179</v>
      </c>
      <c r="G41" s="30"/>
      <c r="H41" s="30" t="s">
        <v>179</v>
      </c>
      <c r="I41" s="30"/>
      <c r="J41" s="30" t="s">
        <v>187</v>
      </c>
      <c r="K41" s="30"/>
      <c r="L41" s="30" t="s">
        <v>187</v>
      </c>
      <c r="M41" s="30"/>
      <c r="N41" s="30"/>
      <c r="O41" s="141"/>
      <c r="P41" s="141"/>
      <c r="Q41" s="25"/>
      <c r="R41" s="5"/>
    </row>
    <row r="42" spans="1:18" ht="15.6" x14ac:dyDescent="0.3">
      <c r="A42" s="24"/>
      <c r="B42" s="25" t="s">
        <v>13</v>
      </c>
      <c r="C42" s="25"/>
      <c r="D42" s="38">
        <v>5.6149999999999999E-2</v>
      </c>
      <c r="E42" s="39"/>
      <c r="F42" s="38">
        <v>5.1799999999999999E-2</v>
      </c>
      <c r="G42" s="39"/>
      <c r="H42" s="38">
        <v>3.4270000000000002E-2</v>
      </c>
      <c r="I42" s="39"/>
      <c r="J42" s="38">
        <v>6.1550000000000001E-2</v>
      </c>
      <c r="K42" s="39"/>
      <c r="L42" s="38">
        <v>3.9669999999999997E-2</v>
      </c>
      <c r="M42" s="39"/>
      <c r="N42" s="38"/>
      <c r="O42" s="141"/>
      <c r="P42" s="39"/>
      <c r="Q42" s="25"/>
      <c r="R42" s="5"/>
    </row>
    <row r="43" spans="1:18" ht="15.6" x14ac:dyDescent="0.3">
      <c r="A43" s="24"/>
      <c r="B43" s="25" t="s">
        <v>14</v>
      </c>
      <c r="C43" s="25"/>
      <c r="D43" s="38">
        <v>5.3800000000000001E-2</v>
      </c>
      <c r="E43" s="39"/>
      <c r="F43" s="38">
        <v>4.9206300000000001E-2</v>
      </c>
      <c r="G43" s="39"/>
      <c r="H43" s="38">
        <v>3.0890000000000001E-2</v>
      </c>
      <c r="I43" s="39"/>
      <c r="J43" s="38">
        <v>5.9200000000000003E-2</v>
      </c>
      <c r="K43" s="39"/>
      <c r="L43" s="38">
        <v>3.6290000000000003E-2</v>
      </c>
      <c r="M43" s="39"/>
      <c r="N43" s="38"/>
      <c r="O43" s="141"/>
      <c r="P43" s="141"/>
      <c r="Q43" s="25"/>
      <c r="R43" s="5"/>
    </row>
    <row r="44" spans="1:18" ht="15.6" x14ac:dyDescent="0.3">
      <c r="A44" s="24"/>
      <c r="B44" s="25" t="s">
        <v>282</v>
      </c>
      <c r="C44" s="25"/>
      <c r="D44" s="30" t="s">
        <v>204</v>
      </c>
      <c r="E44" s="30"/>
      <c r="F44" s="30" t="s">
        <v>179</v>
      </c>
      <c r="G44" s="30"/>
      <c r="H44" s="30" t="s">
        <v>205</v>
      </c>
      <c r="I44" s="30"/>
      <c r="J44" s="30" t="s">
        <v>206</v>
      </c>
      <c r="K44" s="30"/>
      <c r="L44" s="30" t="s">
        <v>206</v>
      </c>
      <c r="M44" s="39"/>
      <c r="N44" s="38"/>
      <c r="O44" s="141"/>
      <c r="P44" s="39"/>
      <c r="Q44" s="25"/>
      <c r="R44" s="5"/>
    </row>
    <row r="45" spans="1:18" ht="15.6" x14ac:dyDescent="0.3">
      <c r="A45" s="24"/>
      <c r="B45" s="25" t="s">
        <v>285</v>
      </c>
      <c r="C45" s="25"/>
      <c r="D45" s="38">
        <v>5.2745E-2</v>
      </c>
      <c r="E45" s="39"/>
      <c r="F45" s="38">
        <f>+F42</f>
        <v>5.1799999999999999E-2</v>
      </c>
      <c r="G45" s="39"/>
      <c r="H45" s="38">
        <v>5.2624999999999998E-2</v>
      </c>
      <c r="I45" s="39"/>
      <c r="J45" s="38">
        <v>5.8874999999999997E-2</v>
      </c>
      <c r="K45" s="39"/>
      <c r="L45" s="38">
        <v>5.8874999999999997E-2</v>
      </c>
      <c r="M45" s="39"/>
      <c r="N45" s="38"/>
      <c r="O45" s="141"/>
      <c r="P45" s="39">
        <f>SUMPRODUCT(D45:L45,D37:L37)/P37</f>
        <v>5.3276790204458246E-2</v>
      </c>
      <c r="Q45" s="25"/>
      <c r="R45" s="5"/>
    </row>
    <row r="46" spans="1:18" ht="15.6" x14ac:dyDescent="0.3">
      <c r="A46" s="24"/>
      <c r="B46" s="25" t="s">
        <v>283</v>
      </c>
      <c r="C46" s="25"/>
      <c r="D46" s="38">
        <v>5.0151300000000003E-2</v>
      </c>
      <c r="E46" s="39"/>
      <c r="F46" s="38">
        <v>4.9206300000000001E-2</v>
      </c>
      <c r="G46" s="39"/>
      <c r="H46" s="38">
        <v>5.0031300000000001E-2</v>
      </c>
      <c r="I46" s="39"/>
      <c r="J46" s="38">
        <v>5.6281299999999999E-2</v>
      </c>
      <c r="K46" s="39"/>
      <c r="L46" s="38">
        <v>5.6281299999999999E-2</v>
      </c>
      <c r="M46" s="39"/>
      <c r="N46" s="38"/>
      <c r="O46" s="141"/>
      <c r="P46" s="141"/>
      <c r="Q46" s="25"/>
      <c r="R46" s="5"/>
    </row>
    <row r="47" spans="1:18" ht="15.6" x14ac:dyDescent="0.3">
      <c r="A47" s="24"/>
      <c r="B47" s="25" t="s">
        <v>15</v>
      </c>
      <c r="C47" s="110"/>
      <c r="D47" s="110">
        <v>39583</v>
      </c>
      <c r="E47" s="110"/>
      <c r="F47" s="110">
        <v>39583</v>
      </c>
      <c r="G47" s="110"/>
      <c r="H47" s="110">
        <v>39583</v>
      </c>
      <c r="I47" s="110"/>
      <c r="J47" s="110">
        <v>39583</v>
      </c>
      <c r="K47" s="110"/>
      <c r="L47" s="110">
        <v>39583</v>
      </c>
      <c r="M47" s="30"/>
      <c r="N47" s="30"/>
      <c r="O47" s="141"/>
      <c r="P47" s="141"/>
      <c r="Q47" s="25"/>
      <c r="R47" s="5"/>
    </row>
    <row r="48" spans="1:18" ht="15.6" x14ac:dyDescent="0.3">
      <c r="A48" s="24"/>
      <c r="B48" s="25" t="s">
        <v>16</v>
      </c>
      <c r="C48" s="110"/>
      <c r="D48" s="110">
        <v>40313</v>
      </c>
      <c r="E48" s="110"/>
      <c r="F48" s="110">
        <v>40313</v>
      </c>
      <c r="G48" s="30"/>
      <c r="H48" s="110">
        <v>40313</v>
      </c>
      <c r="I48" s="30"/>
      <c r="J48" s="110">
        <v>40313</v>
      </c>
      <c r="K48" s="30"/>
      <c r="L48" s="110">
        <v>40313</v>
      </c>
      <c r="M48" s="30"/>
      <c r="N48" s="30"/>
      <c r="O48" s="141"/>
      <c r="P48" s="141"/>
      <c r="Q48" s="25"/>
      <c r="R48" s="5"/>
    </row>
    <row r="49" spans="1:18" ht="15.6" x14ac:dyDescent="0.3">
      <c r="A49" s="24"/>
      <c r="B49" s="25" t="s">
        <v>140</v>
      </c>
      <c r="C49" s="25"/>
      <c r="D49" s="30" t="s">
        <v>180</v>
      </c>
      <c r="E49" s="30"/>
      <c r="F49" s="30" t="s">
        <v>180</v>
      </c>
      <c r="G49" s="30"/>
      <c r="H49" s="30" t="s">
        <v>180</v>
      </c>
      <c r="I49" s="30"/>
      <c r="J49" s="30" t="s">
        <v>188</v>
      </c>
      <c r="K49" s="30"/>
      <c r="L49" s="30" t="s">
        <v>188</v>
      </c>
      <c r="M49" s="30"/>
      <c r="N49" s="30"/>
      <c r="O49" s="141"/>
      <c r="P49" s="141"/>
      <c r="Q49" s="25"/>
      <c r="R49" s="5"/>
    </row>
    <row r="50" spans="1:18" ht="15.6" x14ac:dyDescent="0.3">
      <c r="A50" s="24"/>
      <c r="B50" s="25" t="s">
        <v>284</v>
      </c>
      <c r="C50" s="25"/>
      <c r="D50" s="30" t="s">
        <v>207</v>
      </c>
      <c r="E50" s="30"/>
      <c r="F50" s="30" t="s">
        <v>180</v>
      </c>
      <c r="G50" s="30"/>
      <c r="H50" s="30" t="s">
        <v>208</v>
      </c>
      <c r="I50" s="30"/>
      <c r="J50" s="30" t="s">
        <v>209</v>
      </c>
      <c r="K50" s="30"/>
      <c r="L50" s="30" t="s">
        <v>209</v>
      </c>
      <c r="M50" s="30"/>
      <c r="N50" s="30"/>
      <c r="O50" s="141"/>
      <c r="P50" s="141"/>
      <c r="Q50" s="25"/>
      <c r="R50" s="5"/>
    </row>
    <row r="51" spans="1:18" ht="15.6" x14ac:dyDescent="0.3">
      <c r="A51" s="24"/>
      <c r="B51" s="25"/>
      <c r="C51" s="25"/>
      <c r="D51" s="30"/>
      <c r="E51" s="30"/>
      <c r="F51" s="40"/>
      <c r="G51" s="40"/>
      <c r="H51" s="40"/>
      <c r="I51" s="40"/>
      <c r="J51" s="40"/>
      <c r="K51" s="40"/>
      <c r="L51" s="40"/>
      <c r="M51" s="40"/>
      <c r="N51" s="40"/>
      <c r="O51" s="40"/>
      <c r="P51" s="40"/>
      <c r="Q51" s="25"/>
      <c r="R51" s="5"/>
    </row>
    <row r="52" spans="1:18" ht="15.6" x14ac:dyDescent="0.3">
      <c r="A52" s="24"/>
      <c r="B52" s="25" t="s">
        <v>17</v>
      </c>
      <c r="C52" s="25"/>
      <c r="D52" s="41"/>
      <c r="E52" s="25"/>
      <c r="F52" s="25"/>
      <c r="G52" s="25"/>
      <c r="H52" s="25"/>
      <c r="I52" s="25"/>
      <c r="J52" s="25"/>
      <c r="K52" s="25"/>
      <c r="L52" s="25"/>
      <c r="M52" s="25"/>
      <c r="N52" s="25"/>
      <c r="O52" s="25"/>
      <c r="P52" s="39">
        <f>SUM(J36:L36)/SUM(D36:H36)</f>
        <v>0.11135651631005453</v>
      </c>
      <c r="Q52" s="25"/>
      <c r="R52" s="5"/>
    </row>
    <row r="53" spans="1:18" ht="15.6" x14ac:dyDescent="0.3">
      <c r="A53" s="24"/>
      <c r="B53" s="25" t="s">
        <v>18</v>
      </c>
      <c r="C53" s="25"/>
      <c r="D53" s="41"/>
      <c r="E53" s="25"/>
      <c r="F53" s="25"/>
      <c r="G53" s="25"/>
      <c r="H53" s="25"/>
      <c r="I53" s="25"/>
      <c r="J53" s="25"/>
      <c r="K53" s="25"/>
      <c r="L53" s="25"/>
      <c r="M53" s="25"/>
      <c r="N53" s="25"/>
      <c r="O53" s="25"/>
      <c r="P53" s="39">
        <f>SUM(J38:L38)/SUM(D38:H38)</f>
        <v>0.15805786972029798</v>
      </c>
      <c r="Q53" s="25"/>
      <c r="R53" s="5"/>
    </row>
    <row r="54" spans="1:18" ht="15.6" x14ac:dyDescent="0.3">
      <c r="A54" s="24"/>
      <c r="B54" s="25" t="s">
        <v>19</v>
      </c>
      <c r="C54" s="25"/>
      <c r="D54" s="25"/>
      <c r="E54" s="25"/>
      <c r="F54" s="25"/>
      <c r="G54" s="25"/>
      <c r="H54" s="25"/>
      <c r="I54" s="25"/>
      <c r="J54" s="25"/>
      <c r="K54" s="25"/>
      <c r="L54" s="25"/>
      <c r="M54" s="25"/>
      <c r="N54" s="30" t="s">
        <v>117</v>
      </c>
      <c r="O54" s="30" t="s">
        <v>124</v>
      </c>
      <c r="P54" s="31">
        <f>+P36/2-SUM(J36:L36)</f>
        <v>360101</v>
      </c>
      <c r="Q54" s="25"/>
      <c r="R54" s="5"/>
    </row>
    <row r="55" spans="1:18" ht="15.6" x14ac:dyDescent="0.3">
      <c r="A55" s="24"/>
      <c r="B55" s="25"/>
      <c r="C55" s="25"/>
      <c r="D55" s="25"/>
      <c r="E55" s="25"/>
      <c r="F55" s="25"/>
      <c r="G55" s="25"/>
      <c r="H55" s="25"/>
      <c r="I55" s="25"/>
      <c r="J55" s="25"/>
      <c r="K55" s="25"/>
      <c r="L55" s="25"/>
      <c r="M55" s="25"/>
      <c r="N55" s="25" t="s">
        <v>275</v>
      </c>
      <c r="O55" s="25"/>
      <c r="P55" s="42"/>
      <c r="Q55" s="25"/>
      <c r="R55" s="5"/>
    </row>
    <row r="56" spans="1:18" ht="15.6" x14ac:dyDescent="0.3">
      <c r="A56" s="24"/>
      <c r="B56" s="25" t="s">
        <v>193</v>
      </c>
      <c r="C56" s="25"/>
      <c r="D56" s="25"/>
      <c r="E56" s="25"/>
      <c r="F56" s="25"/>
      <c r="G56" s="25"/>
      <c r="H56" s="25"/>
      <c r="I56" s="25"/>
      <c r="J56" s="25"/>
      <c r="K56" s="25"/>
      <c r="L56" s="25"/>
      <c r="M56" s="25"/>
      <c r="N56" s="30"/>
      <c r="O56" s="30"/>
      <c r="P56" s="30" t="s">
        <v>126</v>
      </c>
      <c r="Q56" s="25"/>
      <c r="R56" s="5"/>
    </row>
    <row r="57" spans="1:18" ht="15.6" x14ac:dyDescent="0.3">
      <c r="A57" s="24"/>
      <c r="B57" s="29" t="s">
        <v>194</v>
      </c>
      <c r="C57" s="29"/>
      <c r="D57" s="29"/>
      <c r="E57" s="29"/>
      <c r="F57" s="29"/>
      <c r="G57" s="29"/>
      <c r="H57" s="29"/>
      <c r="I57" s="29"/>
      <c r="J57" s="29"/>
      <c r="K57" s="29"/>
      <c r="L57" s="29"/>
      <c r="M57" s="29"/>
      <c r="N57" s="43"/>
      <c r="O57" s="43"/>
      <c r="P57" s="44">
        <v>39036</v>
      </c>
      <c r="Q57" s="25"/>
      <c r="R57" s="5"/>
    </row>
    <row r="58" spans="1:18" ht="15.6" x14ac:dyDescent="0.3">
      <c r="A58" s="24"/>
      <c r="B58" s="25" t="s">
        <v>142</v>
      </c>
      <c r="C58" s="25"/>
      <c r="D58" s="25"/>
      <c r="E58" s="25"/>
      <c r="F58" s="58"/>
      <c r="G58" s="58"/>
      <c r="H58" s="58"/>
      <c r="I58" s="58"/>
      <c r="J58" s="58"/>
      <c r="K58" s="58"/>
      <c r="L58" s="25">
        <f>+P58-N58+1</f>
        <v>92</v>
      </c>
      <c r="M58" s="58"/>
      <c r="N58" s="45">
        <v>38852</v>
      </c>
      <c r="O58" s="46"/>
      <c r="P58" s="45">
        <v>38943</v>
      </c>
      <c r="Q58" s="25"/>
      <c r="R58" s="5"/>
    </row>
    <row r="59" spans="1:18" ht="15.6" x14ac:dyDescent="0.3">
      <c r="A59" s="24"/>
      <c r="B59" s="25" t="s">
        <v>143</v>
      </c>
      <c r="C59" s="25"/>
      <c r="D59" s="25"/>
      <c r="E59" s="25"/>
      <c r="F59" s="25"/>
      <c r="G59" s="25"/>
      <c r="H59" s="25"/>
      <c r="I59" s="25"/>
      <c r="J59" s="25"/>
      <c r="K59" s="25"/>
      <c r="L59" s="25">
        <f>+P59-N59+1</f>
        <v>92</v>
      </c>
      <c r="M59" s="25"/>
      <c r="N59" s="45">
        <v>38944</v>
      </c>
      <c r="O59" s="46"/>
      <c r="P59" s="45">
        <v>39035</v>
      </c>
      <c r="Q59" s="25"/>
      <c r="R59" s="5"/>
    </row>
    <row r="60" spans="1:18" ht="15.6" x14ac:dyDescent="0.3">
      <c r="A60" s="24"/>
      <c r="B60" s="25" t="s">
        <v>216</v>
      </c>
      <c r="C60" s="25"/>
      <c r="D60" s="25"/>
      <c r="E60" s="25"/>
      <c r="F60" s="25"/>
      <c r="G60" s="25"/>
      <c r="H60" s="25"/>
      <c r="I60" s="25"/>
      <c r="J60" s="25"/>
      <c r="K60" s="25"/>
      <c r="L60" s="25"/>
      <c r="M60" s="25"/>
      <c r="N60" s="45"/>
      <c r="O60" s="46"/>
      <c r="P60" s="45" t="s">
        <v>141</v>
      </c>
      <c r="Q60" s="25"/>
      <c r="R60" s="5"/>
    </row>
    <row r="61" spans="1:18" ht="15.6" x14ac:dyDescent="0.3">
      <c r="A61" s="24"/>
      <c r="B61" s="25" t="s">
        <v>213</v>
      </c>
      <c r="C61" s="25"/>
      <c r="D61" s="25"/>
      <c r="E61" s="25"/>
      <c r="F61" s="25"/>
      <c r="G61" s="25"/>
      <c r="H61" s="25"/>
      <c r="I61" s="25"/>
      <c r="J61" s="25"/>
      <c r="K61" s="25"/>
      <c r="L61" s="25"/>
      <c r="M61" s="25"/>
      <c r="N61" s="45"/>
      <c r="O61" s="46"/>
      <c r="P61" s="45" t="s">
        <v>225</v>
      </c>
      <c r="Q61" s="25"/>
      <c r="R61" s="5"/>
    </row>
    <row r="62" spans="1:18" ht="15.6" x14ac:dyDescent="0.3">
      <c r="A62" s="24"/>
      <c r="B62" s="25" t="s">
        <v>20</v>
      </c>
      <c r="C62" s="25"/>
      <c r="D62" s="25"/>
      <c r="E62" s="25"/>
      <c r="F62" s="25"/>
      <c r="G62" s="25"/>
      <c r="H62" s="25"/>
      <c r="I62" s="25"/>
      <c r="J62" s="25"/>
      <c r="K62" s="25"/>
      <c r="L62" s="25"/>
      <c r="M62" s="25"/>
      <c r="N62" s="45"/>
      <c r="O62" s="46"/>
      <c r="P62" s="45">
        <v>39022</v>
      </c>
      <c r="Q62" s="25"/>
      <c r="R62" s="5"/>
    </row>
    <row r="63" spans="1:18" ht="15.6" x14ac:dyDescent="0.3">
      <c r="A63" s="24"/>
      <c r="B63" s="25"/>
      <c r="C63" s="25"/>
      <c r="D63" s="25"/>
      <c r="E63" s="25"/>
      <c r="F63" s="25"/>
      <c r="G63" s="25"/>
      <c r="H63" s="25"/>
      <c r="I63" s="25"/>
      <c r="J63" s="25"/>
      <c r="K63" s="25"/>
      <c r="L63" s="25"/>
      <c r="M63" s="25"/>
      <c r="N63" s="45"/>
      <c r="O63" s="46"/>
      <c r="P63" s="45"/>
      <c r="Q63" s="25"/>
      <c r="R63" s="5"/>
    </row>
    <row r="64" spans="1:18" ht="15.6" x14ac:dyDescent="0.3">
      <c r="A64" s="6"/>
      <c r="B64" s="8"/>
      <c r="C64" s="8"/>
      <c r="D64" s="8"/>
      <c r="E64" s="8"/>
      <c r="F64" s="8"/>
      <c r="G64" s="8"/>
      <c r="H64" s="8"/>
      <c r="I64" s="8"/>
      <c r="J64" s="8"/>
      <c r="K64" s="8"/>
      <c r="L64" s="8"/>
      <c r="M64" s="8"/>
      <c r="N64" s="47"/>
      <c r="O64" s="48"/>
      <c r="P64" s="47"/>
      <c r="Q64" s="8"/>
      <c r="R64" s="5"/>
    </row>
    <row r="65" spans="1:18" ht="18" thickBot="1" x14ac:dyDescent="0.35">
      <c r="A65" s="101"/>
      <c r="B65" s="102" t="s">
        <v>256</v>
      </c>
      <c r="C65" s="103"/>
      <c r="D65" s="103"/>
      <c r="E65" s="103"/>
      <c r="F65" s="103"/>
      <c r="G65" s="103"/>
      <c r="H65" s="103"/>
      <c r="I65" s="103"/>
      <c r="J65" s="103"/>
      <c r="K65" s="103"/>
      <c r="L65" s="103"/>
      <c r="M65" s="103"/>
      <c r="N65" s="103"/>
      <c r="O65" s="103"/>
      <c r="P65" s="104"/>
      <c r="Q65" s="105"/>
      <c r="R65" s="5"/>
    </row>
    <row r="66" spans="1:18" ht="15.6" x14ac:dyDescent="0.3">
      <c r="A66" s="2"/>
      <c r="B66" s="4"/>
      <c r="C66" s="4"/>
      <c r="D66" s="4"/>
      <c r="E66" s="4"/>
      <c r="F66" s="4"/>
      <c r="G66" s="4"/>
      <c r="H66" s="4"/>
      <c r="I66" s="4"/>
      <c r="J66" s="4"/>
      <c r="K66" s="4"/>
      <c r="L66" s="4"/>
      <c r="M66" s="4"/>
      <c r="N66" s="4"/>
      <c r="O66" s="4"/>
      <c r="P66" s="50"/>
      <c r="Q66" s="4"/>
      <c r="R66" s="5"/>
    </row>
    <row r="67" spans="1:18" ht="15.6" x14ac:dyDescent="0.3">
      <c r="A67" s="6"/>
      <c r="B67" s="51" t="s">
        <v>21</v>
      </c>
      <c r="C67" s="8"/>
      <c r="D67" s="8"/>
      <c r="E67" s="8"/>
      <c r="F67" s="8"/>
      <c r="G67" s="8"/>
      <c r="H67" s="8"/>
      <c r="I67" s="8"/>
      <c r="J67" s="8"/>
      <c r="K67" s="8"/>
      <c r="L67" s="8"/>
      <c r="M67" s="8"/>
      <c r="N67" s="8"/>
      <c r="O67" s="8"/>
      <c r="P67" s="52"/>
      <c r="Q67" s="8"/>
      <c r="R67" s="5"/>
    </row>
    <row r="68" spans="1:18" ht="15.6" x14ac:dyDescent="0.3">
      <c r="A68" s="6"/>
      <c r="B68" s="13"/>
      <c r="C68" s="8"/>
      <c r="D68" s="8"/>
      <c r="E68" s="8"/>
      <c r="F68" s="8"/>
      <c r="G68" s="8"/>
      <c r="H68" s="8"/>
      <c r="I68" s="8"/>
      <c r="J68" s="8"/>
      <c r="K68" s="8"/>
      <c r="L68" s="8"/>
      <c r="M68" s="8"/>
      <c r="N68" s="8"/>
      <c r="O68" s="8"/>
      <c r="P68" s="52"/>
      <c r="Q68" s="8"/>
      <c r="R68" s="5"/>
    </row>
    <row r="69" spans="1:18" ht="31.2" x14ac:dyDescent="0.3">
      <c r="A69" s="6"/>
      <c r="B69" s="114" t="s">
        <v>22</v>
      </c>
      <c r="C69" s="115"/>
      <c r="D69" s="115"/>
      <c r="E69" s="115"/>
      <c r="F69" s="115" t="s">
        <v>105</v>
      </c>
      <c r="G69" s="115"/>
      <c r="H69" s="115" t="s">
        <v>107</v>
      </c>
      <c r="I69" s="115"/>
      <c r="J69" s="115" t="s">
        <v>109</v>
      </c>
      <c r="K69" s="115"/>
      <c r="L69" s="115" t="s">
        <v>111</v>
      </c>
      <c r="M69" s="115"/>
      <c r="N69" s="115" t="s">
        <v>118</v>
      </c>
      <c r="O69" s="115"/>
      <c r="P69" s="116" t="s">
        <v>127</v>
      </c>
      <c r="Q69" s="117"/>
      <c r="R69" s="5"/>
    </row>
    <row r="70" spans="1:18" ht="15.6" x14ac:dyDescent="0.3">
      <c r="A70" s="24"/>
      <c r="B70" s="25" t="s">
        <v>23</v>
      </c>
      <c r="C70" s="34"/>
      <c r="D70" s="34"/>
      <c r="E70" s="34"/>
      <c r="F70" s="34">
        <v>690290</v>
      </c>
      <c r="G70" s="34"/>
      <c r="H70" s="53">
        <v>692956</v>
      </c>
      <c r="I70" s="34"/>
      <c r="J70" s="34">
        <f>31720+3143+57</f>
        <v>34920</v>
      </c>
      <c r="K70" s="34"/>
      <c r="L70" s="34">
        <f>3143+57</f>
        <v>3200</v>
      </c>
      <c r="M70" s="34"/>
      <c r="N70" s="34">
        <v>0</v>
      </c>
      <c r="O70" s="34"/>
      <c r="P70" s="53">
        <f>+H70-J70+L70-N70</f>
        <v>661236</v>
      </c>
      <c r="Q70" s="25"/>
      <c r="R70" s="5"/>
    </row>
    <row r="71" spans="1:18" ht="15.6" x14ac:dyDescent="0.3">
      <c r="A71" s="24"/>
      <c r="B71" s="25" t="s">
        <v>24</v>
      </c>
      <c r="C71" s="34"/>
      <c r="D71" s="34"/>
      <c r="E71" s="34"/>
      <c r="F71" s="34">
        <v>201</v>
      </c>
      <c r="G71" s="34"/>
      <c r="H71" s="53">
        <v>0</v>
      </c>
      <c r="I71" s="34"/>
      <c r="J71" s="34">
        <v>0</v>
      </c>
      <c r="K71" s="34"/>
      <c r="L71" s="34">
        <v>0</v>
      </c>
      <c r="M71" s="34"/>
      <c r="N71" s="34">
        <v>0</v>
      </c>
      <c r="O71" s="34"/>
      <c r="P71" s="53">
        <f>+H71-J71+L71</f>
        <v>0</v>
      </c>
      <c r="Q71" s="25"/>
      <c r="R71" s="5"/>
    </row>
    <row r="72" spans="1:18" ht="15.6" x14ac:dyDescent="0.3">
      <c r="A72" s="24"/>
      <c r="B72" s="25"/>
      <c r="C72" s="34"/>
      <c r="D72" s="34"/>
      <c r="E72" s="34"/>
      <c r="F72" s="34"/>
      <c r="G72" s="34"/>
      <c r="H72" s="53"/>
      <c r="I72" s="34"/>
      <c r="J72" s="34"/>
      <c r="K72" s="34"/>
      <c r="L72" s="34"/>
      <c r="M72" s="34"/>
      <c r="N72" s="34"/>
      <c r="O72" s="34"/>
      <c r="P72" s="53"/>
      <c r="Q72" s="25"/>
      <c r="R72" s="5"/>
    </row>
    <row r="73" spans="1:18" ht="15.6" x14ac:dyDescent="0.3">
      <c r="A73" s="24"/>
      <c r="B73" s="25" t="s">
        <v>25</v>
      </c>
      <c r="C73" s="34"/>
      <c r="D73" s="34"/>
      <c r="E73" s="34"/>
      <c r="F73" s="34">
        <f>SUM(F70:F72)</f>
        <v>690491</v>
      </c>
      <c r="G73" s="34"/>
      <c r="H73" s="54">
        <f>H70+H71</f>
        <v>692956</v>
      </c>
      <c r="I73" s="34"/>
      <c r="J73" s="34">
        <f>SUM(J70:J72)</f>
        <v>34920</v>
      </c>
      <c r="K73" s="34"/>
      <c r="L73" s="34">
        <f>SUM(L70:L72)</f>
        <v>3200</v>
      </c>
      <c r="M73" s="34"/>
      <c r="N73" s="34">
        <f>SUM(N70:N72)</f>
        <v>0</v>
      </c>
      <c r="O73" s="34"/>
      <c r="P73" s="54">
        <f>SUM(P70:P72)</f>
        <v>661236</v>
      </c>
      <c r="Q73" s="25"/>
      <c r="R73" s="5"/>
    </row>
    <row r="74" spans="1:18" ht="15.6" x14ac:dyDescent="0.3">
      <c r="A74" s="24"/>
      <c r="B74" s="25"/>
      <c r="C74" s="34"/>
      <c r="D74" s="34"/>
      <c r="E74" s="34"/>
      <c r="F74" s="34"/>
      <c r="G74" s="34"/>
      <c r="H74" s="34"/>
      <c r="I74" s="34"/>
      <c r="J74" s="34"/>
      <c r="K74" s="34"/>
      <c r="L74" s="34"/>
      <c r="M74" s="34"/>
      <c r="N74" s="34"/>
      <c r="O74" s="34"/>
      <c r="P74" s="54"/>
      <c r="Q74" s="25"/>
      <c r="R74" s="5"/>
    </row>
    <row r="75" spans="1:18" ht="15.6" x14ac:dyDescent="0.3">
      <c r="A75" s="6"/>
      <c r="B75" s="111" t="s">
        <v>26</v>
      </c>
      <c r="C75" s="55"/>
      <c r="D75" s="55"/>
      <c r="E75" s="55"/>
      <c r="F75" s="55"/>
      <c r="G75" s="55"/>
      <c r="H75" s="55"/>
      <c r="I75" s="55"/>
      <c r="J75" s="55"/>
      <c r="K75" s="55"/>
      <c r="L75" s="55"/>
      <c r="M75" s="55"/>
      <c r="N75" s="55"/>
      <c r="O75" s="55"/>
      <c r="P75" s="56"/>
      <c r="Q75" s="8"/>
      <c r="R75" s="5"/>
    </row>
    <row r="76" spans="1:18" ht="15.6" x14ac:dyDescent="0.3">
      <c r="A76" s="6"/>
      <c r="B76" s="8"/>
      <c r="C76" s="55"/>
      <c r="D76" s="55"/>
      <c r="E76" s="55"/>
      <c r="F76" s="55"/>
      <c r="G76" s="55"/>
      <c r="H76" s="55"/>
      <c r="I76" s="55"/>
      <c r="J76" s="55"/>
      <c r="K76" s="55"/>
      <c r="L76" s="55"/>
      <c r="M76" s="55"/>
      <c r="N76" s="55"/>
      <c r="O76" s="55"/>
      <c r="P76" s="56"/>
      <c r="Q76" s="8"/>
      <c r="R76" s="5"/>
    </row>
    <row r="77" spans="1:18" ht="15.6" x14ac:dyDescent="0.3">
      <c r="A77" s="24"/>
      <c r="B77" s="25" t="s">
        <v>23</v>
      </c>
      <c r="C77" s="34"/>
      <c r="D77" s="34"/>
      <c r="E77" s="34"/>
      <c r="F77" s="34"/>
      <c r="G77" s="34"/>
      <c r="H77" s="34"/>
      <c r="I77" s="34"/>
      <c r="J77" s="34"/>
      <c r="K77" s="34"/>
      <c r="L77" s="34"/>
      <c r="M77" s="34"/>
      <c r="N77" s="34"/>
      <c r="O77" s="34"/>
      <c r="P77" s="54"/>
      <c r="Q77" s="25"/>
      <c r="R77" s="5"/>
    </row>
    <row r="78" spans="1:18" ht="15.6" x14ac:dyDescent="0.3">
      <c r="A78" s="24"/>
      <c r="B78" s="25" t="s">
        <v>24</v>
      </c>
      <c r="C78" s="34"/>
      <c r="D78" s="34"/>
      <c r="E78" s="34"/>
      <c r="F78" s="34"/>
      <c r="G78" s="34"/>
      <c r="H78" s="34"/>
      <c r="I78" s="34"/>
      <c r="J78" s="34"/>
      <c r="K78" s="34"/>
      <c r="L78" s="34"/>
      <c r="M78" s="34"/>
      <c r="N78" s="34"/>
      <c r="O78" s="34"/>
      <c r="P78" s="54"/>
      <c r="Q78" s="25"/>
      <c r="R78" s="5"/>
    </row>
    <row r="79" spans="1:18" ht="15.6" x14ac:dyDescent="0.3">
      <c r="A79" s="24"/>
      <c r="B79" s="25"/>
      <c r="C79" s="34"/>
      <c r="D79" s="34"/>
      <c r="E79" s="34"/>
      <c r="F79" s="34"/>
      <c r="G79" s="34"/>
      <c r="H79" s="34"/>
      <c r="I79" s="34"/>
      <c r="J79" s="34"/>
      <c r="K79" s="34"/>
      <c r="L79" s="34"/>
      <c r="M79" s="34"/>
      <c r="N79" s="34"/>
      <c r="O79" s="34"/>
      <c r="P79" s="54"/>
      <c r="Q79" s="25"/>
      <c r="R79" s="5"/>
    </row>
    <row r="80" spans="1:18" ht="15.6" x14ac:dyDescent="0.3">
      <c r="A80" s="24"/>
      <c r="B80" s="25" t="s">
        <v>25</v>
      </c>
      <c r="C80" s="34"/>
      <c r="D80" s="34"/>
      <c r="E80" s="34"/>
      <c r="F80" s="34"/>
      <c r="G80" s="34"/>
      <c r="H80" s="34"/>
      <c r="I80" s="34"/>
      <c r="J80" s="34"/>
      <c r="K80" s="34"/>
      <c r="L80" s="34"/>
      <c r="M80" s="34"/>
      <c r="N80" s="34"/>
      <c r="O80" s="34"/>
      <c r="P80" s="34"/>
      <c r="Q80" s="25"/>
      <c r="R80" s="5"/>
    </row>
    <row r="81" spans="1:18" ht="15.6" x14ac:dyDescent="0.3">
      <c r="A81" s="24"/>
      <c r="B81" s="25"/>
      <c r="C81" s="34"/>
      <c r="D81" s="34"/>
      <c r="E81" s="34"/>
      <c r="F81" s="34"/>
      <c r="G81" s="34"/>
      <c r="H81" s="34"/>
      <c r="I81" s="34"/>
      <c r="J81" s="34"/>
      <c r="K81" s="34"/>
      <c r="L81" s="34"/>
      <c r="M81" s="34"/>
      <c r="N81" s="34"/>
      <c r="O81" s="34"/>
      <c r="P81" s="34"/>
      <c r="Q81" s="25"/>
      <c r="R81" s="5"/>
    </row>
    <row r="82" spans="1:18" ht="15.6" x14ac:dyDescent="0.3">
      <c r="A82" s="24"/>
      <c r="B82" s="25" t="s">
        <v>27</v>
      </c>
      <c r="C82" s="34"/>
      <c r="D82" s="34"/>
      <c r="E82" s="34"/>
      <c r="F82" s="34">
        <v>0</v>
      </c>
      <c r="G82" s="34"/>
      <c r="H82" s="34">
        <v>0</v>
      </c>
      <c r="I82" s="34"/>
      <c r="J82" s="34"/>
      <c r="K82" s="34"/>
      <c r="L82" s="34"/>
      <c r="M82" s="34"/>
      <c r="N82" s="34"/>
      <c r="O82" s="34"/>
      <c r="P82" s="53">
        <v>0</v>
      </c>
      <c r="Q82" s="25"/>
      <c r="R82" s="5"/>
    </row>
    <row r="83" spans="1:18" ht="15.6" x14ac:dyDescent="0.3">
      <c r="A83" s="24"/>
      <c r="B83" s="25" t="s">
        <v>132</v>
      </c>
      <c r="C83" s="34"/>
      <c r="D83" s="34"/>
      <c r="E83" s="34"/>
      <c r="F83" s="34">
        <v>210000</v>
      </c>
      <c r="G83" s="34"/>
      <c r="H83" s="34">
        <v>0</v>
      </c>
      <c r="I83" s="34"/>
      <c r="J83" s="34"/>
      <c r="K83" s="34"/>
      <c r="L83" s="34">
        <v>0</v>
      </c>
      <c r="M83" s="34"/>
      <c r="N83" s="34"/>
      <c r="O83" s="34"/>
      <c r="P83" s="54">
        <f>SUM(H83:L83)</f>
        <v>0</v>
      </c>
      <c r="Q83" s="25"/>
      <c r="R83" s="5"/>
    </row>
    <row r="84" spans="1:18" ht="15.6" x14ac:dyDescent="0.3">
      <c r="A84" s="24"/>
      <c r="B84" s="25" t="s">
        <v>210</v>
      </c>
      <c r="C84" s="34"/>
      <c r="D84" s="34"/>
      <c r="E84" s="34"/>
      <c r="F84" s="34">
        <v>209</v>
      </c>
      <c r="G84" s="34"/>
      <c r="H84" s="34">
        <v>0</v>
      </c>
      <c r="I84" s="34"/>
      <c r="J84" s="34"/>
      <c r="K84" s="34"/>
      <c r="L84" s="34">
        <v>0</v>
      </c>
      <c r="M84" s="34"/>
      <c r="N84" s="34"/>
      <c r="O84" s="34"/>
      <c r="P84" s="54">
        <f>SUM(H84:L84)</f>
        <v>0</v>
      </c>
      <c r="Q84" s="25"/>
      <c r="R84" s="5"/>
    </row>
    <row r="85" spans="1:18" ht="15.6" x14ac:dyDescent="0.3">
      <c r="A85" s="24"/>
      <c r="B85" s="25" t="s">
        <v>29</v>
      </c>
      <c r="C85" s="34"/>
      <c r="D85" s="34"/>
      <c r="E85" s="34"/>
      <c r="F85" s="34">
        <v>0</v>
      </c>
      <c r="G85" s="34"/>
      <c r="H85" s="34">
        <v>0</v>
      </c>
      <c r="I85" s="34"/>
      <c r="J85" s="34"/>
      <c r="K85" s="34"/>
      <c r="L85" s="34"/>
      <c r="M85" s="34"/>
      <c r="N85" s="34"/>
      <c r="O85" s="34"/>
      <c r="P85" s="54">
        <v>0</v>
      </c>
      <c r="Q85" s="25"/>
      <c r="R85" s="5"/>
    </row>
    <row r="86" spans="1:18" ht="15.6" x14ac:dyDescent="0.3">
      <c r="A86" s="24"/>
      <c r="B86" s="25" t="s">
        <v>30</v>
      </c>
      <c r="C86" s="34"/>
      <c r="D86" s="54"/>
      <c r="E86" s="34"/>
      <c r="F86" s="54">
        <f>SUM(F73:F85)</f>
        <v>900700</v>
      </c>
      <c r="G86" s="54"/>
      <c r="H86" s="54">
        <f>SUM(H73:H85)</f>
        <v>692956</v>
      </c>
      <c r="I86" s="34"/>
      <c r="J86" s="34"/>
      <c r="K86" s="34"/>
      <c r="L86" s="34"/>
      <c r="M86" s="34"/>
      <c r="N86" s="54"/>
      <c r="O86" s="34"/>
      <c r="P86" s="54">
        <f>SUM(P73:P85)</f>
        <v>661236</v>
      </c>
      <c r="Q86" s="25"/>
      <c r="R86" s="5"/>
    </row>
    <row r="87" spans="1:18" ht="15.6" x14ac:dyDescent="0.3">
      <c r="A87" s="24"/>
      <c r="B87" s="25"/>
      <c r="C87" s="34"/>
      <c r="D87" s="34"/>
      <c r="E87" s="34"/>
      <c r="F87" s="34"/>
      <c r="G87" s="34"/>
      <c r="H87" s="34"/>
      <c r="I87" s="34"/>
      <c r="J87" s="34"/>
      <c r="K87" s="34"/>
      <c r="L87" s="34"/>
      <c r="M87" s="34"/>
      <c r="N87" s="34"/>
      <c r="O87" s="34"/>
      <c r="P87" s="54"/>
      <c r="Q87" s="25"/>
      <c r="R87" s="5"/>
    </row>
    <row r="88" spans="1:18" ht="15.6" x14ac:dyDescent="0.3">
      <c r="A88" s="6"/>
      <c r="B88" s="8"/>
      <c r="C88" s="8"/>
      <c r="D88" s="8"/>
      <c r="E88" s="8"/>
      <c r="F88" s="8"/>
      <c r="G88" s="8"/>
      <c r="H88" s="8"/>
      <c r="I88" s="8"/>
      <c r="J88" s="8"/>
      <c r="K88" s="8"/>
      <c r="L88" s="8"/>
      <c r="M88" s="8"/>
      <c r="N88" s="8"/>
      <c r="O88" s="8"/>
      <c r="P88" s="8"/>
      <c r="Q88" s="8"/>
      <c r="R88" s="5"/>
    </row>
    <row r="89" spans="1:18" ht="15.6" x14ac:dyDescent="0.3">
      <c r="A89" s="6"/>
      <c r="B89" s="51" t="s">
        <v>31</v>
      </c>
      <c r="C89" s="14"/>
      <c r="D89" s="14"/>
      <c r="E89" s="14"/>
      <c r="F89" s="170" t="s">
        <v>106</v>
      </c>
      <c r="G89" s="17"/>
      <c r="H89" s="171">
        <v>39021</v>
      </c>
      <c r="I89" s="17"/>
      <c r="J89" s="17"/>
      <c r="K89" s="17"/>
      <c r="L89" s="17"/>
      <c r="M89" s="17"/>
      <c r="N89" s="17" t="s">
        <v>119</v>
      </c>
      <c r="O89" s="17"/>
      <c r="P89" s="17" t="s">
        <v>128</v>
      </c>
      <c r="Q89" s="8"/>
      <c r="R89" s="5"/>
    </row>
    <row r="90" spans="1:18" ht="15.6" x14ac:dyDescent="0.3">
      <c r="A90" s="24"/>
      <c r="B90" s="25" t="s">
        <v>32</v>
      </c>
      <c r="C90" s="25"/>
      <c r="D90" s="25"/>
      <c r="E90" s="25"/>
      <c r="F90" s="25"/>
      <c r="G90" s="25"/>
      <c r="H90" s="25"/>
      <c r="I90" s="25"/>
      <c r="J90" s="25"/>
      <c r="K90" s="25"/>
      <c r="L90" s="25"/>
      <c r="M90" s="25"/>
      <c r="N90" s="34">
        <v>0</v>
      </c>
      <c r="O90" s="25"/>
      <c r="P90" s="53">
        <v>0</v>
      </c>
      <c r="Q90" s="25"/>
      <c r="R90" s="5"/>
    </row>
    <row r="91" spans="1:18" ht="15.6" x14ac:dyDescent="0.3">
      <c r="A91" s="24"/>
      <c r="B91" s="25" t="s">
        <v>33</v>
      </c>
      <c r="C91" s="25"/>
      <c r="D91" s="25"/>
      <c r="E91" s="25"/>
      <c r="F91" s="40" t="s">
        <v>253</v>
      </c>
      <c r="G91" s="57"/>
      <c r="H91" s="127" t="s">
        <v>253</v>
      </c>
      <c r="I91" s="25"/>
      <c r="J91" s="25"/>
      <c r="K91" s="25"/>
      <c r="L91" s="25"/>
      <c r="M91" s="25"/>
      <c r="N91" s="34">
        <v>34641</v>
      </c>
      <c r="O91" s="25"/>
      <c r="P91" s="53"/>
      <c r="Q91" s="25"/>
      <c r="R91" s="5"/>
    </row>
    <row r="92" spans="1:18" ht="15.6" x14ac:dyDescent="0.3">
      <c r="A92" s="24"/>
      <c r="B92" s="25" t="s">
        <v>248</v>
      </c>
      <c r="C92" s="25"/>
      <c r="D92" s="25"/>
      <c r="E92" s="25"/>
      <c r="F92" s="40"/>
      <c r="G92" s="57"/>
      <c r="H92" s="127"/>
      <c r="I92" s="25"/>
      <c r="J92" s="25"/>
      <c r="K92" s="25"/>
      <c r="L92" s="25"/>
      <c r="M92" s="25"/>
      <c r="N92" s="34"/>
      <c r="O92" s="25"/>
      <c r="P92" s="53">
        <f>11520+664-1963-133</f>
        <v>10088</v>
      </c>
      <c r="Q92" s="25"/>
      <c r="R92" s="5"/>
    </row>
    <row r="93" spans="1:18" ht="15.6" x14ac:dyDescent="0.3">
      <c r="A93" s="24"/>
      <c r="B93" s="25" t="s">
        <v>249</v>
      </c>
      <c r="C93" s="25"/>
      <c r="D93" s="25"/>
      <c r="E93" s="25"/>
      <c r="F93" s="40"/>
      <c r="G93" s="57"/>
      <c r="H93" s="127"/>
      <c r="I93" s="25"/>
      <c r="J93" s="25"/>
      <c r="K93" s="25"/>
      <c r="L93" s="25"/>
      <c r="M93" s="25"/>
      <c r="N93" s="34"/>
      <c r="O93" s="25"/>
      <c r="P93" s="53">
        <f>689+34</f>
        <v>723</v>
      </c>
      <c r="Q93" s="25"/>
      <c r="R93" s="5"/>
    </row>
    <row r="94" spans="1:18" ht="15.6" x14ac:dyDescent="0.3">
      <c r="A94" s="24"/>
      <c r="B94" s="25" t="s">
        <v>250</v>
      </c>
      <c r="C94" s="25"/>
      <c r="D94" s="25"/>
      <c r="E94" s="25"/>
      <c r="F94" s="40"/>
      <c r="G94" s="57"/>
      <c r="H94" s="127"/>
      <c r="I94" s="25"/>
      <c r="J94" s="25"/>
      <c r="K94" s="25"/>
      <c r="L94" s="25"/>
      <c r="M94" s="25"/>
      <c r="N94" s="34"/>
      <c r="O94" s="25"/>
      <c r="P94" s="53">
        <v>467</v>
      </c>
      <c r="Q94" s="25"/>
      <c r="R94" s="5"/>
    </row>
    <row r="95" spans="1:18" ht="15.6" x14ac:dyDescent="0.3">
      <c r="A95" s="24"/>
      <c r="B95" s="25" t="s">
        <v>160</v>
      </c>
      <c r="C95" s="25"/>
      <c r="D95" s="25"/>
      <c r="E95" s="25"/>
      <c r="F95" s="25"/>
      <c r="G95" s="25"/>
      <c r="H95" s="25"/>
      <c r="I95" s="25"/>
      <c r="J95" s="25"/>
      <c r="K95" s="25"/>
      <c r="L95" s="25"/>
      <c r="M95" s="25"/>
      <c r="N95" s="34"/>
      <c r="O95" s="25"/>
      <c r="P95" s="53">
        <v>0</v>
      </c>
      <c r="Q95" s="25"/>
      <c r="R95" s="5"/>
    </row>
    <row r="96" spans="1:18" ht="15.6" x14ac:dyDescent="0.3">
      <c r="A96" s="24"/>
      <c r="B96" s="25" t="s">
        <v>192</v>
      </c>
      <c r="C96" s="25"/>
      <c r="D96" s="25"/>
      <c r="E96" s="25"/>
      <c r="F96" s="25"/>
      <c r="G96" s="25"/>
      <c r="H96" s="25"/>
      <c r="I96" s="25"/>
      <c r="J96" s="25"/>
      <c r="K96" s="25"/>
      <c r="L96" s="25"/>
      <c r="M96" s="25"/>
      <c r="N96" s="34"/>
      <c r="O96" s="25"/>
      <c r="P96" s="53">
        <v>439</v>
      </c>
      <c r="Q96" s="25"/>
      <c r="R96" s="5"/>
    </row>
    <row r="97" spans="1:19" ht="15.6" x14ac:dyDescent="0.3">
      <c r="A97" s="24"/>
      <c r="B97" s="25" t="s">
        <v>35</v>
      </c>
      <c r="C97" s="25"/>
      <c r="D97" s="25"/>
      <c r="E97" s="25"/>
      <c r="F97" s="25"/>
      <c r="G97" s="25"/>
      <c r="H97" s="25"/>
      <c r="I97" s="25"/>
      <c r="J97" s="25"/>
      <c r="K97" s="25"/>
      <c r="L97" s="25"/>
      <c r="M97" s="25"/>
      <c r="N97" s="34">
        <f>SUM(N90:N96)</f>
        <v>34641</v>
      </c>
      <c r="O97" s="25"/>
      <c r="P97" s="54">
        <f>SUM(P90:P96)</f>
        <v>11717</v>
      </c>
      <c r="Q97" s="25"/>
      <c r="R97" s="5"/>
    </row>
    <row r="98" spans="1:19" ht="15.6" x14ac:dyDescent="0.3">
      <c r="A98" s="24"/>
      <c r="B98" s="25" t="s">
        <v>237</v>
      </c>
      <c r="C98" s="25"/>
      <c r="D98" s="25"/>
      <c r="E98" s="25"/>
      <c r="F98" s="25"/>
      <c r="G98" s="25"/>
      <c r="H98" s="25"/>
      <c r="I98" s="25"/>
      <c r="J98" s="25"/>
      <c r="K98" s="25"/>
      <c r="L98" s="25"/>
      <c r="M98" s="25"/>
      <c r="N98" s="34">
        <v>-18</v>
      </c>
      <c r="O98" s="25"/>
      <c r="P98" s="54">
        <f>-N98</f>
        <v>18</v>
      </c>
      <c r="Q98" s="25"/>
      <c r="R98" s="5"/>
    </row>
    <row r="99" spans="1:19" ht="15.6" x14ac:dyDescent="0.3">
      <c r="A99" s="24"/>
      <c r="B99" s="25" t="s">
        <v>36</v>
      </c>
      <c r="C99" s="25"/>
      <c r="D99" s="25"/>
      <c r="E99" s="25"/>
      <c r="F99" s="25"/>
      <c r="G99" s="25"/>
      <c r="H99" s="25"/>
      <c r="I99" s="25"/>
      <c r="J99" s="25"/>
      <c r="K99" s="25"/>
      <c r="L99" s="25"/>
      <c r="M99" s="25"/>
      <c r="N99" s="34">
        <f>-P99</f>
        <v>0</v>
      </c>
      <c r="O99" s="25"/>
      <c r="P99" s="53">
        <v>0</v>
      </c>
      <c r="Q99" s="25"/>
      <c r="R99" s="5"/>
    </row>
    <row r="100" spans="1:19" ht="15.6" x14ac:dyDescent="0.3">
      <c r="A100" s="24"/>
      <c r="B100" s="25" t="s">
        <v>37</v>
      </c>
      <c r="C100" s="25"/>
      <c r="D100" s="25"/>
      <c r="E100" s="25"/>
      <c r="F100" s="25"/>
      <c r="G100" s="25"/>
      <c r="H100" s="25"/>
      <c r="I100" s="25"/>
      <c r="J100" s="25"/>
      <c r="K100" s="25"/>
      <c r="L100" s="25"/>
      <c r="M100" s="25"/>
      <c r="N100" s="34">
        <f>N97+N99+N98</f>
        <v>34623</v>
      </c>
      <c r="O100" s="25"/>
      <c r="P100" s="54">
        <f>P97+P99+P98</f>
        <v>11735</v>
      </c>
      <c r="Q100" s="25"/>
      <c r="R100" s="5"/>
      <c r="S100" s="154"/>
    </row>
    <row r="101" spans="1:19" ht="15.6" x14ac:dyDescent="0.3">
      <c r="A101" s="24"/>
      <c r="B101" s="118" t="s">
        <v>38</v>
      </c>
      <c r="C101" s="25"/>
      <c r="D101" s="25"/>
      <c r="E101" s="25"/>
      <c r="F101" s="25"/>
      <c r="G101" s="25"/>
      <c r="H101" s="25"/>
      <c r="I101" s="25"/>
      <c r="J101" s="25"/>
      <c r="K101" s="25"/>
      <c r="L101" s="25"/>
      <c r="M101" s="25"/>
      <c r="N101" s="34"/>
      <c r="O101" s="25"/>
      <c r="P101" s="53"/>
      <c r="Q101" s="25"/>
      <c r="R101" s="5"/>
    </row>
    <row r="102" spans="1:19" ht="15.6" x14ac:dyDescent="0.3">
      <c r="A102" s="24">
        <v>1</v>
      </c>
      <c r="B102" s="25" t="s">
        <v>39</v>
      </c>
      <c r="C102" s="25"/>
      <c r="D102" s="25"/>
      <c r="E102" s="25"/>
      <c r="F102" s="25"/>
      <c r="G102" s="25"/>
      <c r="H102" s="25"/>
      <c r="I102" s="25"/>
      <c r="J102" s="25"/>
      <c r="K102" s="25"/>
      <c r="L102" s="25"/>
      <c r="M102" s="25"/>
      <c r="N102" s="25"/>
      <c r="O102" s="25"/>
      <c r="P102" s="53">
        <v>0</v>
      </c>
      <c r="Q102" s="25"/>
      <c r="R102" s="5"/>
    </row>
    <row r="103" spans="1:19" ht="15.6" x14ac:dyDescent="0.3">
      <c r="A103" s="24">
        <f>+A102+1</f>
        <v>2</v>
      </c>
      <c r="B103" s="25" t="s">
        <v>40</v>
      </c>
      <c r="C103" s="25"/>
      <c r="D103" s="25"/>
      <c r="E103" s="25"/>
      <c r="F103" s="25"/>
      <c r="G103" s="25"/>
      <c r="H103" s="25"/>
      <c r="I103" s="25"/>
      <c r="J103" s="25"/>
      <c r="K103" s="25"/>
      <c r="L103" s="25"/>
      <c r="M103" s="25"/>
      <c r="N103" s="25"/>
      <c r="O103" s="25"/>
      <c r="P103" s="53">
        <v>-2</v>
      </c>
      <c r="Q103" s="25"/>
      <c r="R103" s="5"/>
    </row>
    <row r="104" spans="1:19" ht="15.6" x14ac:dyDescent="0.3">
      <c r="A104" s="24">
        <f>+A103+1</f>
        <v>3</v>
      </c>
      <c r="B104" s="25" t="s">
        <v>226</v>
      </c>
      <c r="C104" s="25"/>
      <c r="D104" s="25"/>
      <c r="E104" s="25"/>
      <c r="F104" s="25"/>
      <c r="G104" s="25"/>
      <c r="H104" s="25"/>
      <c r="I104" s="25"/>
      <c r="J104" s="25"/>
      <c r="K104" s="25"/>
      <c r="L104" s="25"/>
      <c r="M104" s="25"/>
      <c r="N104" s="25"/>
      <c r="O104" s="25"/>
      <c r="P104" s="53">
        <f>-173-67-13</f>
        <v>-253</v>
      </c>
      <c r="Q104" s="25"/>
      <c r="R104" s="5"/>
    </row>
    <row r="105" spans="1:19" ht="15.6" x14ac:dyDescent="0.3">
      <c r="A105" s="24" t="s">
        <v>151</v>
      </c>
      <c r="B105" s="25" t="s">
        <v>131</v>
      </c>
      <c r="C105" s="25"/>
      <c r="D105" s="25"/>
      <c r="E105" s="25"/>
      <c r="F105" s="25"/>
      <c r="G105" s="25"/>
      <c r="H105" s="25"/>
      <c r="I105" s="25"/>
      <c r="J105" s="25"/>
      <c r="K105" s="25"/>
      <c r="L105" s="25"/>
      <c r="M105" s="25"/>
      <c r="N105" s="25"/>
      <c r="O105" s="25"/>
      <c r="P105" s="53">
        <v>-32</v>
      </c>
      <c r="Q105" s="25"/>
      <c r="R105" s="5"/>
    </row>
    <row r="106" spans="1:19" ht="15.6" x14ac:dyDescent="0.3">
      <c r="A106" s="24" t="s">
        <v>152</v>
      </c>
      <c r="B106" s="25" t="s">
        <v>195</v>
      </c>
      <c r="C106" s="25"/>
      <c r="D106" s="25"/>
      <c r="E106" s="25"/>
      <c r="F106" s="25"/>
      <c r="G106" s="25"/>
      <c r="H106" s="25"/>
      <c r="I106" s="25"/>
      <c r="J106" s="25"/>
      <c r="K106" s="25"/>
      <c r="L106" s="25"/>
      <c r="M106" s="25"/>
      <c r="N106" s="25"/>
      <c r="O106" s="25"/>
      <c r="P106" s="53">
        <v>-2501</v>
      </c>
      <c r="Q106" s="25"/>
      <c r="R106" s="5"/>
      <c r="S106" s="109"/>
    </row>
    <row r="107" spans="1:19" ht="15.6" x14ac:dyDescent="0.3">
      <c r="A107" s="24" t="s">
        <v>217</v>
      </c>
      <c r="B107" s="25" t="s">
        <v>196</v>
      </c>
      <c r="C107" s="25"/>
      <c r="D107" s="25"/>
      <c r="E107" s="25"/>
      <c r="F107" s="25"/>
      <c r="G107" s="25"/>
      <c r="H107" s="25"/>
      <c r="I107" s="25"/>
      <c r="J107" s="25"/>
      <c r="K107" s="25"/>
      <c r="L107" s="25"/>
      <c r="M107" s="25"/>
      <c r="N107" s="25"/>
      <c r="O107" s="25"/>
      <c r="P107" s="53">
        <v>-2136</v>
      </c>
      <c r="Q107" s="25"/>
      <c r="R107" s="5"/>
      <c r="S107" s="109"/>
    </row>
    <row r="108" spans="1:19" ht="15.6" x14ac:dyDescent="0.3">
      <c r="A108" s="24" t="s">
        <v>218</v>
      </c>
      <c r="B108" s="25" t="s">
        <v>197</v>
      </c>
      <c r="C108" s="25"/>
      <c r="D108" s="25"/>
      <c r="E108" s="25"/>
      <c r="F108" s="25"/>
      <c r="G108" s="25"/>
      <c r="H108" s="25"/>
      <c r="I108" s="25"/>
      <c r="J108" s="25"/>
      <c r="K108" s="25"/>
      <c r="L108" s="25"/>
      <c r="M108" s="25"/>
      <c r="N108" s="25"/>
      <c r="O108" s="25"/>
      <c r="P108" s="53">
        <v>-3329</v>
      </c>
      <c r="Q108" s="25"/>
      <c r="R108" s="5"/>
      <c r="S108" s="109"/>
    </row>
    <row r="109" spans="1:19" ht="15.6" x14ac:dyDescent="0.3">
      <c r="A109" s="24" t="s">
        <v>147</v>
      </c>
      <c r="B109" s="25" t="s">
        <v>146</v>
      </c>
      <c r="C109" s="25"/>
      <c r="D109" s="25"/>
      <c r="E109" s="25"/>
      <c r="F109" s="25"/>
      <c r="G109" s="25"/>
      <c r="H109" s="25"/>
      <c r="I109" s="25"/>
      <c r="J109" s="25"/>
      <c r="K109" s="25"/>
      <c r="L109" s="25"/>
      <c r="M109" s="25"/>
      <c r="N109" s="25"/>
      <c r="O109" s="25"/>
      <c r="P109" s="53">
        <v>-688</v>
      </c>
      <c r="Q109" s="25"/>
      <c r="R109" s="5"/>
      <c r="S109" s="109"/>
    </row>
    <row r="110" spans="1:19" ht="15.6" x14ac:dyDescent="0.3">
      <c r="A110" s="24" t="s">
        <v>148</v>
      </c>
      <c r="B110" s="25" t="s">
        <v>198</v>
      </c>
      <c r="C110" s="25"/>
      <c r="D110" s="25"/>
      <c r="E110" s="25"/>
      <c r="F110" s="25"/>
      <c r="G110" s="25"/>
      <c r="H110" s="25"/>
      <c r="I110" s="25"/>
      <c r="J110" s="25"/>
      <c r="K110" s="25"/>
      <c r="L110" s="25"/>
      <c r="M110" s="25"/>
      <c r="N110" s="25"/>
      <c r="O110" s="25"/>
      <c r="P110" s="53">
        <v>-651</v>
      </c>
      <c r="Q110" s="25"/>
      <c r="R110" s="5"/>
      <c r="S110" s="109"/>
    </row>
    <row r="111" spans="1:19" ht="15.6" x14ac:dyDescent="0.3">
      <c r="A111" s="24">
        <v>6</v>
      </c>
      <c r="B111" s="25" t="s">
        <v>41</v>
      </c>
      <c r="C111" s="25"/>
      <c r="D111" s="25"/>
      <c r="E111" s="25"/>
      <c r="F111" s="25"/>
      <c r="G111" s="25"/>
      <c r="H111" s="25"/>
      <c r="I111" s="25"/>
      <c r="J111" s="25"/>
      <c r="K111" s="25"/>
      <c r="L111" s="25"/>
      <c r="M111" s="25"/>
      <c r="N111" s="25"/>
      <c r="O111" s="25"/>
      <c r="P111" s="53">
        <v>-10</v>
      </c>
      <c r="Q111" s="25"/>
      <c r="R111" s="5"/>
    </row>
    <row r="112" spans="1:19" ht="15.6" x14ac:dyDescent="0.3">
      <c r="A112" s="24">
        <f t="shared" ref="A112:A117" si="0">+A111+1</f>
        <v>7</v>
      </c>
      <c r="B112" s="25" t="s">
        <v>53</v>
      </c>
      <c r="C112" s="25"/>
      <c r="D112" s="25"/>
      <c r="E112" s="25"/>
      <c r="F112" s="25"/>
      <c r="G112" s="25"/>
      <c r="H112" s="25"/>
      <c r="I112" s="25"/>
      <c r="J112" s="25"/>
      <c r="K112" s="25"/>
      <c r="L112" s="25"/>
      <c r="M112" s="25"/>
      <c r="N112" s="34">
        <f>-P112</f>
        <v>279</v>
      </c>
      <c r="O112" s="25"/>
      <c r="P112" s="53">
        <v>-279</v>
      </c>
      <c r="Q112" s="25"/>
      <c r="R112" s="5"/>
    </row>
    <row r="113" spans="1:18" ht="15.6" x14ac:dyDescent="0.3">
      <c r="A113" s="24">
        <f t="shared" si="0"/>
        <v>8</v>
      </c>
      <c r="B113" s="25" t="s">
        <v>149</v>
      </c>
      <c r="C113" s="25"/>
      <c r="D113" s="25"/>
      <c r="E113" s="25"/>
      <c r="F113" s="25"/>
      <c r="G113" s="25"/>
      <c r="H113" s="25"/>
      <c r="I113" s="25"/>
      <c r="J113" s="25"/>
      <c r="K113" s="25"/>
      <c r="L113" s="25"/>
      <c r="M113" s="25"/>
      <c r="N113" s="25"/>
      <c r="O113" s="25"/>
      <c r="P113" s="53">
        <v>0</v>
      </c>
      <c r="Q113" s="25"/>
      <c r="R113" s="5"/>
    </row>
    <row r="114" spans="1:18" ht="15.6" x14ac:dyDescent="0.3">
      <c r="A114" s="24">
        <f t="shared" si="0"/>
        <v>9</v>
      </c>
      <c r="B114" s="25" t="s">
        <v>42</v>
      </c>
      <c r="C114" s="25"/>
      <c r="D114" s="25"/>
      <c r="E114" s="25"/>
      <c r="F114" s="25"/>
      <c r="G114" s="25"/>
      <c r="H114" s="25"/>
      <c r="I114" s="25"/>
      <c r="J114" s="25"/>
      <c r="K114" s="25"/>
      <c r="L114" s="25"/>
      <c r="M114" s="25"/>
      <c r="N114" s="25"/>
      <c r="O114" s="25"/>
      <c r="P114" s="53">
        <v>0</v>
      </c>
      <c r="Q114" s="25"/>
      <c r="R114" s="5"/>
    </row>
    <row r="115" spans="1:18" ht="15.6" x14ac:dyDescent="0.3">
      <c r="A115" s="24">
        <f t="shared" si="0"/>
        <v>10</v>
      </c>
      <c r="B115" s="25" t="s">
        <v>43</v>
      </c>
      <c r="C115" s="25"/>
      <c r="D115" s="25"/>
      <c r="E115" s="25"/>
      <c r="F115" s="25"/>
      <c r="G115" s="25"/>
      <c r="H115" s="25"/>
      <c r="I115" s="25"/>
      <c r="J115" s="25"/>
      <c r="K115" s="25"/>
      <c r="L115" s="25"/>
      <c r="M115" s="25"/>
      <c r="N115" s="25"/>
      <c r="O115" s="25"/>
      <c r="P115" s="53">
        <v>0</v>
      </c>
      <c r="Q115" s="25"/>
      <c r="R115" s="5"/>
    </row>
    <row r="116" spans="1:18" ht="15.6" x14ac:dyDescent="0.3">
      <c r="A116" s="24">
        <f t="shared" si="0"/>
        <v>11</v>
      </c>
      <c r="B116" s="25" t="s">
        <v>215</v>
      </c>
      <c r="C116" s="25"/>
      <c r="D116" s="25"/>
      <c r="E116" s="25"/>
      <c r="F116" s="25"/>
      <c r="G116" s="25"/>
      <c r="H116" s="25"/>
      <c r="I116" s="25"/>
      <c r="J116" s="25"/>
      <c r="K116" s="25"/>
      <c r="L116" s="25"/>
      <c r="M116" s="25"/>
      <c r="N116" s="25"/>
      <c r="O116" s="25"/>
      <c r="P116" s="53">
        <v>-351</v>
      </c>
      <c r="Q116" s="25"/>
      <c r="R116" s="5"/>
    </row>
    <row r="117" spans="1:18" ht="15.6" x14ac:dyDescent="0.3">
      <c r="A117" s="24">
        <f t="shared" si="0"/>
        <v>12</v>
      </c>
      <c r="B117" s="25" t="s">
        <v>150</v>
      </c>
      <c r="C117" s="25"/>
      <c r="D117" s="25"/>
      <c r="E117" s="25"/>
      <c r="F117" s="25"/>
      <c r="G117" s="25"/>
      <c r="H117" s="25"/>
      <c r="I117" s="25"/>
      <c r="J117" s="25"/>
      <c r="K117" s="25"/>
      <c r="L117" s="25"/>
      <c r="M117" s="25"/>
      <c r="N117" s="25"/>
      <c r="O117" s="25"/>
      <c r="P117" s="53">
        <f>-P100-SUM(P102:P116)</f>
        <v>-1503</v>
      </c>
      <c r="Q117" s="25"/>
      <c r="R117" s="5"/>
    </row>
    <row r="118" spans="1:18" ht="15.6" x14ac:dyDescent="0.3">
      <c r="A118" s="24"/>
      <c r="B118" s="118" t="s">
        <v>44</v>
      </c>
      <c r="C118" s="25"/>
      <c r="D118" s="25"/>
      <c r="E118" s="25"/>
      <c r="F118" s="25"/>
      <c r="G118" s="25"/>
      <c r="H118" s="25"/>
      <c r="I118" s="25"/>
      <c r="J118" s="25"/>
      <c r="K118" s="25"/>
      <c r="L118" s="25"/>
      <c r="M118" s="25"/>
      <c r="N118" s="25"/>
      <c r="O118" s="25"/>
      <c r="P118" s="59"/>
      <c r="Q118" s="25"/>
      <c r="R118" s="5"/>
    </row>
    <row r="119" spans="1:18" ht="15.6" x14ac:dyDescent="0.3">
      <c r="A119" s="24"/>
      <c r="B119" s="25" t="s">
        <v>45</v>
      </c>
      <c r="C119" s="25"/>
      <c r="D119" s="25"/>
      <c r="E119" s="25"/>
      <c r="F119" s="25"/>
      <c r="G119" s="25"/>
      <c r="H119" s="25"/>
      <c r="I119" s="25"/>
      <c r="J119" s="25"/>
      <c r="K119" s="25"/>
      <c r="L119" s="25"/>
      <c r="M119" s="25"/>
      <c r="N119" s="34">
        <v>-12</v>
      </c>
      <c r="O119" s="34"/>
      <c r="P119" s="53"/>
      <c r="Q119" s="25"/>
      <c r="R119" s="5"/>
    </row>
    <row r="120" spans="1:18" ht="15.6" x14ac:dyDescent="0.3">
      <c r="A120" s="24"/>
      <c r="B120" s="25" t="s">
        <v>46</v>
      </c>
      <c r="C120" s="25"/>
      <c r="D120" s="25"/>
      <c r="E120" s="25"/>
      <c r="F120" s="25"/>
      <c r="G120" s="25"/>
      <c r="H120" s="25"/>
      <c r="I120" s="25"/>
      <c r="J120" s="25"/>
      <c r="K120" s="25"/>
      <c r="L120" s="25"/>
      <c r="M120" s="25"/>
      <c r="N120" s="34">
        <f>-M167</f>
        <v>-3170</v>
      </c>
      <c r="O120" s="34"/>
      <c r="P120" s="53"/>
      <c r="Q120" s="25"/>
      <c r="R120" s="5"/>
    </row>
    <row r="121" spans="1:18" ht="15.6" x14ac:dyDescent="0.3">
      <c r="A121" s="24"/>
      <c r="B121" s="25" t="s">
        <v>199</v>
      </c>
      <c r="C121" s="25"/>
      <c r="D121" s="25"/>
      <c r="E121" s="25"/>
      <c r="F121" s="25"/>
      <c r="G121" s="25"/>
      <c r="H121" s="25"/>
      <c r="I121" s="25"/>
      <c r="J121" s="25"/>
      <c r="K121" s="25"/>
      <c r="L121" s="25"/>
      <c r="M121" s="25"/>
      <c r="N121" s="34">
        <v>-9900</v>
      </c>
      <c r="O121" s="34"/>
      <c r="P121" s="53"/>
      <c r="Q121" s="25"/>
      <c r="R121" s="5"/>
    </row>
    <row r="122" spans="1:18" ht="15.6" x14ac:dyDescent="0.3">
      <c r="A122" s="24"/>
      <c r="B122" s="25" t="s">
        <v>200</v>
      </c>
      <c r="C122" s="25"/>
      <c r="D122" s="25"/>
      <c r="E122" s="25"/>
      <c r="F122" s="25"/>
      <c r="G122" s="25"/>
      <c r="H122" s="25"/>
      <c r="I122" s="25"/>
      <c r="J122" s="25"/>
      <c r="K122" s="25"/>
      <c r="L122" s="25"/>
      <c r="M122" s="25"/>
      <c r="N122" s="34">
        <v>-8612</v>
      </c>
      <c r="O122" s="34"/>
      <c r="P122" s="53"/>
      <c r="Q122" s="25"/>
      <c r="R122" s="5"/>
    </row>
    <row r="123" spans="1:18" ht="15.6" x14ac:dyDescent="0.3">
      <c r="A123" s="24"/>
      <c r="B123" s="25" t="s">
        <v>201</v>
      </c>
      <c r="C123" s="25"/>
      <c r="D123" s="25"/>
      <c r="E123" s="25"/>
      <c r="F123" s="25"/>
      <c r="G123" s="25"/>
      <c r="H123" s="25"/>
      <c r="I123" s="25"/>
      <c r="J123" s="25"/>
      <c r="K123" s="25"/>
      <c r="L123" s="25"/>
      <c r="M123" s="25"/>
      <c r="N123" s="34">
        <v>-13208</v>
      </c>
      <c r="O123" s="34"/>
      <c r="P123" s="53"/>
      <c r="Q123" s="25"/>
      <c r="R123" s="5"/>
    </row>
    <row r="124" spans="1:18" ht="15.6" x14ac:dyDescent="0.3">
      <c r="A124" s="24"/>
      <c r="B124" s="25" t="s">
        <v>159</v>
      </c>
      <c r="C124" s="25"/>
      <c r="D124" s="25"/>
      <c r="E124" s="25"/>
      <c r="F124" s="25"/>
      <c r="G124" s="25"/>
      <c r="H124" s="25"/>
      <c r="I124" s="25"/>
      <c r="J124" s="25"/>
      <c r="K124" s="25"/>
      <c r="L124" s="25"/>
      <c r="M124" s="25"/>
      <c r="N124" s="34">
        <v>0</v>
      </c>
      <c r="O124" s="34"/>
      <c r="P124" s="53"/>
      <c r="Q124" s="25"/>
      <c r="R124" s="5"/>
    </row>
    <row r="125" spans="1:18" ht="15.6" x14ac:dyDescent="0.3">
      <c r="A125" s="24"/>
      <c r="B125" s="25" t="s">
        <v>214</v>
      </c>
      <c r="C125" s="25"/>
      <c r="D125" s="25"/>
      <c r="E125" s="25"/>
      <c r="F125" s="25"/>
      <c r="G125" s="25"/>
      <c r="H125" s="25"/>
      <c r="I125" s="25"/>
      <c r="J125" s="25"/>
      <c r="K125" s="25"/>
      <c r="L125" s="25"/>
      <c r="M125" s="25"/>
      <c r="N125" s="34">
        <v>0</v>
      </c>
      <c r="O125" s="34"/>
      <c r="P125" s="53"/>
      <c r="Q125" s="25"/>
      <c r="R125" s="5"/>
    </row>
    <row r="126" spans="1:18" ht="15.6" x14ac:dyDescent="0.3">
      <c r="A126" s="24"/>
      <c r="B126" s="25" t="s">
        <v>47</v>
      </c>
      <c r="C126" s="25"/>
      <c r="D126" s="25"/>
      <c r="E126" s="25"/>
      <c r="F126" s="25"/>
      <c r="G126" s="25"/>
      <c r="H126" s="25"/>
      <c r="I126" s="25"/>
      <c r="J126" s="25"/>
      <c r="K126" s="25"/>
      <c r="L126" s="25"/>
      <c r="M126" s="25"/>
      <c r="N126" s="34">
        <f>SUM(N119:N125)</f>
        <v>-34902</v>
      </c>
      <c r="O126" s="34"/>
      <c r="P126" s="34">
        <f>SUM(P101:P125)</f>
        <v>-11735</v>
      </c>
      <c r="Q126" s="25"/>
      <c r="R126" s="5"/>
    </row>
    <row r="127" spans="1:18" ht="15.6" x14ac:dyDescent="0.3">
      <c r="A127" s="24"/>
      <c r="B127" s="25" t="s">
        <v>48</v>
      </c>
      <c r="C127" s="25"/>
      <c r="D127" s="25"/>
      <c r="E127" s="25"/>
      <c r="F127" s="25"/>
      <c r="G127" s="25"/>
      <c r="H127" s="25"/>
      <c r="I127" s="25"/>
      <c r="J127" s="25"/>
      <c r="K127" s="25"/>
      <c r="L127" s="25"/>
      <c r="M127" s="25"/>
      <c r="N127" s="34">
        <f>N100+N126+N112</f>
        <v>0</v>
      </c>
      <c r="O127" s="34"/>
      <c r="P127" s="34">
        <f>P100+P126</f>
        <v>0</v>
      </c>
      <c r="Q127" s="25"/>
      <c r="R127" s="5"/>
    </row>
    <row r="128" spans="1:18" ht="15.6" x14ac:dyDescent="0.3">
      <c r="A128" s="24"/>
      <c r="B128" s="25"/>
      <c r="C128" s="25"/>
      <c r="D128" s="25"/>
      <c r="E128" s="25"/>
      <c r="F128" s="25"/>
      <c r="G128" s="25"/>
      <c r="H128" s="25"/>
      <c r="I128" s="25"/>
      <c r="J128" s="25"/>
      <c r="K128" s="25"/>
      <c r="L128" s="25"/>
      <c r="M128" s="25"/>
      <c r="N128" s="34"/>
      <c r="O128" s="34"/>
      <c r="P128" s="34"/>
      <c r="Q128" s="25"/>
      <c r="R128" s="5"/>
    </row>
    <row r="129" spans="1:19" ht="15.6" x14ac:dyDescent="0.3">
      <c r="A129" s="6"/>
      <c r="B129" s="146"/>
      <c r="C129" s="146"/>
      <c r="D129" s="146"/>
      <c r="E129" s="146"/>
      <c r="F129" s="146"/>
      <c r="G129" s="146"/>
      <c r="H129" s="146"/>
      <c r="I129" s="146"/>
      <c r="J129" s="146"/>
      <c r="K129" s="146"/>
      <c r="L129" s="146"/>
      <c r="M129" s="146"/>
      <c r="N129" s="147"/>
      <c r="O129" s="147"/>
      <c r="P129" s="147"/>
      <c r="Q129" s="146"/>
      <c r="R129" s="5"/>
    </row>
    <row r="130" spans="1:19" ht="18" thickBot="1" x14ac:dyDescent="0.35">
      <c r="A130" s="101"/>
      <c r="B130" s="102" t="str">
        <f>B65</f>
        <v>PM7 INVESTOR REPORT QUARTER ENDING OCTOBER 2006</v>
      </c>
      <c r="C130" s="103"/>
      <c r="D130" s="103"/>
      <c r="E130" s="103"/>
      <c r="F130" s="103"/>
      <c r="G130" s="103"/>
      <c r="H130" s="103"/>
      <c r="I130" s="103"/>
      <c r="J130" s="103"/>
      <c r="K130" s="103"/>
      <c r="L130" s="103"/>
      <c r="M130" s="103"/>
      <c r="N130" s="103"/>
      <c r="O130" s="103"/>
      <c r="P130" s="106"/>
      <c r="Q130" s="105"/>
      <c r="R130" s="5"/>
    </row>
    <row r="131" spans="1:19" ht="15.6" x14ac:dyDescent="0.3">
      <c r="A131" s="2"/>
      <c r="B131" s="60" t="s">
        <v>49</v>
      </c>
      <c r="C131" s="4"/>
      <c r="D131" s="4"/>
      <c r="E131" s="4"/>
      <c r="F131" s="4"/>
      <c r="G131" s="4"/>
      <c r="H131" s="4"/>
      <c r="I131" s="4"/>
      <c r="J131" s="4"/>
      <c r="K131" s="4"/>
      <c r="L131" s="4"/>
      <c r="M131" s="4"/>
      <c r="N131" s="4"/>
      <c r="O131" s="4"/>
      <c r="P131" s="50"/>
      <c r="Q131" s="4"/>
      <c r="R131" s="5"/>
    </row>
    <row r="132" spans="1:19" ht="15.6" x14ac:dyDescent="0.3">
      <c r="A132" s="6"/>
      <c r="B132" s="21"/>
      <c r="C132" s="8"/>
      <c r="D132" s="8"/>
      <c r="E132" s="8"/>
      <c r="F132" s="8"/>
      <c r="G132" s="8"/>
      <c r="H132" s="8"/>
      <c r="I132" s="8"/>
      <c r="J132" s="8"/>
      <c r="K132" s="8"/>
      <c r="L132" s="8"/>
      <c r="M132" s="8"/>
      <c r="N132" s="8"/>
      <c r="O132" s="8"/>
      <c r="P132" s="52"/>
      <c r="Q132" s="8"/>
      <c r="R132" s="5"/>
    </row>
    <row r="133" spans="1:19" ht="15.6" x14ac:dyDescent="0.3">
      <c r="A133" s="6"/>
      <c r="B133" s="119" t="s">
        <v>50</v>
      </c>
      <c r="C133" s="8"/>
      <c r="D133" s="8"/>
      <c r="E133" s="8"/>
      <c r="F133" s="8"/>
      <c r="G133" s="8"/>
      <c r="H133" s="8"/>
      <c r="I133" s="8"/>
      <c r="J133" s="8"/>
      <c r="K133" s="8"/>
      <c r="L133" s="8"/>
      <c r="M133" s="8"/>
      <c r="N133" s="8"/>
      <c r="O133" s="8"/>
      <c r="P133" s="52"/>
      <c r="Q133" s="8"/>
      <c r="R133" s="5"/>
    </row>
    <row r="134" spans="1:19" ht="15.6" x14ac:dyDescent="0.3">
      <c r="A134" s="24"/>
      <c r="B134" s="25" t="s">
        <v>51</v>
      </c>
      <c r="C134" s="25"/>
      <c r="D134" s="25"/>
      <c r="E134" s="25"/>
      <c r="F134" s="25"/>
      <c r="G134" s="25"/>
      <c r="H134" s="25"/>
      <c r="I134" s="25"/>
      <c r="J134" s="25"/>
      <c r="K134" s="25"/>
      <c r="L134" s="25"/>
      <c r="M134" s="25"/>
      <c r="N134" s="25"/>
      <c r="O134" s="25"/>
      <c r="P134" s="53">
        <f>+P36*0.022</f>
        <v>19815.399999999998</v>
      </c>
      <c r="Q134" s="25"/>
      <c r="R134" s="5"/>
    </row>
    <row r="135" spans="1:19" ht="15.6" x14ac:dyDescent="0.3">
      <c r="A135" s="24"/>
      <c r="B135" s="25" t="s">
        <v>52</v>
      </c>
      <c r="C135" s="25"/>
      <c r="D135" s="25"/>
      <c r="E135" s="25"/>
      <c r="F135" s="25"/>
      <c r="G135" s="25"/>
      <c r="H135" s="25"/>
      <c r="I135" s="25"/>
      <c r="J135" s="25"/>
      <c r="K135" s="25"/>
      <c r="L135" s="25"/>
      <c r="M135" s="25"/>
      <c r="N135" s="25"/>
      <c r="O135" s="25"/>
      <c r="P135" s="53">
        <v>19815</v>
      </c>
      <c r="Q135" s="25"/>
      <c r="R135" s="5"/>
    </row>
    <row r="136" spans="1:19" ht="15.6" x14ac:dyDescent="0.3">
      <c r="A136" s="24"/>
      <c r="B136" s="25" t="s">
        <v>161</v>
      </c>
      <c r="C136" s="25"/>
      <c r="D136" s="25"/>
      <c r="E136" s="25"/>
      <c r="F136" s="25"/>
      <c r="G136" s="25"/>
      <c r="H136" s="25"/>
      <c r="I136" s="25"/>
      <c r="J136" s="25"/>
      <c r="K136" s="25"/>
      <c r="L136" s="25"/>
      <c r="M136" s="25"/>
      <c r="N136" s="25"/>
      <c r="O136" s="25"/>
      <c r="P136" s="53">
        <v>0</v>
      </c>
      <c r="Q136" s="25"/>
      <c r="R136" s="5"/>
    </row>
    <row r="137" spans="1:19" ht="15.6" x14ac:dyDescent="0.3">
      <c r="A137" s="24"/>
      <c r="B137" s="25" t="s">
        <v>144</v>
      </c>
      <c r="C137" s="25"/>
      <c r="D137" s="25"/>
      <c r="E137" s="25"/>
      <c r="F137" s="25"/>
      <c r="G137" s="25"/>
      <c r="H137" s="25"/>
      <c r="I137" s="25"/>
      <c r="J137" s="25"/>
      <c r="K137" s="25"/>
      <c r="L137" s="25"/>
      <c r="M137" s="25"/>
      <c r="N137" s="25"/>
      <c r="O137" s="25"/>
      <c r="P137" s="53">
        <v>0</v>
      </c>
      <c r="Q137" s="25"/>
      <c r="R137" s="5"/>
    </row>
    <row r="138" spans="1:19" ht="15.6" x14ac:dyDescent="0.3">
      <c r="A138" s="24"/>
      <c r="B138" s="25" t="s">
        <v>145</v>
      </c>
      <c r="C138" s="25"/>
      <c r="D138" s="25"/>
      <c r="E138" s="25"/>
      <c r="F138" s="25"/>
      <c r="G138" s="25"/>
      <c r="H138" s="25"/>
      <c r="I138" s="25"/>
      <c r="J138" s="25"/>
      <c r="K138" s="25"/>
      <c r="L138" s="25"/>
      <c r="M138" s="25"/>
      <c r="N138" s="25"/>
      <c r="O138" s="25"/>
      <c r="P138" s="53">
        <v>0</v>
      </c>
      <c r="Q138" s="25"/>
      <c r="R138" s="5"/>
    </row>
    <row r="139" spans="1:19" ht="15.6" x14ac:dyDescent="0.3">
      <c r="A139" s="24"/>
      <c r="B139" s="25" t="s">
        <v>53</v>
      </c>
      <c r="C139" s="25"/>
      <c r="D139" s="25"/>
      <c r="E139" s="25"/>
      <c r="F139" s="25"/>
      <c r="G139" s="25"/>
      <c r="H139" s="25"/>
      <c r="I139" s="25"/>
      <c r="J139" s="25"/>
      <c r="K139" s="25"/>
      <c r="L139" s="25"/>
      <c r="M139" s="25"/>
      <c r="N139" s="25"/>
      <c r="O139" s="25"/>
      <c r="P139" s="53">
        <v>0</v>
      </c>
      <c r="Q139" s="25"/>
      <c r="R139" s="5"/>
    </row>
    <row r="140" spans="1:19" ht="15.6" x14ac:dyDescent="0.3">
      <c r="A140" s="24"/>
      <c r="B140" s="25" t="s">
        <v>153</v>
      </c>
      <c r="C140" s="25"/>
      <c r="D140" s="25"/>
      <c r="E140" s="25"/>
      <c r="F140" s="25"/>
      <c r="G140" s="25"/>
      <c r="H140" s="25"/>
      <c r="I140" s="25"/>
      <c r="J140" s="25"/>
      <c r="K140" s="25"/>
      <c r="L140" s="25"/>
      <c r="M140" s="25"/>
      <c r="N140" s="25"/>
      <c r="O140" s="25"/>
      <c r="P140" s="53">
        <v>0</v>
      </c>
      <c r="Q140" s="25"/>
      <c r="R140" s="5"/>
    </row>
    <row r="141" spans="1:19" ht="15.6" x14ac:dyDescent="0.3">
      <c r="A141" s="24"/>
      <c r="B141" s="25" t="s">
        <v>202</v>
      </c>
      <c r="C141" s="25"/>
      <c r="D141" s="25"/>
      <c r="E141" s="25"/>
      <c r="F141" s="25"/>
      <c r="G141" s="25"/>
      <c r="H141" s="25"/>
      <c r="I141" s="25"/>
      <c r="J141" s="25"/>
      <c r="K141" s="25"/>
      <c r="L141" s="25"/>
      <c r="M141" s="25"/>
      <c r="N141" s="25"/>
      <c r="O141" s="25"/>
      <c r="P141" s="53">
        <v>0</v>
      </c>
      <c r="Q141" s="25"/>
      <c r="R141" s="5"/>
      <c r="S141" s="109"/>
    </row>
    <row r="142" spans="1:19" ht="15.6" x14ac:dyDescent="0.3">
      <c r="A142" s="24"/>
      <c r="B142" s="25" t="s">
        <v>54</v>
      </c>
      <c r="C142" s="25"/>
      <c r="D142" s="25"/>
      <c r="E142" s="25"/>
      <c r="F142" s="25"/>
      <c r="G142" s="25"/>
      <c r="H142" s="25"/>
      <c r="I142" s="25"/>
      <c r="J142" s="25"/>
      <c r="K142" s="25"/>
      <c r="L142" s="25"/>
      <c r="M142" s="25"/>
      <c r="N142" s="25"/>
      <c r="O142" s="25"/>
      <c r="P142" s="53">
        <f>SUM(P135:P141)</f>
        <v>19815</v>
      </c>
      <c r="Q142" s="25"/>
      <c r="R142" s="5"/>
    </row>
    <row r="143" spans="1:19" ht="15.6" x14ac:dyDescent="0.3">
      <c r="A143" s="24"/>
      <c r="B143" s="25"/>
      <c r="C143" s="25"/>
      <c r="D143" s="25"/>
      <c r="E143" s="25"/>
      <c r="F143" s="25"/>
      <c r="G143" s="25"/>
      <c r="H143" s="25"/>
      <c r="I143" s="25"/>
      <c r="J143" s="25"/>
      <c r="K143" s="25"/>
      <c r="L143" s="25"/>
      <c r="M143" s="25"/>
      <c r="N143" s="25"/>
      <c r="O143" s="25"/>
      <c r="P143" s="61"/>
      <c r="Q143" s="25"/>
      <c r="R143" s="5"/>
    </row>
    <row r="144" spans="1:19" ht="15.6" x14ac:dyDescent="0.3">
      <c r="A144" s="6"/>
      <c r="B144" s="119" t="s">
        <v>28</v>
      </c>
      <c r="C144" s="8"/>
      <c r="D144" s="8"/>
      <c r="E144" s="8"/>
      <c r="F144" s="8"/>
      <c r="G144" s="8"/>
      <c r="H144" s="8"/>
      <c r="I144" s="8"/>
      <c r="J144" s="8"/>
      <c r="K144" s="8"/>
      <c r="L144" s="8"/>
      <c r="M144" s="8"/>
      <c r="N144" s="8"/>
      <c r="O144" s="8"/>
      <c r="P144" s="52"/>
      <c r="Q144" s="8"/>
      <c r="R144" s="5"/>
    </row>
    <row r="145" spans="1:18" ht="15.6" x14ac:dyDescent="0.3">
      <c r="A145" s="24"/>
      <c r="B145" s="25" t="s">
        <v>55</v>
      </c>
      <c r="C145" s="25"/>
      <c r="D145" s="25"/>
      <c r="E145" s="25"/>
      <c r="F145" s="25"/>
      <c r="G145" s="25"/>
      <c r="H145" s="25"/>
      <c r="I145" s="25"/>
      <c r="J145" s="25"/>
      <c r="K145" s="25"/>
      <c r="L145" s="25"/>
      <c r="M145" s="25"/>
      <c r="N145" s="25"/>
      <c r="O145" s="25"/>
      <c r="P145" s="59" t="s">
        <v>137</v>
      </c>
      <c r="Q145" s="25"/>
      <c r="R145" s="5"/>
    </row>
    <row r="146" spans="1:18" ht="15.6" x14ac:dyDescent="0.3">
      <c r="A146" s="24"/>
      <c r="B146" s="25" t="s">
        <v>56</v>
      </c>
      <c r="C146" s="141"/>
      <c r="D146" s="141"/>
      <c r="E146" s="141"/>
      <c r="F146" s="141"/>
      <c r="G146" s="141"/>
      <c r="H146" s="141"/>
      <c r="I146" s="141"/>
      <c r="J146" s="141"/>
      <c r="K146" s="141"/>
      <c r="L146" s="141"/>
      <c r="M146" s="141"/>
      <c r="N146" s="141"/>
      <c r="O146" s="141"/>
      <c r="P146" s="59" t="s">
        <v>137</v>
      </c>
      <c r="Q146" s="25"/>
      <c r="R146" s="5"/>
    </row>
    <row r="147" spans="1:18" ht="15.6" x14ac:dyDescent="0.3">
      <c r="A147" s="24"/>
      <c r="B147" s="25" t="s">
        <v>57</v>
      </c>
      <c r="C147" s="25"/>
      <c r="D147" s="25"/>
      <c r="E147" s="25"/>
      <c r="F147" s="25"/>
      <c r="G147" s="25"/>
      <c r="H147" s="25"/>
      <c r="I147" s="25"/>
      <c r="J147" s="25"/>
      <c r="K147" s="25"/>
      <c r="L147" s="25"/>
      <c r="M147" s="25"/>
      <c r="N147" s="25"/>
      <c r="O147" s="25"/>
      <c r="P147" s="59" t="s">
        <v>137</v>
      </c>
      <c r="Q147" s="25"/>
      <c r="R147" s="5"/>
    </row>
    <row r="148" spans="1:18" ht="15.6" x14ac:dyDescent="0.3">
      <c r="A148" s="24"/>
      <c r="B148" s="25" t="s">
        <v>58</v>
      </c>
      <c r="C148" s="25"/>
      <c r="D148" s="25"/>
      <c r="E148" s="25"/>
      <c r="F148" s="25"/>
      <c r="G148" s="25"/>
      <c r="H148" s="25"/>
      <c r="I148" s="25"/>
      <c r="J148" s="25"/>
      <c r="K148" s="25"/>
      <c r="L148" s="25"/>
      <c r="M148" s="25"/>
      <c r="N148" s="25"/>
      <c r="O148" s="25"/>
      <c r="P148" s="59" t="s">
        <v>137</v>
      </c>
      <c r="Q148" s="25"/>
      <c r="R148" s="5"/>
    </row>
    <row r="149" spans="1:18" ht="15.6" x14ac:dyDescent="0.3">
      <c r="A149" s="24"/>
      <c r="B149" s="25"/>
      <c r="C149" s="25"/>
      <c r="D149" s="25"/>
      <c r="E149" s="25"/>
      <c r="F149" s="25"/>
      <c r="G149" s="25"/>
      <c r="H149" s="25"/>
      <c r="I149" s="25"/>
      <c r="J149" s="25"/>
      <c r="K149" s="25"/>
      <c r="L149" s="25"/>
      <c r="M149" s="25"/>
      <c r="N149" s="25"/>
      <c r="O149" s="25"/>
      <c r="P149" s="61"/>
      <c r="Q149" s="25"/>
      <c r="R149" s="5"/>
    </row>
    <row r="150" spans="1:18" ht="15.6" x14ac:dyDescent="0.3">
      <c r="A150" s="6"/>
      <c r="B150" s="119" t="s">
        <v>59</v>
      </c>
      <c r="C150" s="8"/>
      <c r="D150" s="8"/>
      <c r="E150" s="8"/>
      <c r="F150" s="8"/>
      <c r="G150" s="8"/>
      <c r="H150" s="8"/>
      <c r="I150" s="8"/>
      <c r="J150" s="8"/>
      <c r="K150" s="8"/>
      <c r="L150" s="8"/>
      <c r="M150" s="8"/>
      <c r="N150" s="8"/>
      <c r="O150" s="8"/>
      <c r="P150" s="63"/>
      <c r="Q150" s="8"/>
      <c r="R150" s="5"/>
    </row>
    <row r="151" spans="1:18" ht="15.6" x14ac:dyDescent="0.3">
      <c r="A151" s="24"/>
      <c r="B151" s="25" t="s">
        <v>60</v>
      </c>
      <c r="C151" s="25"/>
      <c r="D151" s="25"/>
      <c r="E151" s="25"/>
      <c r="F151" s="25"/>
      <c r="G151" s="25"/>
      <c r="H151" s="25"/>
      <c r="I151" s="25"/>
      <c r="J151" s="25"/>
      <c r="K151" s="25"/>
      <c r="L151" s="25"/>
      <c r="M151" s="25"/>
      <c r="N151" s="25"/>
      <c r="O151" s="25"/>
      <c r="P151" s="53">
        <v>0</v>
      </c>
      <c r="Q151" s="25"/>
      <c r="R151" s="5"/>
    </row>
    <row r="152" spans="1:18" ht="15.6" x14ac:dyDescent="0.3">
      <c r="A152" s="24"/>
      <c r="B152" s="25" t="s">
        <v>61</v>
      </c>
      <c r="C152" s="25"/>
      <c r="D152" s="25"/>
      <c r="E152" s="25"/>
      <c r="F152" s="25"/>
      <c r="G152" s="25"/>
      <c r="H152" s="25"/>
      <c r="I152" s="25"/>
      <c r="J152" s="25"/>
      <c r="K152" s="25"/>
      <c r="L152" s="25"/>
      <c r="M152" s="25"/>
      <c r="N152" s="25"/>
      <c r="O152" s="25"/>
      <c r="P152" s="53">
        <f>-P112</f>
        <v>279</v>
      </c>
      <c r="Q152" s="25"/>
      <c r="R152" s="5"/>
    </row>
    <row r="153" spans="1:18" ht="15.6" x14ac:dyDescent="0.3">
      <c r="A153" s="24"/>
      <c r="B153" s="25" t="s">
        <v>62</v>
      </c>
      <c r="C153" s="25"/>
      <c r="D153" s="25"/>
      <c r="E153" s="25"/>
      <c r="F153" s="25"/>
      <c r="G153" s="25"/>
      <c r="H153" s="25"/>
      <c r="I153" s="25"/>
      <c r="J153" s="25"/>
      <c r="K153" s="25"/>
      <c r="L153" s="25"/>
      <c r="M153" s="25"/>
      <c r="N153" s="25"/>
      <c r="O153" s="25"/>
      <c r="P153" s="53">
        <f>P152+P151</f>
        <v>279</v>
      </c>
      <c r="Q153" s="25"/>
      <c r="R153" s="5"/>
    </row>
    <row r="154" spans="1:18" ht="15.6" x14ac:dyDescent="0.3">
      <c r="A154" s="24"/>
      <c r="B154" s="403" t="s">
        <v>297</v>
      </c>
      <c r="C154" s="25"/>
      <c r="D154" s="25"/>
      <c r="E154" s="25"/>
      <c r="F154" s="25"/>
      <c r="G154" s="25"/>
      <c r="H154" s="25"/>
      <c r="I154" s="25"/>
      <c r="J154" s="25"/>
      <c r="K154" s="25"/>
      <c r="L154" s="25"/>
      <c r="M154" s="25"/>
      <c r="N154" s="25"/>
      <c r="O154" s="25"/>
      <c r="P154" s="53">
        <f>P112</f>
        <v>-279</v>
      </c>
      <c r="Q154" s="25"/>
      <c r="R154" s="5"/>
    </row>
    <row r="155" spans="1:18" ht="15.6" x14ac:dyDescent="0.3">
      <c r="A155" s="24"/>
      <c r="B155" s="25" t="s">
        <v>63</v>
      </c>
      <c r="C155" s="25"/>
      <c r="D155" s="25"/>
      <c r="E155" s="25"/>
      <c r="F155" s="25"/>
      <c r="G155" s="25"/>
      <c r="H155" s="25"/>
      <c r="I155" s="25"/>
      <c r="J155" s="25"/>
      <c r="K155" s="25"/>
      <c r="L155" s="25"/>
      <c r="M155" s="25"/>
      <c r="N155" s="25"/>
      <c r="O155" s="25"/>
      <c r="P155" s="53">
        <f>P153+P154</f>
        <v>0</v>
      </c>
      <c r="Q155" s="25"/>
      <c r="R155" s="5"/>
    </row>
    <row r="156" spans="1:18" ht="16.2" thickBot="1" x14ac:dyDescent="0.35">
      <c r="A156" s="24"/>
      <c r="B156" s="25"/>
      <c r="C156" s="25"/>
      <c r="D156" s="25"/>
      <c r="E156" s="25"/>
      <c r="F156" s="25"/>
      <c r="G156" s="25"/>
      <c r="H156" s="25"/>
      <c r="I156" s="25"/>
      <c r="J156" s="25"/>
      <c r="K156" s="25"/>
      <c r="L156" s="25"/>
      <c r="M156" s="25"/>
      <c r="N156" s="25"/>
      <c r="O156" s="25"/>
      <c r="P156" s="61"/>
      <c r="Q156" s="25"/>
      <c r="R156" s="5"/>
    </row>
    <row r="157" spans="1:18" ht="15.6" x14ac:dyDescent="0.3">
      <c r="A157" s="2"/>
      <c r="B157" s="4"/>
      <c r="C157" s="4"/>
      <c r="D157" s="4"/>
      <c r="E157" s="4"/>
      <c r="F157" s="4"/>
      <c r="G157" s="4"/>
      <c r="H157" s="4"/>
      <c r="I157" s="4"/>
      <c r="J157" s="4"/>
      <c r="K157" s="4"/>
      <c r="L157" s="4"/>
      <c r="M157" s="4"/>
      <c r="N157" s="4"/>
      <c r="O157" s="4"/>
      <c r="P157" s="50"/>
      <c r="Q157" s="4"/>
      <c r="R157" s="5"/>
    </row>
    <row r="158" spans="1:18" ht="15.6" x14ac:dyDescent="0.3">
      <c r="A158" s="6"/>
      <c r="B158" s="119" t="s">
        <v>64</v>
      </c>
      <c r="C158" s="8"/>
      <c r="D158" s="8"/>
      <c r="E158" s="8"/>
      <c r="F158" s="8"/>
      <c r="G158" s="8"/>
      <c r="H158" s="8"/>
      <c r="I158" s="8"/>
      <c r="J158" s="8"/>
      <c r="K158" s="8"/>
      <c r="L158" s="8"/>
      <c r="M158" s="8"/>
      <c r="N158" s="8"/>
      <c r="O158" s="8"/>
      <c r="P158" s="52"/>
      <c r="Q158" s="8"/>
      <c r="R158" s="5"/>
    </row>
    <row r="159" spans="1:18" ht="15.6" x14ac:dyDescent="0.3">
      <c r="A159" s="6"/>
      <c r="B159" s="21"/>
      <c r="C159" s="8"/>
      <c r="D159" s="8"/>
      <c r="E159" s="8"/>
      <c r="F159" s="8"/>
      <c r="G159" s="8"/>
      <c r="H159" s="8"/>
      <c r="I159" s="8"/>
      <c r="J159" s="8"/>
      <c r="K159" s="8"/>
      <c r="L159" s="8"/>
      <c r="M159" s="8"/>
      <c r="N159" s="8"/>
      <c r="O159" s="8"/>
      <c r="P159" s="52"/>
      <c r="Q159" s="8"/>
      <c r="R159" s="5"/>
    </row>
    <row r="160" spans="1:18" ht="15.6" x14ac:dyDescent="0.3">
      <c r="A160" s="24"/>
      <c r="B160" s="25" t="s">
        <v>221</v>
      </c>
      <c r="C160" s="25"/>
      <c r="D160" s="25"/>
      <c r="E160" s="25"/>
      <c r="F160" s="25"/>
      <c r="G160" s="25"/>
      <c r="H160" s="25"/>
      <c r="I160" s="25"/>
      <c r="J160" s="25"/>
      <c r="K160" s="25"/>
      <c r="L160" s="25"/>
      <c r="M160" s="25"/>
      <c r="N160" s="25"/>
      <c r="O160" s="25"/>
      <c r="P160" s="53">
        <f>P73</f>
        <v>661236</v>
      </c>
      <c r="Q160" s="25"/>
      <c r="R160" s="5"/>
    </row>
    <row r="161" spans="1:18" ht="15.6" x14ac:dyDescent="0.3">
      <c r="A161" s="24"/>
      <c r="B161" s="25" t="s">
        <v>65</v>
      </c>
      <c r="C161" s="25"/>
      <c r="D161" s="25"/>
      <c r="E161" s="25"/>
      <c r="F161" s="25"/>
      <c r="G161" s="25"/>
      <c r="H161" s="25"/>
      <c r="I161" s="25"/>
      <c r="J161" s="25"/>
      <c r="K161" s="25"/>
      <c r="L161" s="25"/>
      <c r="M161" s="25"/>
      <c r="N161" s="25"/>
      <c r="O161" s="25"/>
      <c r="P161" s="53">
        <f>P86</f>
        <v>661236</v>
      </c>
      <c r="Q161" s="25"/>
      <c r="R161" s="5"/>
    </row>
    <row r="162" spans="1:18" ht="16.2" thickBot="1" x14ac:dyDescent="0.35">
      <c r="A162" s="24"/>
      <c r="B162" s="25"/>
      <c r="C162" s="25"/>
      <c r="D162" s="25"/>
      <c r="E162" s="25"/>
      <c r="F162" s="25"/>
      <c r="G162" s="25"/>
      <c r="H162" s="25"/>
      <c r="I162" s="25"/>
      <c r="J162" s="25"/>
      <c r="K162" s="25"/>
      <c r="L162" s="25"/>
      <c r="M162" s="25"/>
      <c r="N162" s="25"/>
      <c r="O162" s="25"/>
      <c r="P162" s="61"/>
      <c r="Q162" s="25"/>
      <c r="R162" s="5"/>
    </row>
    <row r="163" spans="1:18" ht="15.6" x14ac:dyDescent="0.3">
      <c r="A163" s="2"/>
      <c r="B163" s="4"/>
      <c r="C163" s="4"/>
      <c r="D163" s="4"/>
      <c r="E163" s="4"/>
      <c r="F163" s="4"/>
      <c r="G163" s="4"/>
      <c r="H163" s="4"/>
      <c r="I163" s="4"/>
      <c r="J163" s="4"/>
      <c r="K163" s="4"/>
      <c r="L163" s="4"/>
      <c r="M163" s="4"/>
      <c r="N163" s="4"/>
      <c r="O163" s="4"/>
      <c r="P163" s="50"/>
      <c r="Q163" s="4"/>
      <c r="R163" s="5"/>
    </row>
    <row r="164" spans="1:18" ht="15.6" x14ac:dyDescent="0.3">
      <c r="A164" s="6"/>
      <c r="B164" s="119" t="s">
        <v>66</v>
      </c>
      <c r="C164" s="117"/>
      <c r="D164" s="117"/>
      <c r="E164" s="117"/>
      <c r="F164" s="120"/>
      <c r="G164" s="120"/>
      <c r="H164" s="120"/>
      <c r="I164" s="120"/>
      <c r="J164" s="120"/>
      <c r="K164" s="120"/>
      <c r="L164" s="120"/>
      <c r="M164" s="120" t="s">
        <v>112</v>
      </c>
      <c r="N164" s="120" t="s">
        <v>120</v>
      </c>
      <c r="O164" s="111"/>
      <c r="P164" s="121" t="s">
        <v>129</v>
      </c>
      <c r="Q164" s="10"/>
      <c r="R164" s="5"/>
    </row>
    <row r="165" spans="1:18" ht="15.6" x14ac:dyDescent="0.3">
      <c r="A165" s="24"/>
      <c r="B165" s="25" t="s">
        <v>67</v>
      </c>
      <c r="C165" s="25"/>
      <c r="D165" s="25"/>
      <c r="E165" s="25"/>
      <c r="F165" s="25"/>
      <c r="G165" s="25"/>
      <c r="H165" s="25"/>
      <c r="I165" s="25"/>
      <c r="J165" s="25"/>
      <c r="K165" s="25"/>
      <c r="L165" s="25"/>
      <c r="M165" s="53">
        <v>144000</v>
      </c>
      <c r="N165" s="40">
        <v>0</v>
      </c>
      <c r="O165" s="25"/>
      <c r="P165" s="53"/>
      <c r="Q165" s="25"/>
      <c r="R165" s="5"/>
    </row>
    <row r="166" spans="1:18" ht="15.6" x14ac:dyDescent="0.3">
      <c r="A166" s="24"/>
      <c r="B166" s="25" t="s">
        <v>68</v>
      </c>
      <c r="C166" s="25"/>
      <c r="D166" s="25"/>
      <c r="E166" s="25"/>
      <c r="F166" s="25"/>
      <c r="G166" s="25"/>
      <c r="H166" s="25"/>
      <c r="I166" s="25"/>
      <c r="J166" s="25"/>
      <c r="K166" s="25"/>
      <c r="L166" s="25"/>
      <c r="M166" s="53">
        <f>'July 06'!M168</f>
        <v>49823</v>
      </c>
      <c r="N166" s="53">
        <f>'July 06'!N168</f>
        <v>9152</v>
      </c>
      <c r="O166" s="25"/>
      <c r="P166" s="53">
        <f>M166+N166</f>
        <v>58975</v>
      </c>
      <c r="Q166" s="25"/>
      <c r="R166" s="5"/>
    </row>
    <row r="167" spans="1:18" ht="15.6" x14ac:dyDescent="0.3">
      <c r="A167" s="24"/>
      <c r="B167" s="25" t="s">
        <v>69</v>
      </c>
      <c r="C167" s="25"/>
      <c r="D167" s="25"/>
      <c r="E167" s="25"/>
      <c r="F167" s="25"/>
      <c r="G167" s="25"/>
      <c r="H167" s="25"/>
      <c r="I167" s="25"/>
      <c r="J167" s="25"/>
      <c r="K167" s="25"/>
      <c r="L167" s="25"/>
      <c r="M167" s="34">
        <v>3170</v>
      </c>
      <c r="N167" s="34">
        <f>-N98-N119</f>
        <v>30</v>
      </c>
      <c r="O167" s="25"/>
      <c r="P167" s="53">
        <f>M167+N167</f>
        <v>3200</v>
      </c>
      <c r="Q167" s="25"/>
      <c r="R167" s="5"/>
    </row>
    <row r="168" spans="1:18" ht="15.6" x14ac:dyDescent="0.3">
      <c r="A168" s="24"/>
      <c r="B168" s="25" t="s">
        <v>70</v>
      </c>
      <c r="C168" s="25"/>
      <c r="D168" s="25"/>
      <c r="E168" s="25"/>
      <c r="F168" s="25"/>
      <c r="G168" s="25"/>
      <c r="H168" s="25"/>
      <c r="I168" s="25"/>
      <c r="J168" s="25"/>
      <c r="K168" s="25"/>
      <c r="L168" s="25"/>
      <c r="M168" s="53">
        <f>M166+M167</f>
        <v>52993</v>
      </c>
      <c r="N168" s="53">
        <f>N167+N166</f>
        <v>9182</v>
      </c>
      <c r="O168" s="25"/>
      <c r="P168" s="53">
        <f>M168+N168</f>
        <v>62175</v>
      </c>
      <c r="Q168" s="25"/>
      <c r="R168" s="5"/>
    </row>
    <row r="169" spans="1:18" ht="15.6" x14ac:dyDescent="0.3">
      <c r="A169" s="24"/>
      <c r="B169" s="25" t="s">
        <v>71</v>
      </c>
      <c r="C169" s="25"/>
      <c r="D169" s="25"/>
      <c r="E169" s="25"/>
      <c r="F169" s="25"/>
      <c r="G169" s="25"/>
      <c r="H169" s="25"/>
      <c r="I169" s="25"/>
      <c r="J169" s="25"/>
      <c r="K169" s="25"/>
      <c r="L169" s="25"/>
      <c r="M169" s="53">
        <f>M165-M168-N168</f>
        <v>81825</v>
      </c>
      <c r="N169" s="40"/>
      <c r="O169" s="25"/>
      <c r="P169" s="53"/>
      <c r="Q169" s="25"/>
      <c r="R169" s="5"/>
    </row>
    <row r="170" spans="1:18" ht="16.2" thickBot="1" x14ac:dyDescent="0.35">
      <c r="A170" s="24"/>
      <c r="B170" s="25"/>
      <c r="C170" s="25"/>
      <c r="D170" s="25"/>
      <c r="E170" s="25"/>
      <c r="F170" s="25"/>
      <c r="G170" s="25"/>
      <c r="H170" s="25"/>
      <c r="I170" s="25"/>
      <c r="J170" s="25"/>
      <c r="K170" s="25"/>
      <c r="L170" s="25"/>
      <c r="M170" s="25"/>
      <c r="N170" s="25"/>
      <c r="O170" s="25"/>
      <c r="P170" s="61"/>
      <c r="Q170" s="25"/>
      <c r="R170" s="5"/>
    </row>
    <row r="171" spans="1:18" ht="15.6" x14ac:dyDescent="0.3">
      <c r="A171" s="2"/>
      <c r="B171" s="4"/>
      <c r="C171" s="4"/>
      <c r="D171" s="4"/>
      <c r="E171" s="4"/>
      <c r="F171" s="4"/>
      <c r="G171" s="4"/>
      <c r="H171" s="4"/>
      <c r="I171" s="4"/>
      <c r="J171" s="4"/>
      <c r="K171" s="4"/>
      <c r="L171" s="4"/>
      <c r="M171" s="4"/>
      <c r="N171" s="4"/>
      <c r="O171" s="4"/>
      <c r="P171" s="50"/>
      <c r="Q171" s="4"/>
      <c r="R171" s="5"/>
    </row>
    <row r="172" spans="1:18" ht="15.6" x14ac:dyDescent="0.3">
      <c r="A172" s="6"/>
      <c r="B172" s="119" t="s">
        <v>72</v>
      </c>
      <c r="C172" s="8"/>
      <c r="D172" s="8"/>
      <c r="E172" s="8"/>
      <c r="F172" s="8"/>
      <c r="G172" s="8"/>
      <c r="H172" s="8"/>
      <c r="I172" s="8"/>
      <c r="J172" s="8"/>
      <c r="K172" s="8"/>
      <c r="L172" s="8"/>
      <c r="M172" s="8"/>
      <c r="N172" s="8"/>
      <c r="O172" s="8"/>
      <c r="P172" s="65"/>
      <c r="Q172" s="8"/>
      <c r="R172" s="5"/>
    </row>
    <row r="173" spans="1:18" ht="15.6" x14ac:dyDescent="0.3">
      <c r="A173" s="24"/>
      <c r="B173" s="25" t="s">
        <v>73</v>
      </c>
      <c r="C173" s="25"/>
      <c r="D173" s="25"/>
      <c r="E173" s="25"/>
      <c r="F173" s="25"/>
      <c r="G173" s="25"/>
      <c r="H173" s="25"/>
      <c r="I173" s="25"/>
      <c r="J173" s="25"/>
      <c r="K173" s="25"/>
      <c r="L173" s="25"/>
      <c r="M173" s="25"/>
      <c r="N173" s="25"/>
      <c r="O173" s="25"/>
      <c r="P173" s="66">
        <f>(P100+P102+P103+P104+P105)/-(P106+P107+P108)</f>
        <v>1.4371077077579715</v>
      </c>
      <c r="Q173" s="25" t="s">
        <v>130</v>
      </c>
      <c r="R173" s="5"/>
    </row>
    <row r="174" spans="1:18" ht="15.6" x14ac:dyDescent="0.3">
      <c r="A174" s="24"/>
      <c r="B174" s="25" t="s">
        <v>74</v>
      </c>
      <c r="C174" s="25"/>
      <c r="D174" s="25"/>
      <c r="E174" s="25"/>
      <c r="F174" s="25"/>
      <c r="G174" s="25"/>
      <c r="H174" s="25"/>
      <c r="I174" s="25"/>
      <c r="J174" s="25"/>
      <c r="K174" s="25"/>
      <c r="L174" s="25"/>
      <c r="M174" s="25"/>
      <c r="N174" s="25"/>
      <c r="O174" s="25"/>
      <c r="P174" s="66">
        <v>1.38</v>
      </c>
      <c r="Q174" s="25" t="s">
        <v>130</v>
      </c>
      <c r="R174" s="5"/>
    </row>
    <row r="175" spans="1:18" ht="15.6" x14ac:dyDescent="0.3">
      <c r="A175" s="24"/>
      <c r="B175" s="25" t="s">
        <v>75</v>
      </c>
      <c r="C175" s="25"/>
      <c r="D175" s="25"/>
      <c r="E175" s="25"/>
      <c r="F175" s="25"/>
      <c r="G175" s="25"/>
      <c r="H175" s="25"/>
      <c r="I175" s="25"/>
      <c r="J175" s="25"/>
      <c r="K175" s="25"/>
      <c r="L175" s="25"/>
      <c r="M175" s="25"/>
      <c r="N175" s="25"/>
      <c r="O175" s="25"/>
      <c r="P175" s="59">
        <f>(P100+P102+P103+P104+P105+P106+P107+P108)/-(P109+P110)</f>
        <v>2.6004480955937268</v>
      </c>
      <c r="Q175" s="25" t="s">
        <v>130</v>
      </c>
      <c r="R175" s="5"/>
    </row>
    <row r="176" spans="1:18" ht="15.6" x14ac:dyDescent="0.3">
      <c r="A176" s="24"/>
      <c r="B176" s="25" t="s">
        <v>76</v>
      </c>
      <c r="C176" s="25"/>
      <c r="D176" s="25"/>
      <c r="E176" s="25"/>
      <c r="F176" s="25"/>
      <c r="G176" s="25"/>
      <c r="H176" s="25"/>
      <c r="I176" s="25"/>
      <c r="J176" s="25"/>
      <c r="K176" s="25"/>
      <c r="L176" s="25"/>
      <c r="M176" s="25"/>
      <c r="N176" s="25"/>
      <c r="O176" s="25"/>
      <c r="P176" s="66">
        <v>2.67</v>
      </c>
      <c r="Q176" s="25" t="s">
        <v>130</v>
      </c>
      <c r="R176" s="5"/>
    </row>
    <row r="177" spans="1:18" ht="15.6" x14ac:dyDescent="0.3">
      <c r="A177" s="24"/>
      <c r="B177" s="25"/>
      <c r="C177" s="25"/>
      <c r="D177" s="25"/>
      <c r="E177" s="25"/>
      <c r="F177" s="25"/>
      <c r="G177" s="25"/>
      <c r="H177" s="25"/>
      <c r="I177" s="25"/>
      <c r="J177" s="25"/>
      <c r="K177" s="25"/>
      <c r="L177" s="25"/>
      <c r="M177" s="25"/>
      <c r="N177" s="25"/>
      <c r="O177" s="25"/>
      <c r="P177" s="25"/>
      <c r="Q177" s="25"/>
      <c r="R177" s="5"/>
    </row>
    <row r="178" spans="1:18" ht="15.6" x14ac:dyDescent="0.3">
      <c r="A178" s="24"/>
      <c r="B178" s="25"/>
      <c r="C178" s="25"/>
      <c r="D178" s="25"/>
      <c r="E178" s="25"/>
      <c r="F178" s="25"/>
      <c r="G178" s="25"/>
      <c r="H178" s="25"/>
      <c r="I178" s="25"/>
      <c r="J178" s="25"/>
      <c r="K178" s="25"/>
      <c r="L178" s="25"/>
      <c r="M178" s="25"/>
      <c r="N178" s="25"/>
      <c r="O178" s="25"/>
      <c r="P178" s="25"/>
      <c r="Q178" s="25"/>
      <c r="R178" s="5"/>
    </row>
    <row r="179" spans="1:18" ht="15.6" x14ac:dyDescent="0.3">
      <c r="A179" s="6"/>
      <c r="B179" s="8"/>
      <c r="C179" s="8"/>
      <c r="D179" s="8"/>
      <c r="E179" s="8"/>
      <c r="F179" s="8"/>
      <c r="G179" s="8"/>
      <c r="H179" s="8"/>
      <c r="I179" s="8"/>
      <c r="J179" s="8"/>
      <c r="K179" s="8"/>
      <c r="L179" s="8"/>
      <c r="M179" s="8"/>
      <c r="N179" s="8"/>
      <c r="O179" s="8"/>
      <c r="P179" s="8"/>
      <c r="Q179" s="8"/>
      <c r="R179" s="5"/>
    </row>
    <row r="180" spans="1:18" ht="18" thickBot="1" x14ac:dyDescent="0.35">
      <c r="A180" s="101"/>
      <c r="B180" s="102" t="str">
        <f>B130</f>
        <v>PM7 INVESTOR REPORT QUARTER ENDING OCTOBER 2006</v>
      </c>
      <c r="C180" s="143"/>
      <c r="D180" s="143"/>
      <c r="E180" s="143"/>
      <c r="F180" s="143"/>
      <c r="G180" s="143"/>
      <c r="H180" s="143"/>
      <c r="I180" s="143"/>
      <c r="J180" s="143"/>
      <c r="K180" s="143"/>
      <c r="L180" s="143"/>
      <c r="M180" s="143"/>
      <c r="N180" s="143"/>
      <c r="O180" s="143"/>
      <c r="P180" s="143"/>
      <c r="Q180" s="144"/>
      <c r="R180" s="5"/>
    </row>
    <row r="181" spans="1:18" ht="15.6" x14ac:dyDescent="0.3">
      <c r="A181" s="67"/>
      <c r="B181" s="60" t="s">
        <v>77</v>
      </c>
      <c r="C181" s="68"/>
      <c r="D181" s="68"/>
      <c r="E181" s="69"/>
      <c r="F181" s="69"/>
      <c r="G181" s="69"/>
      <c r="H181" s="69"/>
      <c r="I181" s="69"/>
      <c r="J181" s="69"/>
      <c r="K181" s="69"/>
      <c r="L181" s="69"/>
      <c r="M181" s="69"/>
      <c r="N181" s="70">
        <f>H89</f>
        <v>39021</v>
      </c>
      <c r="O181" s="4"/>
      <c r="P181" s="4"/>
      <c r="Q181" s="4"/>
      <c r="R181" s="5"/>
    </row>
    <row r="182" spans="1:18" ht="15.6" x14ac:dyDescent="0.3">
      <c r="A182" s="71"/>
      <c r="B182" s="72"/>
      <c r="C182" s="73"/>
      <c r="D182" s="73"/>
      <c r="E182" s="74"/>
      <c r="F182" s="74"/>
      <c r="G182" s="74"/>
      <c r="H182" s="74"/>
      <c r="I182" s="74"/>
      <c r="J182" s="74"/>
      <c r="K182" s="74"/>
      <c r="L182" s="74"/>
      <c r="M182" s="74"/>
      <c r="N182" s="74"/>
      <c r="O182" s="8"/>
      <c r="P182" s="8"/>
      <c r="Q182" s="8"/>
      <c r="R182" s="5"/>
    </row>
    <row r="183" spans="1:18" ht="15.6" x14ac:dyDescent="0.3">
      <c r="A183" s="75"/>
      <c r="B183" s="76" t="s">
        <v>78</v>
      </c>
      <c r="C183" s="77"/>
      <c r="D183" s="77"/>
      <c r="E183" s="64"/>
      <c r="F183" s="64"/>
      <c r="G183" s="64"/>
      <c r="H183" s="64"/>
      <c r="I183" s="64"/>
      <c r="J183" s="64"/>
      <c r="K183" s="64"/>
      <c r="L183" s="64"/>
      <c r="M183" s="64"/>
      <c r="N183" s="78">
        <v>5.8069999999999997E-2</v>
      </c>
      <c r="O183" s="25"/>
      <c r="P183" s="25"/>
      <c r="Q183" s="25"/>
      <c r="R183" s="5"/>
    </row>
    <row r="184" spans="1:18" ht="15.6" x14ac:dyDescent="0.3">
      <c r="A184" s="75"/>
      <c r="B184" s="76" t="s">
        <v>219</v>
      </c>
      <c r="C184" s="77"/>
      <c r="D184" s="77"/>
      <c r="E184" s="64"/>
      <c r="F184" s="64"/>
      <c r="G184" s="64"/>
      <c r="H184" s="64"/>
      <c r="I184" s="64"/>
      <c r="J184" s="64"/>
      <c r="K184" s="64"/>
      <c r="L184" s="64"/>
      <c r="M184" s="64"/>
      <c r="N184" s="39">
        <v>5.1499999999999997E-2</v>
      </c>
      <c r="O184" s="25"/>
      <c r="P184" s="25"/>
      <c r="Q184" s="25"/>
      <c r="R184" s="5"/>
    </row>
    <row r="185" spans="1:18" ht="15.6" x14ac:dyDescent="0.3">
      <c r="A185" s="75"/>
      <c r="B185" s="76" t="s">
        <v>79</v>
      </c>
      <c r="C185" s="77"/>
      <c r="D185" s="77"/>
      <c r="E185" s="64"/>
      <c r="F185" s="64"/>
      <c r="G185" s="64"/>
      <c r="H185" s="64"/>
      <c r="I185" s="64"/>
      <c r="J185" s="64"/>
      <c r="K185" s="64"/>
      <c r="L185" s="64"/>
      <c r="M185" s="64"/>
      <c r="N185" s="78">
        <f>N183-N184</f>
        <v>6.5699999999999995E-3</v>
      </c>
      <c r="O185" s="25"/>
      <c r="P185" s="25"/>
      <c r="Q185" s="25"/>
      <c r="R185" s="5"/>
    </row>
    <row r="186" spans="1:18" ht="15.6" x14ac:dyDescent="0.3">
      <c r="A186" s="75"/>
      <c r="B186" s="76" t="s">
        <v>80</v>
      </c>
      <c r="C186" s="77"/>
      <c r="D186" s="77"/>
      <c r="E186" s="64"/>
      <c r="F186" s="64"/>
      <c r="G186" s="64"/>
      <c r="H186" s="64"/>
      <c r="I186" s="64"/>
      <c r="J186" s="64"/>
      <c r="K186" s="64"/>
      <c r="L186" s="64"/>
      <c r="M186" s="64"/>
      <c r="N186" s="78">
        <v>6.2590000000000007E-2</v>
      </c>
      <c r="O186" s="25"/>
      <c r="P186" s="25"/>
      <c r="Q186" s="25"/>
      <c r="R186" s="5"/>
    </row>
    <row r="187" spans="1:18" ht="15.6" x14ac:dyDescent="0.3">
      <c r="A187" s="75"/>
      <c r="B187" s="76" t="s">
        <v>241</v>
      </c>
      <c r="C187" s="77"/>
      <c r="D187" s="77"/>
      <c r="E187" s="64"/>
      <c r="F187" s="64"/>
      <c r="G187" s="64"/>
      <c r="H187" s="64"/>
      <c r="I187" s="64"/>
      <c r="J187" s="64"/>
      <c r="K187" s="64"/>
      <c r="L187" s="64"/>
      <c r="M187" s="64"/>
      <c r="N187" s="78">
        <f>+P45</f>
        <v>5.3276790204458246E-2</v>
      </c>
      <c r="O187" s="25"/>
      <c r="P187" s="25"/>
      <c r="Q187" s="25"/>
      <c r="R187" s="5"/>
    </row>
    <row r="188" spans="1:18" ht="15.6" x14ac:dyDescent="0.3">
      <c r="A188" s="75"/>
      <c r="B188" s="76" t="s">
        <v>81</v>
      </c>
      <c r="C188" s="77"/>
      <c r="D188" s="77"/>
      <c r="E188" s="64"/>
      <c r="F188" s="64"/>
      <c r="G188" s="64"/>
      <c r="H188" s="64"/>
      <c r="I188" s="64"/>
      <c r="J188" s="64"/>
      <c r="K188" s="64"/>
      <c r="L188" s="64"/>
      <c r="M188" s="64"/>
      <c r="N188" s="78">
        <f>N186-N187</f>
        <v>9.3132097955417603E-3</v>
      </c>
      <c r="O188" s="25"/>
      <c r="P188" s="25"/>
      <c r="Q188" s="25"/>
      <c r="R188" s="5"/>
    </row>
    <row r="189" spans="1:18" ht="15.6" x14ac:dyDescent="0.3">
      <c r="A189" s="75"/>
      <c r="B189" s="76" t="s">
        <v>257</v>
      </c>
      <c r="C189" s="77"/>
      <c r="D189" s="77"/>
      <c r="E189" s="64"/>
      <c r="F189" s="64"/>
      <c r="G189" s="64"/>
      <c r="H189" s="64"/>
      <c r="I189" s="64"/>
      <c r="J189" s="64"/>
      <c r="K189" s="64"/>
      <c r="L189" s="64"/>
      <c r="M189" s="64"/>
      <c r="N189" s="78">
        <f>+P100/H73</f>
        <v>1.693469715248876E-2</v>
      </c>
      <c r="O189" s="25"/>
      <c r="P189" s="25"/>
      <c r="Q189" s="25"/>
      <c r="R189" s="5"/>
    </row>
    <row r="190" spans="1:18" ht="15.6" x14ac:dyDescent="0.3">
      <c r="A190" s="75"/>
      <c r="B190" s="76" t="s">
        <v>170</v>
      </c>
      <c r="C190" s="77"/>
      <c r="D190" s="77"/>
      <c r="E190" s="64"/>
      <c r="F190" s="64"/>
      <c r="G190" s="64"/>
      <c r="H190" s="64"/>
      <c r="I190" s="64"/>
      <c r="J190" s="64"/>
      <c r="K190" s="64"/>
      <c r="L190" s="64"/>
      <c r="M190" s="64"/>
      <c r="N190" s="133">
        <v>49065</v>
      </c>
      <c r="O190" s="25"/>
      <c r="P190" s="25"/>
      <c r="Q190" s="25"/>
      <c r="R190" s="5"/>
    </row>
    <row r="191" spans="1:18" ht="15.6" x14ac:dyDescent="0.3">
      <c r="A191" s="75"/>
      <c r="B191" s="76" t="s">
        <v>171</v>
      </c>
      <c r="C191" s="77"/>
      <c r="D191" s="77"/>
      <c r="E191" s="64"/>
      <c r="F191" s="64"/>
      <c r="G191" s="64"/>
      <c r="H191" s="64"/>
      <c r="I191" s="64"/>
      <c r="J191" s="64"/>
      <c r="K191" s="64"/>
      <c r="L191" s="64"/>
      <c r="M191" s="64"/>
      <c r="N191" s="133">
        <v>49065</v>
      </c>
      <c r="O191" s="25"/>
      <c r="P191" s="25"/>
      <c r="Q191" s="25"/>
      <c r="R191" s="5"/>
    </row>
    <row r="192" spans="1:18" ht="15.6" x14ac:dyDescent="0.3">
      <c r="A192" s="75"/>
      <c r="B192" s="76" t="s">
        <v>172</v>
      </c>
      <c r="C192" s="77"/>
      <c r="D192" s="77"/>
      <c r="E192" s="64"/>
      <c r="F192" s="64"/>
      <c r="G192" s="64"/>
      <c r="H192" s="64"/>
      <c r="I192" s="64"/>
      <c r="J192" s="64"/>
      <c r="K192" s="64"/>
      <c r="L192" s="64"/>
      <c r="M192" s="64"/>
      <c r="N192" s="133">
        <v>49065</v>
      </c>
      <c r="O192" s="25"/>
      <c r="P192" s="25"/>
      <c r="Q192" s="25"/>
      <c r="R192" s="5"/>
    </row>
    <row r="193" spans="1:18" ht="15.6" x14ac:dyDescent="0.3">
      <c r="A193" s="75"/>
      <c r="B193" s="76" t="s">
        <v>138</v>
      </c>
      <c r="C193" s="77"/>
      <c r="D193" s="77"/>
      <c r="E193" s="64"/>
      <c r="F193" s="64"/>
      <c r="G193" s="64"/>
      <c r="H193" s="64"/>
      <c r="I193" s="64"/>
      <c r="J193" s="64"/>
      <c r="K193" s="64"/>
      <c r="L193" s="64"/>
      <c r="M193" s="64"/>
      <c r="N193" s="133">
        <v>52352</v>
      </c>
      <c r="O193" s="25"/>
      <c r="P193" s="25"/>
      <c r="Q193" s="25"/>
      <c r="R193" s="5"/>
    </row>
    <row r="194" spans="1:18" ht="15.6" x14ac:dyDescent="0.3">
      <c r="A194" s="75"/>
      <c r="B194" s="76" t="s">
        <v>139</v>
      </c>
      <c r="C194" s="77"/>
      <c r="D194" s="77"/>
      <c r="E194" s="64"/>
      <c r="F194" s="64"/>
      <c r="G194" s="64"/>
      <c r="H194" s="64"/>
      <c r="I194" s="64"/>
      <c r="J194" s="64"/>
      <c r="K194" s="64"/>
      <c r="L194" s="64"/>
      <c r="M194" s="64"/>
      <c r="N194" s="133">
        <v>52352</v>
      </c>
      <c r="O194" s="25"/>
      <c r="P194" s="25"/>
      <c r="Q194" s="25"/>
      <c r="R194" s="5"/>
    </row>
    <row r="195" spans="1:18" ht="15.6" x14ac:dyDescent="0.3">
      <c r="A195" s="75"/>
      <c r="B195" s="76" t="s">
        <v>82</v>
      </c>
      <c r="C195" s="77"/>
      <c r="D195" s="77"/>
      <c r="E195" s="64"/>
      <c r="F195" s="64"/>
      <c r="G195" s="64"/>
      <c r="H195" s="64"/>
      <c r="I195" s="64"/>
      <c r="J195" s="64"/>
      <c r="K195" s="64"/>
      <c r="L195" s="64"/>
      <c r="M195" s="64"/>
      <c r="N195" s="137">
        <v>20.45</v>
      </c>
      <c r="O195" s="25" t="s">
        <v>125</v>
      </c>
      <c r="P195" s="25"/>
      <c r="Q195" s="25"/>
      <c r="R195" s="5"/>
    </row>
    <row r="196" spans="1:18" ht="15.6" x14ac:dyDescent="0.3">
      <c r="A196" s="75"/>
      <c r="B196" s="76" t="s">
        <v>83</v>
      </c>
      <c r="C196" s="77"/>
      <c r="D196" s="77"/>
      <c r="E196" s="64"/>
      <c r="F196" s="64"/>
      <c r="G196" s="64"/>
      <c r="H196" s="64"/>
      <c r="I196" s="64"/>
      <c r="J196" s="64"/>
      <c r="K196" s="64"/>
      <c r="L196" s="64"/>
      <c r="M196" s="64"/>
      <c r="N196" s="137">
        <v>19.2</v>
      </c>
      <c r="O196" s="25" t="s">
        <v>125</v>
      </c>
      <c r="P196" s="25"/>
      <c r="Q196" s="25"/>
      <c r="R196" s="5"/>
    </row>
    <row r="197" spans="1:18" ht="15.6" x14ac:dyDescent="0.3">
      <c r="A197" s="75"/>
      <c r="B197" s="76" t="s">
        <v>84</v>
      </c>
      <c r="C197" s="77"/>
      <c r="D197" s="77"/>
      <c r="E197" s="64"/>
      <c r="F197" s="64"/>
      <c r="G197" s="64"/>
      <c r="H197" s="64"/>
      <c r="I197" s="64"/>
      <c r="J197" s="64"/>
      <c r="K197" s="64"/>
      <c r="L197" s="64"/>
      <c r="M197" s="64"/>
      <c r="N197" s="78">
        <v>0.05</v>
      </c>
      <c r="O197" s="25"/>
      <c r="P197" s="25"/>
      <c r="Q197" s="25"/>
      <c r="R197" s="5"/>
    </row>
    <row r="198" spans="1:18" ht="15.6" x14ac:dyDescent="0.3">
      <c r="A198" s="75"/>
      <c r="B198" s="76" t="s">
        <v>85</v>
      </c>
      <c r="C198" s="77"/>
      <c r="D198" s="77"/>
      <c r="E198" s="64"/>
      <c r="F198" s="64"/>
      <c r="G198" s="64"/>
      <c r="H198" s="64"/>
      <c r="I198" s="64"/>
      <c r="J198" s="64"/>
      <c r="K198" s="64"/>
      <c r="L198" s="64"/>
      <c r="M198" s="64"/>
      <c r="N198" s="78">
        <v>0.15359999999999999</v>
      </c>
      <c r="O198" s="25"/>
      <c r="P198" s="25"/>
      <c r="Q198" s="25"/>
      <c r="R198" s="5"/>
    </row>
    <row r="199" spans="1:18" ht="15.6" x14ac:dyDescent="0.3">
      <c r="A199" s="75"/>
      <c r="B199" s="76"/>
      <c r="C199" s="76"/>
      <c r="D199" s="76"/>
      <c r="E199" s="25"/>
      <c r="F199" s="25"/>
      <c r="G199" s="25"/>
      <c r="H199" s="25"/>
      <c r="I199" s="25"/>
      <c r="J199" s="25"/>
      <c r="K199" s="25"/>
      <c r="L199" s="25"/>
      <c r="M199" s="25"/>
      <c r="N199" s="61"/>
      <c r="O199" s="25"/>
      <c r="P199" s="79"/>
      <c r="Q199" s="25"/>
      <c r="R199" s="5"/>
    </row>
    <row r="200" spans="1:18" ht="15.6" x14ac:dyDescent="0.3">
      <c r="A200" s="80"/>
      <c r="B200" s="14" t="s">
        <v>86</v>
      </c>
      <c r="C200" s="81"/>
      <c r="D200" s="82"/>
      <c r="E200" s="81"/>
      <c r="F200" s="17"/>
      <c r="G200" s="17"/>
      <c r="H200" s="17"/>
      <c r="I200" s="17"/>
      <c r="J200" s="17"/>
      <c r="K200" s="17"/>
      <c r="L200" s="17"/>
      <c r="M200" s="17" t="s">
        <v>113</v>
      </c>
      <c r="N200" s="83" t="s">
        <v>121</v>
      </c>
      <c r="O200" s="8"/>
      <c r="P200" s="8"/>
      <c r="Q200" s="8"/>
      <c r="R200" s="5"/>
    </row>
    <row r="201" spans="1:18" ht="15.6" x14ac:dyDescent="0.3">
      <c r="A201" s="84"/>
      <c r="B201" s="76" t="s">
        <v>87</v>
      </c>
      <c r="C201" s="54"/>
      <c r="D201" s="25"/>
      <c r="E201" s="25"/>
      <c r="F201" s="30"/>
      <c r="G201" s="30"/>
      <c r="H201" s="30"/>
      <c r="I201" s="30"/>
      <c r="J201" s="30"/>
      <c r="K201" s="30"/>
      <c r="L201" s="30"/>
      <c r="M201" s="30">
        <v>5</v>
      </c>
      <c r="N201" s="85">
        <v>171</v>
      </c>
      <c r="O201" s="25"/>
      <c r="P201" s="79"/>
      <c r="Q201" s="86"/>
      <c r="R201" s="5"/>
    </row>
    <row r="202" spans="1:18" ht="15.6" x14ac:dyDescent="0.3">
      <c r="A202" s="84"/>
      <c r="B202" s="76" t="s">
        <v>203</v>
      </c>
      <c r="C202" s="54"/>
      <c r="D202" s="25"/>
      <c r="E202" s="25"/>
      <c r="F202" s="30"/>
      <c r="G202" s="30"/>
      <c r="H202" s="30"/>
      <c r="I202" s="30"/>
      <c r="J202" s="30"/>
      <c r="K202" s="30"/>
      <c r="L202" s="30"/>
      <c r="M202" s="151">
        <f>+L239</f>
        <v>47</v>
      </c>
      <c r="N202" s="85">
        <f>+N239</f>
        <v>5368</v>
      </c>
      <c r="O202" s="25"/>
      <c r="P202" s="79"/>
      <c r="Q202" s="86"/>
      <c r="R202" s="5"/>
    </row>
    <row r="203" spans="1:18" ht="15.6" x14ac:dyDescent="0.3">
      <c r="A203" s="84"/>
      <c r="B203" s="76" t="s">
        <v>88</v>
      </c>
      <c r="C203" s="54"/>
      <c r="D203" s="25"/>
      <c r="E203" s="25"/>
      <c r="F203" s="30"/>
      <c r="G203" s="30"/>
      <c r="H203" s="30"/>
      <c r="I203" s="30"/>
      <c r="J203" s="30"/>
      <c r="K203" s="30"/>
      <c r="L203" s="30"/>
      <c r="M203" s="151">
        <f>+L250</f>
        <v>1</v>
      </c>
      <c r="N203" s="85">
        <f>+N250</f>
        <v>36</v>
      </c>
      <c r="O203" s="25"/>
      <c r="P203" s="79"/>
      <c r="Q203" s="86"/>
      <c r="R203" s="5"/>
    </row>
    <row r="204" spans="1:18" ht="15.6" x14ac:dyDescent="0.3">
      <c r="A204" s="84"/>
      <c r="B204" s="122" t="s">
        <v>89</v>
      </c>
      <c r="C204" s="54"/>
      <c r="D204" s="25"/>
      <c r="E204" s="25"/>
      <c r="F204" s="25"/>
      <c r="G204" s="25"/>
      <c r="H204" s="25"/>
      <c r="I204" s="25"/>
      <c r="J204" s="25"/>
      <c r="K204" s="25"/>
      <c r="L204" s="25"/>
      <c r="M204" s="25"/>
      <c r="N204" s="85">
        <v>0</v>
      </c>
      <c r="O204" s="25"/>
      <c r="P204" s="79"/>
      <c r="Q204" s="86"/>
      <c r="R204" s="5"/>
    </row>
    <row r="205" spans="1:18" ht="15.6" x14ac:dyDescent="0.3">
      <c r="A205" s="84"/>
      <c r="B205" s="122" t="s">
        <v>90</v>
      </c>
      <c r="C205" s="54"/>
      <c r="D205" s="25"/>
      <c r="E205" s="25"/>
      <c r="F205" s="25"/>
      <c r="G205" s="25"/>
      <c r="H205" s="25"/>
      <c r="I205" s="25"/>
      <c r="J205" s="25"/>
      <c r="K205" s="25"/>
      <c r="L205" s="25"/>
      <c r="M205" s="25"/>
      <c r="N205" s="62" t="s">
        <v>122</v>
      </c>
      <c r="O205" s="25"/>
      <c r="P205" s="79"/>
      <c r="Q205" s="86"/>
      <c r="R205" s="5"/>
    </row>
    <row r="206" spans="1:18" ht="15.6" x14ac:dyDescent="0.3">
      <c r="A206" s="87"/>
      <c r="B206" s="122" t="s">
        <v>91</v>
      </c>
      <c r="C206" s="76"/>
      <c r="D206" s="76"/>
      <c r="E206" s="25"/>
      <c r="F206" s="25"/>
      <c r="G206" s="25"/>
      <c r="H206" s="25"/>
      <c r="I206" s="25"/>
      <c r="J206" s="167"/>
      <c r="K206" s="25"/>
      <c r="L206" s="25"/>
      <c r="M206" s="25"/>
      <c r="N206" s="85"/>
      <c r="O206" s="25"/>
      <c r="P206" s="79"/>
      <c r="Q206" s="88"/>
      <c r="R206" s="5"/>
    </row>
    <row r="207" spans="1:18" ht="15.6" x14ac:dyDescent="0.3">
      <c r="A207" s="87"/>
      <c r="B207" s="135" t="s">
        <v>92</v>
      </c>
      <c r="C207" s="76"/>
      <c r="D207" s="76"/>
      <c r="E207" s="25"/>
      <c r="F207" s="25"/>
      <c r="G207" s="25"/>
      <c r="H207" s="25"/>
      <c r="I207" s="25"/>
      <c r="J207" s="25"/>
      <c r="K207" s="25"/>
      <c r="L207" s="25"/>
      <c r="M207" s="25"/>
      <c r="N207" s="85">
        <f>P152</f>
        <v>279</v>
      </c>
      <c r="O207" s="25"/>
      <c r="P207" s="79"/>
      <c r="Q207" s="88"/>
      <c r="R207" s="5"/>
    </row>
    <row r="208" spans="1:18" ht="15.6" x14ac:dyDescent="0.3">
      <c r="A208" s="84"/>
      <c r="B208" s="76" t="s">
        <v>93</v>
      </c>
      <c r="C208" s="54"/>
      <c r="D208" s="54"/>
      <c r="E208" s="25"/>
      <c r="F208" s="25"/>
      <c r="G208" s="25"/>
      <c r="H208" s="25"/>
      <c r="I208" s="25"/>
      <c r="J208" s="25"/>
      <c r="K208" s="25"/>
      <c r="L208" s="25"/>
      <c r="M208" s="25"/>
      <c r="N208" s="85">
        <f>'July 06'!N208+'Oct 06'!N207</f>
        <v>279</v>
      </c>
      <c r="O208" s="25"/>
      <c r="P208" s="79"/>
      <c r="Q208" s="88"/>
      <c r="R208" s="5"/>
    </row>
    <row r="209" spans="1:18" ht="15.6" x14ac:dyDescent="0.3">
      <c r="A209" s="87"/>
      <c r="B209" s="122" t="s">
        <v>278</v>
      </c>
      <c r="C209" s="76"/>
      <c r="D209" s="76"/>
      <c r="E209" s="25"/>
      <c r="F209" s="25"/>
      <c r="G209" s="25"/>
      <c r="H209" s="25"/>
      <c r="I209" s="25"/>
      <c r="J209" s="25"/>
      <c r="K209" s="25"/>
      <c r="L209" s="25"/>
      <c r="M209" s="25"/>
      <c r="N209" s="85"/>
      <c r="O209" s="25"/>
      <c r="P209" s="79"/>
      <c r="Q209" s="88"/>
      <c r="R209" s="5"/>
    </row>
    <row r="210" spans="1:18" ht="15.6" x14ac:dyDescent="0.3">
      <c r="A210" s="87"/>
      <c r="B210" s="76" t="s">
        <v>276</v>
      </c>
      <c r="C210" s="76"/>
      <c r="D210" s="76"/>
      <c r="E210" s="25"/>
      <c r="F210" s="25"/>
      <c r="G210" s="25"/>
      <c r="H210" s="25"/>
      <c r="I210" s="25"/>
      <c r="J210" s="25"/>
      <c r="K210" s="25"/>
      <c r="L210" s="25"/>
      <c r="M210" s="30">
        <v>0</v>
      </c>
      <c r="N210" s="85">
        <v>0</v>
      </c>
      <c r="O210" s="25"/>
      <c r="P210" s="79"/>
      <c r="Q210" s="88"/>
      <c r="R210" s="5"/>
    </row>
    <row r="211" spans="1:18" ht="15.6" x14ac:dyDescent="0.3">
      <c r="A211" s="84"/>
      <c r="B211" s="76" t="s">
        <v>95</v>
      </c>
      <c r="C211" s="89"/>
      <c r="D211" s="90"/>
      <c r="E211" s="25"/>
      <c r="F211" s="25"/>
      <c r="G211" s="25"/>
      <c r="H211" s="25"/>
      <c r="I211" s="25"/>
      <c r="J211" s="25"/>
      <c r="K211" s="25"/>
      <c r="L211" s="25"/>
      <c r="M211" s="25"/>
      <c r="N211" s="62">
        <v>0</v>
      </c>
      <c r="O211" s="25"/>
      <c r="P211" s="79"/>
      <c r="Q211" s="88"/>
      <c r="R211" s="5"/>
    </row>
    <row r="212" spans="1:18" ht="15.6" x14ac:dyDescent="0.3">
      <c r="A212" s="84"/>
      <c r="B212" s="76" t="s">
        <v>96</v>
      </c>
      <c r="C212" s="89"/>
      <c r="D212" s="90"/>
      <c r="E212" s="25"/>
      <c r="F212" s="25"/>
      <c r="G212" s="25"/>
      <c r="H212" s="25"/>
      <c r="I212" s="25"/>
      <c r="J212" s="25"/>
      <c r="K212" s="25"/>
      <c r="L212" s="25"/>
      <c r="M212" s="25"/>
      <c r="N212" s="62">
        <v>0</v>
      </c>
      <c r="O212" s="25"/>
      <c r="P212" s="79"/>
      <c r="Q212" s="88"/>
      <c r="R212" s="5"/>
    </row>
    <row r="213" spans="1:18" ht="15.6" x14ac:dyDescent="0.3">
      <c r="A213" s="84"/>
      <c r="B213" s="122" t="s">
        <v>251</v>
      </c>
      <c r="C213" s="89"/>
      <c r="D213" s="90"/>
      <c r="E213" s="25"/>
      <c r="F213" s="25"/>
      <c r="G213" s="25"/>
      <c r="H213" s="25"/>
      <c r="I213" s="25"/>
      <c r="J213" s="25"/>
      <c r="K213" s="25"/>
      <c r="L213" s="25"/>
      <c r="M213" s="25"/>
      <c r="N213" s="91"/>
      <c r="O213" s="25"/>
      <c r="P213" s="79"/>
      <c r="Q213" s="88"/>
      <c r="R213" s="5"/>
    </row>
    <row r="214" spans="1:18" ht="15.6" x14ac:dyDescent="0.3">
      <c r="A214" s="84"/>
      <c r="B214" s="76" t="s">
        <v>276</v>
      </c>
      <c r="C214" s="89"/>
      <c r="D214" s="90"/>
      <c r="E214" s="25"/>
      <c r="F214" s="25"/>
      <c r="G214" s="25"/>
      <c r="H214" s="25"/>
      <c r="I214" s="25"/>
      <c r="J214" s="25"/>
      <c r="K214" s="25"/>
      <c r="L214" s="25"/>
      <c r="M214" s="30">
        <v>7</v>
      </c>
      <c r="N214" s="85">
        <v>571</v>
      </c>
      <c r="O214" s="25"/>
      <c r="P214" s="79"/>
      <c r="Q214" s="88"/>
      <c r="R214" s="5"/>
    </row>
    <row r="215" spans="1:18" ht="15.6" x14ac:dyDescent="0.3">
      <c r="A215" s="84"/>
      <c r="B215" s="76" t="s">
        <v>252</v>
      </c>
      <c r="C215" s="89"/>
      <c r="D215" s="90"/>
      <c r="E215" s="25"/>
      <c r="F215" s="25"/>
      <c r="G215" s="25"/>
      <c r="H215" s="25"/>
      <c r="I215" s="25"/>
      <c r="J215" s="25"/>
      <c r="K215" s="25"/>
      <c r="L215" s="25"/>
      <c r="M215" s="25"/>
      <c r="N215" s="62">
        <v>8.4700000000000006</v>
      </c>
      <c r="O215" s="25"/>
      <c r="P215" s="79"/>
      <c r="Q215" s="88"/>
      <c r="R215" s="5"/>
    </row>
    <row r="216" spans="1:18" ht="15.6" x14ac:dyDescent="0.3">
      <c r="A216" s="84"/>
      <c r="B216" s="76"/>
      <c r="C216" s="89"/>
      <c r="D216" s="90"/>
      <c r="E216" s="25"/>
      <c r="F216" s="25"/>
      <c r="G216" s="25"/>
      <c r="H216" s="25"/>
      <c r="I216" s="25"/>
      <c r="J216" s="25"/>
      <c r="K216" s="25"/>
      <c r="L216" s="25"/>
      <c r="M216" s="25"/>
      <c r="N216" s="91"/>
      <c r="O216" s="25"/>
      <c r="P216" s="79"/>
      <c r="Q216" s="88"/>
      <c r="R216" s="5"/>
    </row>
    <row r="217" spans="1:18" ht="17.399999999999999" x14ac:dyDescent="0.3">
      <c r="A217" s="84"/>
      <c r="B217" s="160" t="s">
        <v>244</v>
      </c>
      <c r="C217" s="161"/>
      <c r="D217" s="162"/>
      <c r="E217" s="163"/>
      <c r="F217" s="163"/>
      <c r="G217" s="163"/>
      <c r="H217" s="163"/>
      <c r="I217" s="166"/>
      <c r="J217" s="169" t="s">
        <v>243</v>
      </c>
      <c r="K217" s="163"/>
      <c r="L217" s="163"/>
      <c r="M217" s="25"/>
      <c r="N217" s="91"/>
      <c r="O217" s="25"/>
      <c r="P217" s="79"/>
      <c r="Q217" s="88"/>
      <c r="R217" s="5"/>
    </row>
    <row r="218" spans="1:18" ht="15.6" x14ac:dyDescent="0.3">
      <c r="A218" s="84"/>
      <c r="B218" s="156"/>
      <c r="C218" s="157"/>
      <c r="D218" s="158"/>
      <c r="E218" s="146"/>
      <c r="F218" s="146"/>
      <c r="G218" s="146"/>
      <c r="H218" s="146"/>
      <c r="I218" s="146"/>
      <c r="J218" s="146"/>
      <c r="K218" s="146"/>
      <c r="L218" s="146"/>
      <c r="M218" s="25"/>
      <c r="N218" s="91"/>
      <c r="O218" s="25"/>
      <c r="P218" s="79"/>
      <c r="Q218" s="88"/>
      <c r="R218" s="5"/>
    </row>
    <row r="219" spans="1:18" ht="15.6" x14ac:dyDescent="0.3">
      <c r="A219" s="6"/>
      <c r="B219" s="14" t="s">
        <v>236</v>
      </c>
      <c r="C219" s="81"/>
      <c r="D219" s="82"/>
      <c r="E219" s="81"/>
      <c r="F219" s="17"/>
      <c r="G219" s="17"/>
      <c r="H219" s="17"/>
      <c r="I219" s="17"/>
      <c r="J219" s="17"/>
      <c r="K219" s="17"/>
      <c r="L219" s="83" t="s">
        <v>113</v>
      </c>
      <c r="M219" s="17" t="s">
        <v>114</v>
      </c>
      <c r="N219" s="83" t="s">
        <v>123</v>
      </c>
      <c r="O219" s="17" t="s">
        <v>114</v>
      </c>
      <c r="P219" s="8"/>
      <c r="Q219" s="92"/>
      <c r="R219" s="5"/>
    </row>
    <row r="220" spans="1:18" ht="15.6" x14ac:dyDescent="0.3">
      <c r="A220" s="24"/>
      <c r="B220" s="54" t="s">
        <v>98</v>
      </c>
      <c r="C220" s="93"/>
      <c r="D220" s="25"/>
      <c r="E220" s="93"/>
      <c r="F220" s="93"/>
      <c r="G220" s="93"/>
      <c r="H220" s="93"/>
      <c r="I220" s="93"/>
      <c r="J220" s="93"/>
      <c r="K220" s="93"/>
      <c r="L220" s="54">
        <v>6910</v>
      </c>
      <c r="M220" s="94">
        <f t="shared" ref="M220:M227" si="1">L220/$L$228</f>
        <v>0.99139167862266853</v>
      </c>
      <c r="N220" s="53">
        <v>650845</v>
      </c>
      <c r="O220" s="136">
        <f t="shared" ref="O220:O227" si="2">N220/$N$228</f>
        <v>0.99239591846692443</v>
      </c>
      <c r="P220" s="79"/>
      <c r="Q220" s="88"/>
      <c r="R220" s="5"/>
    </row>
    <row r="221" spans="1:18" ht="15.6" x14ac:dyDescent="0.3">
      <c r="A221" s="24"/>
      <c r="B221" s="54" t="s">
        <v>99</v>
      </c>
      <c r="C221" s="93"/>
      <c r="D221" s="25"/>
      <c r="E221" s="94"/>
      <c r="F221" s="93"/>
      <c r="G221" s="93"/>
      <c r="H221" s="93"/>
      <c r="I221" s="93"/>
      <c r="J221" s="93"/>
      <c r="K221" s="93"/>
      <c r="L221" s="54">
        <v>29</v>
      </c>
      <c r="M221" s="94">
        <f t="shared" si="1"/>
        <v>4.1606886657101867E-3</v>
      </c>
      <c r="N221" s="53">
        <v>3242</v>
      </c>
      <c r="O221" s="136">
        <f t="shared" si="2"/>
        <v>4.9433391478305418E-3</v>
      </c>
      <c r="P221" s="79"/>
      <c r="Q221" s="88"/>
      <c r="R221" s="5"/>
    </row>
    <row r="222" spans="1:18" ht="15.6" x14ac:dyDescent="0.3">
      <c r="A222" s="24"/>
      <c r="B222" s="54" t="s">
        <v>100</v>
      </c>
      <c r="C222" s="93"/>
      <c r="D222" s="25"/>
      <c r="E222" s="94"/>
      <c r="F222" s="93"/>
      <c r="G222" s="93"/>
      <c r="H222" s="93"/>
      <c r="I222" s="93"/>
      <c r="J222" s="93"/>
      <c r="K222" s="93"/>
      <c r="L222" s="54">
        <v>10</v>
      </c>
      <c r="M222" s="94">
        <f t="shared" si="1"/>
        <v>1.4347202295552368E-3</v>
      </c>
      <c r="N222" s="53">
        <v>821</v>
      </c>
      <c r="O222" s="136">
        <f t="shared" si="2"/>
        <v>1.2518449846912014E-3</v>
      </c>
      <c r="P222" s="79"/>
      <c r="Q222" s="88"/>
      <c r="R222" s="5"/>
    </row>
    <row r="223" spans="1:18" ht="15.6" x14ac:dyDescent="0.3">
      <c r="A223" s="24"/>
      <c r="B223" s="54" t="s">
        <v>227</v>
      </c>
      <c r="C223" s="93"/>
      <c r="D223" s="25"/>
      <c r="E223" s="94"/>
      <c r="F223" s="93"/>
      <c r="G223" s="93"/>
      <c r="H223" s="93"/>
      <c r="I223" s="93"/>
      <c r="J223" s="93"/>
      <c r="K223" s="93"/>
      <c r="L223" s="54">
        <v>6</v>
      </c>
      <c r="M223" s="94">
        <f t="shared" si="1"/>
        <v>8.6083213773314202E-4</v>
      </c>
      <c r="N223" s="53">
        <v>413</v>
      </c>
      <c r="O223" s="136">
        <f t="shared" si="2"/>
        <v>6.2973444418692591E-4</v>
      </c>
      <c r="P223" s="79"/>
      <c r="Q223" s="88"/>
      <c r="R223" s="5"/>
    </row>
    <row r="224" spans="1:18" ht="15.6" x14ac:dyDescent="0.3">
      <c r="A224" s="24"/>
      <c r="B224" s="54" t="s">
        <v>228</v>
      </c>
      <c r="C224" s="93"/>
      <c r="D224" s="25"/>
      <c r="E224" s="94"/>
      <c r="F224" s="93"/>
      <c r="G224" s="93"/>
      <c r="H224" s="93"/>
      <c r="I224" s="93"/>
      <c r="J224" s="93"/>
      <c r="K224" s="93"/>
      <c r="L224" s="54">
        <v>5</v>
      </c>
      <c r="M224" s="94">
        <f t="shared" si="1"/>
        <v>7.173601147776184E-4</v>
      </c>
      <c r="N224" s="53">
        <v>154</v>
      </c>
      <c r="O224" s="136">
        <f t="shared" si="2"/>
        <v>2.3481623342563339E-4</v>
      </c>
      <c r="P224" s="79"/>
      <c r="Q224" s="88"/>
      <c r="R224" s="5"/>
    </row>
    <row r="225" spans="1:18" ht="15.6" x14ac:dyDescent="0.3">
      <c r="A225" s="24"/>
      <c r="B225" s="54" t="s">
        <v>229</v>
      </c>
      <c r="C225" s="93"/>
      <c r="D225" s="25"/>
      <c r="E225" s="94"/>
      <c r="F225" s="93"/>
      <c r="G225" s="93"/>
      <c r="H225" s="93"/>
      <c r="I225" s="93"/>
      <c r="J225" s="93"/>
      <c r="K225" s="93"/>
      <c r="L225" s="54">
        <v>2</v>
      </c>
      <c r="M225" s="94">
        <f t="shared" si="1"/>
        <v>2.8694404591104734E-4</v>
      </c>
      <c r="N225" s="53">
        <v>59</v>
      </c>
      <c r="O225" s="136">
        <f t="shared" si="2"/>
        <v>8.9962063455275136E-5</v>
      </c>
      <c r="P225" s="79"/>
      <c r="Q225" s="88"/>
      <c r="R225" s="5"/>
    </row>
    <row r="226" spans="1:18" ht="15.6" x14ac:dyDescent="0.3">
      <c r="A226" s="24"/>
      <c r="B226" s="54" t="s">
        <v>230</v>
      </c>
      <c r="C226" s="93"/>
      <c r="D226" s="25"/>
      <c r="E226" s="94"/>
      <c r="F226" s="93"/>
      <c r="G226" s="93"/>
      <c r="H226" s="93"/>
      <c r="I226" s="93"/>
      <c r="J226" s="93"/>
      <c r="K226" s="93"/>
      <c r="L226" s="54">
        <v>2</v>
      </c>
      <c r="M226" s="94">
        <f t="shared" si="1"/>
        <v>2.8694404591104734E-4</v>
      </c>
      <c r="N226" s="53">
        <v>69</v>
      </c>
      <c r="O226" s="136">
        <f t="shared" si="2"/>
        <v>1.05209870820576E-4</v>
      </c>
      <c r="P226" s="79"/>
      <c r="Q226" s="88"/>
      <c r="R226" s="5"/>
    </row>
    <row r="227" spans="1:18" ht="15.6" x14ac:dyDescent="0.3">
      <c r="A227" s="24"/>
      <c r="B227" s="54" t="s">
        <v>231</v>
      </c>
      <c r="C227" s="93"/>
      <c r="D227" s="25"/>
      <c r="E227" s="94"/>
      <c r="F227" s="93"/>
      <c r="G227" s="93"/>
      <c r="H227" s="93"/>
      <c r="I227" s="93"/>
      <c r="J227" s="93"/>
      <c r="K227" s="93"/>
      <c r="L227" s="54">
        <v>6</v>
      </c>
      <c r="M227" s="94">
        <f t="shared" si="1"/>
        <v>8.6083213773314202E-4</v>
      </c>
      <c r="N227" s="53">
        <v>229</v>
      </c>
      <c r="O227" s="136">
        <f t="shared" si="2"/>
        <v>3.4917478866538994E-4</v>
      </c>
      <c r="P227" s="79"/>
      <c r="Q227" s="88"/>
      <c r="R227" s="5"/>
    </row>
    <row r="228" spans="1:18" ht="15.6" x14ac:dyDescent="0.3">
      <c r="A228" s="24"/>
      <c r="B228" s="25" t="s">
        <v>129</v>
      </c>
      <c r="C228" s="25"/>
      <c r="D228" s="25"/>
      <c r="E228" s="25"/>
      <c r="F228" s="95"/>
      <c r="G228" s="95"/>
      <c r="H228" s="95"/>
      <c r="I228" s="95"/>
      <c r="J228" s="95"/>
      <c r="K228" s="95"/>
      <c r="L228" s="34">
        <f>SUM(L220:L227)</f>
        <v>6970</v>
      </c>
      <c r="M228" s="136">
        <f>SUM(M220:M227)</f>
        <v>0.99999999999999989</v>
      </c>
      <c r="N228" s="53">
        <f>SUM(N220:N227)</f>
        <v>655832</v>
      </c>
      <c r="O228" s="136">
        <f>SUM(O220:O227)</f>
        <v>0.99999999999999978</v>
      </c>
      <c r="P228" s="25"/>
      <c r="Q228" s="25"/>
      <c r="R228" s="5"/>
    </row>
    <row r="229" spans="1:18" ht="15.6" x14ac:dyDescent="0.3">
      <c r="A229" s="24"/>
      <c r="B229" s="25"/>
      <c r="C229" s="25"/>
      <c r="D229" s="25"/>
      <c r="E229" s="25"/>
      <c r="F229" s="95"/>
      <c r="G229" s="95"/>
      <c r="H229" s="95"/>
      <c r="I229" s="95"/>
      <c r="J229" s="95"/>
      <c r="K229" s="95"/>
      <c r="L229" s="34"/>
      <c r="M229" s="136"/>
      <c r="N229" s="53"/>
      <c r="O229" s="136"/>
      <c r="P229" s="25"/>
      <c r="Q229" s="25"/>
      <c r="R229" s="5"/>
    </row>
    <row r="230" spans="1:18" ht="15.6" x14ac:dyDescent="0.3">
      <c r="A230" s="148"/>
      <c r="B230" s="14" t="s">
        <v>238</v>
      </c>
      <c r="C230" s="81"/>
      <c r="D230" s="82"/>
      <c r="E230" s="81"/>
      <c r="F230" s="17"/>
      <c r="G230" s="17"/>
      <c r="H230" s="17"/>
      <c r="I230" s="17"/>
      <c r="J230" s="17"/>
      <c r="K230" s="17"/>
      <c r="L230" s="83" t="s">
        <v>113</v>
      </c>
      <c r="M230" s="17" t="s">
        <v>114</v>
      </c>
      <c r="N230" s="83" t="s">
        <v>123</v>
      </c>
      <c r="O230" s="17" t="s">
        <v>114</v>
      </c>
      <c r="P230" s="8"/>
      <c r="Q230" s="149"/>
      <c r="R230" s="5"/>
    </row>
    <row r="231" spans="1:18" ht="15.6" x14ac:dyDescent="0.3">
      <c r="A231" s="24"/>
      <c r="B231" s="54" t="s">
        <v>98</v>
      </c>
      <c r="C231" s="93"/>
      <c r="D231" s="25"/>
      <c r="E231" s="93"/>
      <c r="F231" s="93"/>
      <c r="G231" s="93"/>
      <c r="H231" s="93"/>
      <c r="I231" s="93"/>
      <c r="J231" s="93"/>
      <c r="K231" s="93"/>
      <c r="L231" s="54">
        <v>5</v>
      </c>
      <c r="M231" s="94">
        <f t="shared" ref="M231:M238" si="3">L231/$L$239</f>
        <v>0.10638297872340426</v>
      </c>
      <c r="N231" s="53">
        <v>128</v>
      </c>
      <c r="O231" s="136">
        <f t="shared" ref="O231:O238" si="4">N231/$N$239</f>
        <v>2.3845007451564829E-2</v>
      </c>
      <c r="P231" s="79"/>
      <c r="Q231" s="25"/>
      <c r="R231" s="5"/>
    </row>
    <row r="232" spans="1:18" ht="15.6" x14ac:dyDescent="0.3">
      <c r="A232" s="24"/>
      <c r="B232" s="54" t="s">
        <v>99</v>
      </c>
      <c r="C232" s="93"/>
      <c r="D232" s="25"/>
      <c r="E232" s="94"/>
      <c r="F232" s="93"/>
      <c r="G232" s="93"/>
      <c r="H232" s="93"/>
      <c r="I232" s="93"/>
      <c r="J232" s="93"/>
      <c r="K232" s="93"/>
      <c r="L232" s="54">
        <v>1</v>
      </c>
      <c r="M232" s="94">
        <f t="shared" si="3"/>
        <v>2.1276595744680851E-2</v>
      </c>
      <c r="N232" s="53">
        <v>125</v>
      </c>
      <c r="O232" s="136">
        <f t="shared" si="4"/>
        <v>2.3286140089418778E-2</v>
      </c>
      <c r="P232" s="79"/>
      <c r="Q232" s="25"/>
      <c r="R232" s="5"/>
    </row>
    <row r="233" spans="1:18" ht="15.6" x14ac:dyDescent="0.3">
      <c r="A233" s="24"/>
      <c r="B233" s="54" t="s">
        <v>100</v>
      </c>
      <c r="C233" s="93"/>
      <c r="D233" s="25"/>
      <c r="E233" s="94"/>
      <c r="F233" s="93"/>
      <c r="G233" s="93"/>
      <c r="H233" s="93"/>
      <c r="I233" s="93"/>
      <c r="J233" s="93"/>
      <c r="K233" s="93"/>
      <c r="L233" s="54">
        <v>3</v>
      </c>
      <c r="M233" s="94">
        <f t="shared" si="3"/>
        <v>6.3829787234042548E-2</v>
      </c>
      <c r="N233" s="53">
        <v>463</v>
      </c>
      <c r="O233" s="136">
        <f t="shared" si="4"/>
        <v>8.6251862891207148E-2</v>
      </c>
      <c r="P233" s="79"/>
      <c r="Q233" s="25"/>
      <c r="R233" s="5"/>
    </row>
    <row r="234" spans="1:18" ht="15.6" x14ac:dyDescent="0.3">
      <c r="A234" s="24"/>
      <c r="B234" s="54" t="s">
        <v>227</v>
      </c>
      <c r="C234" s="93"/>
      <c r="D234" s="25"/>
      <c r="E234" s="94"/>
      <c r="F234" s="93"/>
      <c r="G234" s="93"/>
      <c r="H234" s="93"/>
      <c r="I234" s="93"/>
      <c r="J234" s="93"/>
      <c r="K234" s="93"/>
      <c r="L234" s="54">
        <v>3</v>
      </c>
      <c r="M234" s="94">
        <f t="shared" si="3"/>
        <v>6.3829787234042548E-2</v>
      </c>
      <c r="N234" s="53">
        <v>556</v>
      </c>
      <c r="O234" s="136">
        <f t="shared" si="4"/>
        <v>0.10357675111773472</v>
      </c>
      <c r="P234" s="79"/>
      <c r="Q234" s="25"/>
      <c r="R234" s="5"/>
    </row>
    <row r="235" spans="1:18" ht="15.6" x14ac:dyDescent="0.3">
      <c r="A235" s="24"/>
      <c r="B235" s="54" t="s">
        <v>228</v>
      </c>
      <c r="C235" s="93"/>
      <c r="D235" s="25"/>
      <c r="E235" s="94"/>
      <c r="F235" s="93"/>
      <c r="G235" s="93"/>
      <c r="H235" s="93"/>
      <c r="I235" s="93"/>
      <c r="J235" s="93"/>
      <c r="K235" s="93"/>
      <c r="L235" s="54">
        <v>0</v>
      </c>
      <c r="M235" s="94">
        <f t="shared" si="3"/>
        <v>0</v>
      </c>
      <c r="N235" s="53">
        <v>0</v>
      </c>
      <c r="O235" s="136">
        <f t="shared" si="4"/>
        <v>0</v>
      </c>
      <c r="P235" s="79"/>
      <c r="Q235" s="25"/>
      <c r="R235" s="5"/>
    </row>
    <row r="236" spans="1:18" ht="15.6" x14ac:dyDescent="0.3">
      <c r="A236" s="24"/>
      <c r="B236" s="54" t="s">
        <v>229</v>
      </c>
      <c r="C236" s="93"/>
      <c r="D236" s="25"/>
      <c r="E236" s="94"/>
      <c r="F236" s="93"/>
      <c r="G236" s="93"/>
      <c r="H236" s="93"/>
      <c r="I236" s="93"/>
      <c r="J236" s="93"/>
      <c r="K236" s="93"/>
      <c r="L236" s="54">
        <v>4</v>
      </c>
      <c r="M236" s="94">
        <f t="shared" si="3"/>
        <v>8.5106382978723402E-2</v>
      </c>
      <c r="N236" s="53">
        <v>433</v>
      </c>
      <c r="O236" s="136">
        <f t="shared" si="4"/>
        <v>8.0663189269746652E-2</v>
      </c>
      <c r="P236" s="79"/>
      <c r="Q236" s="25"/>
      <c r="R236" s="5"/>
    </row>
    <row r="237" spans="1:18" ht="15.6" x14ac:dyDescent="0.3">
      <c r="A237" s="24"/>
      <c r="B237" s="54" t="s">
        <v>230</v>
      </c>
      <c r="C237" s="93"/>
      <c r="D237" s="25"/>
      <c r="E237" s="94"/>
      <c r="F237" s="93"/>
      <c r="G237" s="93"/>
      <c r="H237" s="93"/>
      <c r="I237" s="93"/>
      <c r="J237" s="93"/>
      <c r="K237" s="93"/>
      <c r="L237" s="54">
        <v>10</v>
      </c>
      <c r="M237" s="94">
        <f t="shared" si="3"/>
        <v>0.21276595744680851</v>
      </c>
      <c r="N237" s="53">
        <v>1249</v>
      </c>
      <c r="O237" s="136">
        <f t="shared" si="4"/>
        <v>0.23267511177347244</v>
      </c>
      <c r="P237" s="79"/>
      <c r="Q237" s="25"/>
      <c r="R237" s="5"/>
    </row>
    <row r="238" spans="1:18" ht="15.6" x14ac:dyDescent="0.3">
      <c r="A238" s="24"/>
      <c r="B238" s="54" t="s">
        <v>231</v>
      </c>
      <c r="C238" s="93"/>
      <c r="D238" s="25"/>
      <c r="E238" s="94"/>
      <c r="F238" s="93"/>
      <c r="G238" s="93"/>
      <c r="H238" s="93"/>
      <c r="I238" s="93"/>
      <c r="J238" s="93"/>
      <c r="K238" s="93"/>
      <c r="L238" s="54">
        <v>21</v>
      </c>
      <c r="M238" s="94">
        <f t="shared" si="3"/>
        <v>0.44680851063829785</v>
      </c>
      <c r="N238" s="53">
        <v>2414</v>
      </c>
      <c r="O238" s="136">
        <f t="shared" si="4"/>
        <v>0.44970193740685543</v>
      </c>
      <c r="P238" s="79"/>
      <c r="Q238" s="25"/>
      <c r="R238" s="5"/>
    </row>
    <row r="239" spans="1:18" ht="15.6" x14ac:dyDescent="0.3">
      <c r="A239" s="24"/>
      <c r="B239" s="25" t="s">
        <v>129</v>
      </c>
      <c r="C239" s="25"/>
      <c r="D239" s="25"/>
      <c r="E239" s="25"/>
      <c r="F239" s="95"/>
      <c r="G239" s="95"/>
      <c r="H239" s="95"/>
      <c r="I239" s="95"/>
      <c r="J239" s="95"/>
      <c r="K239" s="95"/>
      <c r="L239" s="34">
        <f>SUM(L231:L238)</f>
        <v>47</v>
      </c>
      <c r="M239" s="136">
        <f>SUM(M231:M238)</f>
        <v>1</v>
      </c>
      <c r="N239" s="53">
        <f>SUM(N231:N238)</f>
        <v>5368</v>
      </c>
      <c r="O239" s="136">
        <f>SUM(O231:O238)</f>
        <v>1</v>
      </c>
      <c r="P239" s="25"/>
      <c r="Q239" s="25"/>
      <c r="R239" s="5"/>
    </row>
    <row r="240" spans="1:18" ht="15.6" x14ac:dyDescent="0.3">
      <c r="A240" s="24"/>
      <c r="B240" s="25"/>
      <c r="C240" s="25"/>
      <c r="D240" s="25"/>
      <c r="E240" s="25"/>
      <c r="F240" s="95"/>
      <c r="G240" s="95"/>
      <c r="H240" s="95"/>
      <c r="I240" s="95"/>
      <c r="J240" s="95"/>
      <c r="K240" s="95"/>
      <c r="L240" s="34"/>
      <c r="M240" s="136"/>
      <c r="N240" s="53"/>
      <c r="O240" s="136"/>
      <c r="P240" s="25"/>
      <c r="Q240" s="25"/>
      <c r="R240" s="5"/>
    </row>
    <row r="241" spans="1:18" ht="15.6" x14ac:dyDescent="0.3">
      <c r="A241" s="148"/>
      <c r="B241" s="14" t="s">
        <v>239</v>
      </c>
      <c r="C241" s="81"/>
      <c r="D241" s="82"/>
      <c r="E241" s="81"/>
      <c r="F241" s="17"/>
      <c r="G241" s="17"/>
      <c r="H241" s="17"/>
      <c r="I241" s="17"/>
      <c r="J241" s="17"/>
      <c r="K241" s="17"/>
      <c r="L241" s="83" t="s">
        <v>113</v>
      </c>
      <c r="M241" s="17" t="s">
        <v>114</v>
      </c>
      <c r="N241" s="83" t="s">
        <v>123</v>
      </c>
      <c r="O241" s="17" t="s">
        <v>114</v>
      </c>
      <c r="P241" s="150"/>
      <c r="Q241" s="149"/>
      <c r="R241" s="5"/>
    </row>
    <row r="242" spans="1:18" ht="15.6" x14ac:dyDescent="0.3">
      <c r="A242" s="24"/>
      <c r="B242" s="54" t="s">
        <v>98</v>
      </c>
      <c r="C242" s="93"/>
      <c r="D242" s="25"/>
      <c r="E242" s="93"/>
      <c r="F242" s="93"/>
      <c r="G242" s="93"/>
      <c r="H242" s="93"/>
      <c r="I242" s="93"/>
      <c r="J242" s="93"/>
      <c r="K242" s="93"/>
      <c r="L242" s="54">
        <v>0</v>
      </c>
      <c r="M242" s="94">
        <v>0</v>
      </c>
      <c r="N242" s="53">
        <v>0</v>
      </c>
      <c r="O242" s="136">
        <v>0</v>
      </c>
      <c r="P242" s="25"/>
      <c r="Q242" s="25"/>
      <c r="R242" s="5"/>
    </row>
    <row r="243" spans="1:18" ht="15.6" x14ac:dyDescent="0.3">
      <c r="A243" s="24"/>
      <c r="B243" s="54" t="s">
        <v>99</v>
      </c>
      <c r="C243" s="93"/>
      <c r="D243" s="25"/>
      <c r="E243" s="94"/>
      <c r="F243" s="93"/>
      <c r="G243" s="93"/>
      <c r="H243" s="93"/>
      <c r="I243" s="93"/>
      <c r="J243" s="93"/>
      <c r="K243" s="93"/>
      <c r="L243" s="54">
        <v>0</v>
      </c>
      <c r="M243" s="94">
        <v>0</v>
      </c>
      <c r="N243" s="53">
        <v>0</v>
      </c>
      <c r="O243" s="136">
        <v>0</v>
      </c>
      <c r="P243" s="25"/>
      <c r="Q243" s="25"/>
      <c r="R243" s="5"/>
    </row>
    <row r="244" spans="1:18" ht="15.6" x14ac:dyDescent="0.3">
      <c r="A244" s="24"/>
      <c r="B244" s="54" t="s">
        <v>100</v>
      </c>
      <c r="C244" s="93"/>
      <c r="D244" s="25"/>
      <c r="E244" s="94"/>
      <c r="F244" s="93"/>
      <c r="G244" s="93"/>
      <c r="H244" s="93"/>
      <c r="I244" s="93"/>
      <c r="J244" s="93"/>
      <c r="K244" s="93"/>
      <c r="L244" s="54">
        <v>0</v>
      </c>
      <c r="M244" s="94">
        <v>0</v>
      </c>
      <c r="N244" s="53">
        <v>0</v>
      </c>
      <c r="O244" s="136">
        <v>0</v>
      </c>
      <c r="P244" s="25"/>
      <c r="Q244" s="25"/>
      <c r="R244" s="5"/>
    </row>
    <row r="245" spans="1:18" ht="15.6" x14ac:dyDescent="0.3">
      <c r="A245" s="24"/>
      <c r="B245" s="54" t="s">
        <v>227</v>
      </c>
      <c r="C245" s="93"/>
      <c r="D245" s="25"/>
      <c r="E245" s="94"/>
      <c r="F245" s="93"/>
      <c r="G245" s="93"/>
      <c r="H245" s="93"/>
      <c r="I245" s="93"/>
      <c r="J245" s="93"/>
      <c r="K245" s="93"/>
      <c r="L245" s="54">
        <v>0</v>
      </c>
      <c r="M245" s="94">
        <v>0</v>
      </c>
      <c r="N245" s="53">
        <v>0</v>
      </c>
      <c r="O245" s="136">
        <v>0</v>
      </c>
      <c r="P245" s="25"/>
      <c r="Q245" s="25"/>
      <c r="R245" s="5"/>
    </row>
    <row r="246" spans="1:18" ht="15.6" x14ac:dyDescent="0.3">
      <c r="A246" s="24"/>
      <c r="B246" s="54" t="s">
        <v>228</v>
      </c>
      <c r="C246" s="93"/>
      <c r="D246" s="25"/>
      <c r="E246" s="94"/>
      <c r="F246" s="93"/>
      <c r="G246" s="93"/>
      <c r="H246" s="93"/>
      <c r="I246" s="93"/>
      <c r="J246" s="93"/>
      <c r="K246" s="93"/>
      <c r="L246" s="54">
        <v>0</v>
      </c>
      <c r="M246" s="94">
        <v>0</v>
      </c>
      <c r="N246" s="53">
        <v>0</v>
      </c>
      <c r="O246" s="136">
        <v>0</v>
      </c>
      <c r="P246" s="25"/>
      <c r="Q246" s="25"/>
      <c r="R246" s="5"/>
    </row>
    <row r="247" spans="1:18" ht="15.6" x14ac:dyDescent="0.3">
      <c r="A247" s="24"/>
      <c r="B247" s="54" t="s">
        <v>229</v>
      </c>
      <c r="C247" s="93"/>
      <c r="D247" s="25"/>
      <c r="E247" s="94"/>
      <c r="F247" s="93"/>
      <c r="G247" s="93"/>
      <c r="H247" s="93"/>
      <c r="I247" s="93"/>
      <c r="J247" s="93"/>
      <c r="K247" s="93"/>
      <c r="L247" s="54">
        <v>0</v>
      </c>
      <c r="M247" s="94">
        <v>0</v>
      </c>
      <c r="N247" s="53">
        <v>0</v>
      </c>
      <c r="O247" s="136">
        <v>0</v>
      </c>
      <c r="P247" s="25"/>
      <c r="Q247" s="25"/>
      <c r="R247" s="5"/>
    </row>
    <row r="248" spans="1:18" ht="15.6" x14ac:dyDescent="0.3">
      <c r="A248" s="24"/>
      <c r="B248" s="54" t="s">
        <v>230</v>
      </c>
      <c r="C248" s="93"/>
      <c r="D248" s="25"/>
      <c r="E248" s="94"/>
      <c r="F248" s="93"/>
      <c r="G248" s="93"/>
      <c r="H248" s="93"/>
      <c r="I248" s="93"/>
      <c r="J248" s="93"/>
      <c r="K248" s="93"/>
      <c r="L248" s="54">
        <v>0</v>
      </c>
      <c r="M248" s="136">
        <v>0</v>
      </c>
      <c r="N248" s="53">
        <v>0</v>
      </c>
      <c r="O248" s="136">
        <v>0</v>
      </c>
      <c r="P248" s="25"/>
      <c r="Q248" s="25"/>
      <c r="R248" s="5"/>
    </row>
    <row r="249" spans="1:18" ht="15.6" x14ac:dyDescent="0.3">
      <c r="A249" s="24"/>
      <c r="B249" s="54" t="s">
        <v>231</v>
      </c>
      <c r="C249" s="93"/>
      <c r="D249" s="25"/>
      <c r="E249" s="94"/>
      <c r="F249" s="93"/>
      <c r="G249" s="93"/>
      <c r="H249" s="93"/>
      <c r="I249" s="93"/>
      <c r="J249" s="93"/>
      <c r="K249" s="93"/>
      <c r="L249" s="54">
        <v>1</v>
      </c>
      <c r="M249" s="94">
        <f>+L249/L250</f>
        <v>1</v>
      </c>
      <c r="N249" s="53">
        <v>36</v>
      </c>
      <c r="O249" s="136">
        <f>+N249/N250</f>
        <v>1</v>
      </c>
      <c r="P249" s="25"/>
      <c r="Q249" s="25"/>
      <c r="R249" s="5"/>
    </row>
    <row r="250" spans="1:18" ht="15.6" x14ac:dyDescent="0.3">
      <c r="A250" s="24"/>
      <c r="B250" s="25" t="s">
        <v>129</v>
      </c>
      <c r="C250" s="25"/>
      <c r="D250" s="25"/>
      <c r="E250" s="25"/>
      <c r="F250" s="95"/>
      <c r="G250" s="95"/>
      <c r="H250" s="95"/>
      <c r="I250" s="95"/>
      <c r="J250" s="95"/>
      <c r="K250" s="95"/>
      <c r="L250" s="34">
        <f>SUM(L242:L249)</f>
        <v>1</v>
      </c>
      <c r="M250" s="136">
        <f>SUM(M242:M249)</f>
        <v>1</v>
      </c>
      <c r="N250" s="53">
        <f>SUM(N242:N249)</f>
        <v>36</v>
      </c>
      <c r="O250" s="136">
        <f>SUM(O242:O249)</f>
        <v>1</v>
      </c>
      <c r="P250" s="25"/>
      <c r="Q250" s="25"/>
      <c r="R250" s="5"/>
    </row>
    <row r="251" spans="1:18" ht="15.6" x14ac:dyDescent="0.3">
      <c r="A251" s="24"/>
      <c r="B251" s="25"/>
      <c r="C251" s="25"/>
      <c r="D251" s="25"/>
      <c r="E251" s="25"/>
      <c r="F251" s="95"/>
      <c r="G251" s="95"/>
      <c r="H251" s="95"/>
      <c r="I251" s="95"/>
      <c r="J251" s="95"/>
      <c r="K251" s="95"/>
      <c r="L251" s="34"/>
      <c r="M251" s="136"/>
      <c r="N251" s="53"/>
      <c r="O251" s="136"/>
      <c r="P251" s="25"/>
      <c r="Q251" s="25"/>
      <c r="R251" s="5"/>
    </row>
    <row r="252" spans="1:18" ht="15.6" x14ac:dyDescent="0.3">
      <c r="A252" s="24"/>
      <c r="B252" s="152" t="s">
        <v>240</v>
      </c>
      <c r="C252" s="25"/>
      <c r="D252" s="25"/>
      <c r="E252" s="25"/>
      <c r="F252" s="95"/>
      <c r="G252" s="95"/>
      <c r="H252" s="95"/>
      <c r="I252" s="95"/>
      <c r="J252" s="95"/>
      <c r="K252" s="95"/>
      <c r="L252" s="173">
        <f>+L228+L239+L250</f>
        <v>7018</v>
      </c>
      <c r="M252" s="136"/>
      <c r="N252" s="153">
        <f>+N250+N239+N228</f>
        <v>661236</v>
      </c>
      <c r="O252" s="136"/>
      <c r="P252" s="25"/>
      <c r="Q252" s="25"/>
      <c r="R252" s="5"/>
    </row>
    <row r="253" spans="1:18" ht="15.6" x14ac:dyDescent="0.3">
      <c r="A253" s="24"/>
      <c r="B253" s="25"/>
      <c r="C253" s="25"/>
      <c r="D253" s="25"/>
      <c r="E253" s="25"/>
      <c r="F253" s="95"/>
      <c r="G253" s="95"/>
      <c r="H253" s="95"/>
      <c r="I253" s="95"/>
      <c r="J253" s="95"/>
      <c r="K253" s="95"/>
      <c r="L253" s="95"/>
      <c r="M253" s="95"/>
      <c r="N253" s="53"/>
      <c r="O253" s="95"/>
      <c r="P253" s="25"/>
      <c r="Q253" s="25"/>
      <c r="R253" s="5"/>
    </row>
    <row r="254" spans="1:18" ht="15.6" x14ac:dyDescent="0.3">
      <c r="A254" s="6"/>
      <c r="B254" s="8"/>
      <c r="C254" s="8"/>
      <c r="D254" s="8"/>
      <c r="E254" s="8"/>
      <c r="F254" s="96"/>
      <c r="G254" s="96"/>
      <c r="H254" s="96"/>
      <c r="I254" s="96"/>
      <c r="J254" s="96"/>
      <c r="K254" s="96"/>
      <c r="L254" s="96"/>
      <c r="M254" s="96"/>
      <c r="N254" s="97"/>
      <c r="O254" s="96"/>
      <c r="P254" s="8"/>
      <c r="Q254" s="8"/>
      <c r="R254" s="5"/>
    </row>
    <row r="255" spans="1:18" ht="15.6" x14ac:dyDescent="0.3">
      <c r="A255" s="145"/>
      <c r="B255" s="14" t="s">
        <v>234</v>
      </c>
      <c r="C255" s="15"/>
      <c r="D255" s="17"/>
      <c r="E255" s="15"/>
      <c r="F255" s="14"/>
      <c r="G255" s="140"/>
      <c r="H255" s="140"/>
      <c r="I255" s="140"/>
      <c r="J255" s="140"/>
      <c r="K255" s="140"/>
      <c r="L255" s="140"/>
      <c r="M255" s="140"/>
      <c r="N255" s="140"/>
      <c r="O255" s="140"/>
      <c r="P255" s="140"/>
      <c r="Q255" s="140"/>
      <c r="R255" s="5"/>
    </row>
    <row r="256" spans="1:18" ht="15.6" x14ac:dyDescent="0.3">
      <c r="A256" s="145"/>
      <c r="B256" s="140"/>
      <c r="C256" s="8"/>
      <c r="D256" s="8"/>
      <c r="E256" s="8"/>
      <c r="F256" s="8"/>
      <c r="G256" s="140"/>
      <c r="H256" s="140"/>
      <c r="I256" s="140"/>
      <c r="J256" s="140"/>
      <c r="K256" s="140"/>
      <c r="L256" s="140"/>
      <c r="M256" s="140"/>
      <c r="N256" s="140"/>
      <c r="O256" s="140"/>
      <c r="P256" s="140"/>
      <c r="Q256" s="140"/>
      <c r="R256" s="5"/>
    </row>
    <row r="257" spans="1:18" ht="15.6" x14ac:dyDescent="0.3">
      <c r="A257" s="145"/>
      <c r="B257" s="13" t="s">
        <v>232</v>
      </c>
      <c r="C257" s="13"/>
      <c r="D257" s="134"/>
      <c r="E257" s="13"/>
      <c r="F257" s="13"/>
      <c r="G257" s="140"/>
      <c r="H257" s="140"/>
      <c r="I257" s="140"/>
      <c r="J257" s="140"/>
      <c r="K257" s="140"/>
      <c r="L257" s="140"/>
      <c r="M257" s="140"/>
      <c r="N257" s="140"/>
      <c r="O257" s="140"/>
      <c r="P257" s="140"/>
      <c r="Q257" s="140"/>
      <c r="R257" s="5"/>
    </row>
    <row r="258" spans="1:18" ht="15.6" x14ac:dyDescent="0.3">
      <c r="A258" s="145"/>
      <c r="B258" s="13" t="s">
        <v>233</v>
      </c>
      <c r="C258" s="13"/>
      <c r="D258" s="134"/>
      <c r="E258" s="13"/>
      <c r="F258" s="13"/>
      <c r="G258" s="140"/>
      <c r="H258" s="140"/>
      <c r="I258" s="140"/>
      <c r="J258" s="140"/>
      <c r="K258" s="140"/>
      <c r="L258" s="140"/>
      <c r="M258" s="140"/>
      <c r="N258" s="140"/>
      <c r="O258" s="140"/>
      <c r="P258" s="140"/>
      <c r="Q258" s="140"/>
      <c r="R258" s="5"/>
    </row>
    <row r="259" spans="1:18" ht="15.6" x14ac:dyDescent="0.3">
      <c r="A259" s="145"/>
      <c r="B259" s="13"/>
      <c r="C259" s="13"/>
      <c r="D259" s="13"/>
      <c r="E259" s="99"/>
      <c r="F259" s="140"/>
      <c r="G259" s="140"/>
      <c r="H259" s="140"/>
      <c r="I259" s="140"/>
      <c r="J259" s="140"/>
      <c r="K259" s="140"/>
      <c r="L259" s="140"/>
      <c r="M259" s="140"/>
      <c r="N259" s="140"/>
      <c r="O259" s="140"/>
      <c r="P259" s="140"/>
      <c r="Q259" s="140"/>
      <c r="R259" s="5"/>
    </row>
    <row r="260" spans="1:18" ht="15.6" x14ac:dyDescent="0.3">
      <c r="A260" s="145"/>
      <c r="B260" s="13"/>
      <c r="C260" s="13"/>
      <c r="D260" s="13"/>
      <c r="E260" s="99"/>
      <c r="F260" s="140"/>
      <c r="G260" s="140"/>
      <c r="H260" s="140"/>
      <c r="I260" s="140"/>
      <c r="J260" s="140"/>
      <c r="K260" s="140"/>
      <c r="L260" s="140"/>
      <c r="M260" s="140"/>
      <c r="N260" s="140"/>
      <c r="O260" s="140"/>
      <c r="P260" s="140"/>
      <c r="Q260" s="140"/>
      <c r="R260" s="5"/>
    </row>
    <row r="261" spans="1:18" ht="18" thickBot="1" x14ac:dyDescent="0.35">
      <c r="A261" s="145"/>
      <c r="B261" s="49" t="str">
        <f>B180</f>
        <v>PM7 INVESTOR REPORT QUARTER ENDING OCTOBER 2006</v>
      </c>
      <c r="C261" s="13"/>
      <c r="D261" s="13"/>
      <c r="E261" s="99"/>
      <c r="F261" s="140"/>
      <c r="G261" s="140"/>
      <c r="H261" s="140"/>
      <c r="I261" s="140"/>
      <c r="J261" s="140"/>
      <c r="K261" s="140"/>
      <c r="L261" s="140"/>
      <c r="M261" s="140"/>
      <c r="N261" s="140"/>
      <c r="O261" s="140"/>
      <c r="P261" s="140"/>
      <c r="Q261" s="140"/>
      <c r="R261" s="5"/>
    </row>
    <row r="262" spans="1:18" x14ac:dyDescent="0.25">
      <c r="A262" s="100"/>
      <c r="B262" s="100"/>
      <c r="C262" s="100"/>
      <c r="D262" s="100"/>
      <c r="E262" s="100"/>
      <c r="F262" s="100"/>
      <c r="G262" s="100"/>
      <c r="H262" s="100"/>
      <c r="I262" s="100"/>
      <c r="J262" s="100"/>
      <c r="K262" s="100"/>
      <c r="L262" s="100"/>
      <c r="M262" s="100"/>
      <c r="N262" s="100"/>
      <c r="O262" s="100"/>
      <c r="P262" s="100"/>
      <c r="Q262" s="100"/>
    </row>
  </sheetData>
  <phoneticPr fontId="0" type="noConversion"/>
  <hyperlinks>
    <hyperlink ref="H9" r:id="rId1"/>
    <hyperlink ref="J217" r:id="rId2"/>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5" max="14" man="1"/>
    <brk id="130" max="14" man="1"/>
    <brk id="180" max="14"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261</vt:i4>
      </vt:variant>
    </vt:vector>
  </HeadingPairs>
  <TitlesOfParts>
    <vt:vector size="313" baseType="lpstr">
      <vt:lpstr>Oct 04</vt:lpstr>
      <vt:lpstr>Jan 05</vt:lpstr>
      <vt:lpstr>April 05</vt:lpstr>
      <vt:lpstr>July 05</vt:lpstr>
      <vt:lpstr>Oct 05</vt:lpstr>
      <vt:lpstr>Jan 06</vt:lpstr>
      <vt:lpstr>April 06</vt:lpstr>
      <vt:lpstr>July 06</vt:lpstr>
      <vt:lpstr>Oct 06</vt:lpstr>
      <vt:lpstr>Jan 07</vt:lpstr>
      <vt:lpstr>April 07</vt:lpstr>
      <vt:lpstr>July 07</vt:lpstr>
      <vt:lpstr>Oct 07</vt:lpstr>
      <vt:lpstr>Jan 08</vt:lpstr>
      <vt:lpstr>April 08</vt:lpstr>
      <vt:lpstr>July 08</vt:lpstr>
      <vt:lpstr>Oct 08</vt:lpstr>
      <vt:lpstr>Jan 09</vt:lpstr>
      <vt:lpstr>April 09</vt:lpstr>
      <vt:lpstr>July 09</vt:lpstr>
      <vt:lpstr>Oct 09</vt:lpstr>
      <vt:lpstr>Jan 10</vt:lpstr>
      <vt:lpstr>April 10</vt:lpstr>
      <vt:lpstr>July 10</vt:lpstr>
      <vt:lpstr>Oct 10</vt:lpstr>
      <vt:lpstr>Jan 11</vt:lpstr>
      <vt:lpstr>April 11</vt:lpstr>
      <vt:lpstr>July 11</vt:lpstr>
      <vt:lpstr>Oct 11</vt:lpstr>
      <vt:lpstr>Jan 12</vt:lpstr>
      <vt:lpstr>April 12</vt:lpstr>
      <vt:lpstr>July 12</vt:lpstr>
      <vt:lpstr>Oct 12</vt:lpstr>
      <vt:lpstr>Jan 13</vt:lpstr>
      <vt:lpstr>April 13</vt:lpstr>
      <vt:lpstr>July 13</vt:lpstr>
      <vt:lpstr>Oct 13</vt:lpstr>
      <vt:lpstr>Jan 14</vt:lpstr>
      <vt:lpstr>April 14</vt:lpstr>
      <vt:lpstr>July 14</vt:lpstr>
      <vt:lpstr>Oct 14</vt:lpstr>
      <vt:lpstr>Jan 15</vt:lpstr>
      <vt:lpstr>April 15</vt:lpstr>
      <vt:lpstr>July 15</vt:lpstr>
      <vt:lpstr>Oct 15</vt:lpstr>
      <vt:lpstr>Jan 16</vt:lpstr>
      <vt:lpstr>April 16</vt:lpstr>
      <vt:lpstr>July 16</vt:lpstr>
      <vt:lpstr>Oct 16</vt:lpstr>
      <vt:lpstr>Jan 17</vt:lpstr>
      <vt:lpstr>April 17</vt:lpstr>
      <vt:lpstr>July 17</vt:lpstr>
      <vt:lpstr>'July 09'!_100PAGE_3</vt:lpstr>
      <vt:lpstr>'July 10'!_101PAGE_3</vt:lpstr>
      <vt:lpstr>'July 11'!_102PAGE_3</vt:lpstr>
      <vt:lpstr>'July 12'!_103PAGE_3</vt:lpstr>
      <vt:lpstr>'July 13'!_104PAGE_3</vt:lpstr>
      <vt:lpstr>'Oct 05'!_105PAGE_3</vt:lpstr>
      <vt:lpstr>'Oct 06'!_106PAGE_3</vt:lpstr>
      <vt:lpstr>'Oct 07'!_107PAGE_3</vt:lpstr>
      <vt:lpstr>'Oct 08'!_108PAGE_3</vt:lpstr>
      <vt:lpstr>'Oct 09'!_109PAGE_3</vt:lpstr>
      <vt:lpstr>'Jan 05'!_10PAGE_1</vt:lpstr>
      <vt:lpstr>'Oct 10'!_110PAGE_3</vt:lpstr>
      <vt:lpstr>'Oct 11'!_111PAGE_3</vt:lpstr>
      <vt:lpstr>'Oct 12'!_112PAGE_3</vt:lpstr>
      <vt:lpstr>'Oct 13'!_113PAGE_3</vt:lpstr>
      <vt:lpstr>_114PAGE_3</vt:lpstr>
      <vt:lpstr>'April 05'!_115PAGE_4</vt:lpstr>
      <vt:lpstr>'April 06'!_116PAGE_4</vt:lpstr>
      <vt:lpstr>'April 07'!_117PAGE_4</vt:lpstr>
      <vt:lpstr>'April 08'!_118PAGE_4</vt:lpstr>
      <vt:lpstr>'April 09'!_119PAGE_4</vt:lpstr>
      <vt:lpstr>'Jan 06'!_11PAGE_1</vt:lpstr>
      <vt:lpstr>'April 10'!_120PAGE_4</vt:lpstr>
      <vt:lpstr>'April 11'!_121PAGE_4</vt:lpstr>
      <vt:lpstr>'April 12'!_122PAGE_4</vt:lpstr>
      <vt:lpstr>'April 13'!_123PAGE_4</vt:lpstr>
      <vt:lpstr>'Jan 05'!_124PAGE_4</vt:lpstr>
      <vt:lpstr>'Jan 06'!_125PAGE_4</vt:lpstr>
      <vt:lpstr>'Jan 07'!_126PAGE_4</vt:lpstr>
      <vt:lpstr>'Jan 08'!_127PAGE_4</vt:lpstr>
      <vt:lpstr>'Jan 09'!_128PAGE_4</vt:lpstr>
      <vt:lpstr>'Jan 10'!_129PAGE_4</vt:lpstr>
      <vt:lpstr>'Jan 07'!_12PAGE_1</vt:lpstr>
      <vt:lpstr>'Jan 11'!_130PAGE_4</vt:lpstr>
      <vt:lpstr>'Jan 12'!_131PAGE_4</vt:lpstr>
      <vt:lpstr>'Jan 13'!_132PAGE_4</vt:lpstr>
      <vt:lpstr>'April 14'!_133PAGE_4</vt:lpstr>
      <vt:lpstr>'April 15'!_133PAGE_4</vt:lpstr>
      <vt:lpstr>'April 16'!_133PAGE_4</vt:lpstr>
      <vt:lpstr>'April 17'!_133PAGE_4</vt:lpstr>
      <vt:lpstr>'Jan 14'!_133PAGE_4</vt:lpstr>
      <vt:lpstr>'Jan 15'!_133PAGE_4</vt:lpstr>
      <vt:lpstr>'Jan 16'!_133PAGE_4</vt:lpstr>
      <vt:lpstr>'Jan 17'!_133PAGE_4</vt:lpstr>
      <vt:lpstr>'July 14'!_133PAGE_4</vt:lpstr>
      <vt:lpstr>'July 15'!_133PAGE_4</vt:lpstr>
      <vt:lpstr>'July 16'!_133PAGE_4</vt:lpstr>
      <vt:lpstr>'July 17'!_133PAGE_4</vt:lpstr>
      <vt:lpstr>'Oct 14'!_133PAGE_4</vt:lpstr>
      <vt:lpstr>'Oct 15'!_133PAGE_4</vt:lpstr>
      <vt:lpstr>'Oct 16'!_133PAGE_4</vt:lpstr>
      <vt:lpstr>'July 05'!_134PAGE_4</vt:lpstr>
      <vt:lpstr>'July 06'!_135PAGE_4</vt:lpstr>
      <vt:lpstr>'July 07'!_136PAGE_4</vt:lpstr>
      <vt:lpstr>'July 08'!_137PAGE_4</vt:lpstr>
      <vt:lpstr>'July 09'!_138PAGE_4</vt:lpstr>
      <vt:lpstr>'July 10'!_139PAGE_4</vt:lpstr>
      <vt:lpstr>'Jan 08'!_13PAGE_1</vt:lpstr>
      <vt:lpstr>'July 11'!_140PAGE_4</vt:lpstr>
      <vt:lpstr>'July 12'!_141PAGE_4</vt:lpstr>
      <vt:lpstr>'July 13'!_142PAGE_4</vt:lpstr>
      <vt:lpstr>'Oct 05'!_143PAGE_4</vt:lpstr>
      <vt:lpstr>'Oct 06'!_144PAGE_4</vt:lpstr>
      <vt:lpstr>'Oct 07'!_145PAGE_4</vt:lpstr>
      <vt:lpstr>'Oct 08'!_146PAGE_4</vt:lpstr>
      <vt:lpstr>'Oct 09'!_147PAGE_4</vt:lpstr>
      <vt:lpstr>'Oct 10'!_148PAGE_4</vt:lpstr>
      <vt:lpstr>'Oct 11'!_149PAGE_4</vt:lpstr>
      <vt:lpstr>'Jan 09'!_14PAGE_1</vt:lpstr>
      <vt:lpstr>'Oct 12'!_150PAGE_4</vt:lpstr>
      <vt:lpstr>'Oct 13'!_151PAGE_4</vt:lpstr>
      <vt:lpstr>_152PAGE_4</vt:lpstr>
      <vt:lpstr>'Jan 10'!_15PAGE_1</vt:lpstr>
      <vt:lpstr>'Jan 11'!_16PAGE_1</vt:lpstr>
      <vt:lpstr>'Jan 12'!_17PAGE_1</vt:lpstr>
      <vt:lpstr>'Jan 13'!_18PAGE_1</vt:lpstr>
      <vt:lpstr>'April 14'!_19PAGE_1</vt:lpstr>
      <vt:lpstr>'April 15'!_19PAGE_1</vt:lpstr>
      <vt:lpstr>'April 16'!_19PAGE_1</vt:lpstr>
      <vt:lpstr>'April 17'!_19PAGE_1</vt:lpstr>
      <vt:lpstr>'Jan 14'!_19PAGE_1</vt:lpstr>
      <vt:lpstr>'Jan 15'!_19PAGE_1</vt:lpstr>
      <vt:lpstr>'Jan 16'!_19PAGE_1</vt:lpstr>
      <vt:lpstr>'Jan 17'!_19PAGE_1</vt:lpstr>
      <vt:lpstr>'July 14'!_19PAGE_1</vt:lpstr>
      <vt:lpstr>'July 15'!_19PAGE_1</vt:lpstr>
      <vt:lpstr>'July 16'!_19PAGE_1</vt:lpstr>
      <vt:lpstr>'July 17'!_19PAGE_1</vt:lpstr>
      <vt:lpstr>'Oct 14'!_19PAGE_1</vt:lpstr>
      <vt:lpstr>'Oct 15'!_19PAGE_1</vt:lpstr>
      <vt:lpstr>'Oct 16'!_19PAGE_1</vt:lpstr>
      <vt:lpstr>'April 05'!_1PAGE_1</vt:lpstr>
      <vt:lpstr>'July 05'!_20PAGE_1</vt:lpstr>
      <vt:lpstr>'July 06'!_21PAGE_1</vt:lpstr>
      <vt:lpstr>'July 07'!_22PAGE_1</vt:lpstr>
      <vt:lpstr>'July 08'!_23PAGE_1</vt:lpstr>
      <vt:lpstr>'July 09'!_24PAGE_1</vt:lpstr>
      <vt:lpstr>'July 10'!_25PAGE_1</vt:lpstr>
      <vt:lpstr>'July 11'!_26PAGE_1</vt:lpstr>
      <vt:lpstr>'July 12'!_27PAGE_1</vt:lpstr>
      <vt:lpstr>'July 13'!_28PAGE_1</vt:lpstr>
      <vt:lpstr>'Oct 05'!_29PAGE_1</vt:lpstr>
      <vt:lpstr>'April 06'!_2PAGE_1</vt:lpstr>
      <vt:lpstr>'Oct 06'!_30PAGE_1</vt:lpstr>
      <vt:lpstr>'Oct 07'!_31PAGE_1</vt:lpstr>
      <vt:lpstr>'Oct 08'!_32PAGE_1</vt:lpstr>
      <vt:lpstr>'Oct 09'!_33PAGE_1</vt:lpstr>
      <vt:lpstr>'Oct 10'!_34PAGE_1</vt:lpstr>
      <vt:lpstr>'Oct 11'!_35PAGE_1</vt:lpstr>
      <vt:lpstr>'Oct 12'!_36PAGE_1</vt:lpstr>
      <vt:lpstr>'Oct 13'!_37PAGE_1</vt:lpstr>
      <vt:lpstr>_38PAGE_1</vt:lpstr>
      <vt:lpstr>'April 05'!_39PAGE_2</vt:lpstr>
      <vt:lpstr>'April 07'!_3PAGE_1</vt:lpstr>
      <vt:lpstr>'April 06'!_40PAGE_2</vt:lpstr>
      <vt:lpstr>'April 07'!_41PAGE_2</vt:lpstr>
      <vt:lpstr>'April 08'!_42PAGE_2</vt:lpstr>
      <vt:lpstr>'April 09'!_43PAGE_2</vt:lpstr>
      <vt:lpstr>'April 10'!_44PAGE_2</vt:lpstr>
      <vt:lpstr>'April 11'!_45PAGE_2</vt:lpstr>
      <vt:lpstr>'April 12'!_46PAGE_2</vt:lpstr>
      <vt:lpstr>'April 13'!_47PAGE_2</vt:lpstr>
      <vt:lpstr>'Jan 05'!_48PAGE_2</vt:lpstr>
      <vt:lpstr>'Jan 06'!_49PAGE_2</vt:lpstr>
      <vt:lpstr>'April 08'!_4PAGE_1</vt:lpstr>
      <vt:lpstr>'Jan 07'!_50PAGE_2</vt:lpstr>
      <vt:lpstr>'Jan 08'!_51PAGE_2</vt:lpstr>
      <vt:lpstr>'Jan 09'!_52PAGE_2</vt:lpstr>
      <vt:lpstr>'Jan 10'!_53PAGE_2</vt:lpstr>
      <vt:lpstr>'Jan 11'!_54PAGE_2</vt:lpstr>
      <vt:lpstr>'Jan 12'!_55PAGE_2</vt:lpstr>
      <vt:lpstr>'Jan 13'!_56PAGE_2</vt:lpstr>
      <vt:lpstr>'April 14'!_57PAGE_2</vt:lpstr>
      <vt:lpstr>'April 15'!_57PAGE_2</vt:lpstr>
      <vt:lpstr>'April 16'!_57PAGE_2</vt:lpstr>
      <vt:lpstr>'April 17'!_57PAGE_2</vt:lpstr>
      <vt:lpstr>'Jan 14'!_57PAGE_2</vt:lpstr>
      <vt:lpstr>'Jan 15'!_57PAGE_2</vt:lpstr>
      <vt:lpstr>'Jan 16'!_57PAGE_2</vt:lpstr>
      <vt:lpstr>'Jan 17'!_57PAGE_2</vt:lpstr>
      <vt:lpstr>'July 14'!_57PAGE_2</vt:lpstr>
      <vt:lpstr>'July 15'!_57PAGE_2</vt:lpstr>
      <vt:lpstr>'July 16'!_57PAGE_2</vt:lpstr>
      <vt:lpstr>'July 17'!_57PAGE_2</vt:lpstr>
      <vt:lpstr>'Oct 14'!_57PAGE_2</vt:lpstr>
      <vt:lpstr>'Oct 15'!_57PAGE_2</vt:lpstr>
      <vt:lpstr>'Oct 16'!_57PAGE_2</vt:lpstr>
      <vt:lpstr>'July 05'!_58PAGE_2</vt:lpstr>
      <vt:lpstr>'July 06'!_59PAGE_2</vt:lpstr>
      <vt:lpstr>'April 09'!_5PAGE_1</vt:lpstr>
      <vt:lpstr>'July 07'!_60PAGE_2</vt:lpstr>
      <vt:lpstr>'July 08'!_61PAGE_2</vt:lpstr>
      <vt:lpstr>'July 09'!_62PAGE_2</vt:lpstr>
      <vt:lpstr>'July 10'!_63PAGE_2</vt:lpstr>
      <vt:lpstr>'July 11'!_64PAGE_2</vt:lpstr>
      <vt:lpstr>'July 12'!_65PAGE_2</vt:lpstr>
      <vt:lpstr>'July 13'!_66PAGE_2</vt:lpstr>
      <vt:lpstr>'Oct 05'!_67PAGE_2</vt:lpstr>
      <vt:lpstr>'Oct 06'!_68PAGE_2</vt:lpstr>
      <vt:lpstr>'Oct 07'!_69PAGE_2</vt:lpstr>
      <vt:lpstr>'April 10'!_6PAGE_1</vt:lpstr>
      <vt:lpstr>'Oct 08'!_70PAGE_2</vt:lpstr>
      <vt:lpstr>'Oct 09'!_71PAGE_2</vt:lpstr>
      <vt:lpstr>'Oct 10'!_72PAGE_2</vt:lpstr>
      <vt:lpstr>'Oct 11'!_73PAGE_2</vt:lpstr>
      <vt:lpstr>'Oct 12'!_74PAGE_2</vt:lpstr>
      <vt:lpstr>'Oct 13'!_75PAGE_2</vt:lpstr>
      <vt:lpstr>_76PAGE_2</vt:lpstr>
      <vt:lpstr>'April 05'!_77PAGE_3</vt:lpstr>
      <vt:lpstr>'April 06'!_78PAGE_3</vt:lpstr>
      <vt:lpstr>'April 07'!_79PAGE_3</vt:lpstr>
      <vt:lpstr>'April 11'!_7PAGE_1</vt:lpstr>
      <vt:lpstr>'April 08'!_80PAGE_3</vt:lpstr>
      <vt:lpstr>'April 09'!_81PAGE_3</vt:lpstr>
      <vt:lpstr>'April 10'!_82PAGE_3</vt:lpstr>
      <vt:lpstr>'April 11'!_83PAGE_3</vt:lpstr>
      <vt:lpstr>'April 12'!_84PAGE_3</vt:lpstr>
      <vt:lpstr>'April 13'!_85PAGE_3</vt:lpstr>
      <vt:lpstr>'Jan 05'!_86PAGE_3</vt:lpstr>
      <vt:lpstr>'Jan 06'!_87PAGE_3</vt:lpstr>
      <vt:lpstr>'Jan 07'!_88PAGE_3</vt:lpstr>
      <vt:lpstr>'Jan 08'!_89PAGE_3</vt:lpstr>
      <vt:lpstr>'April 12'!_8PAGE_1</vt:lpstr>
      <vt:lpstr>'Jan 09'!_90PAGE_3</vt:lpstr>
      <vt:lpstr>'Jan 10'!_91PAGE_3</vt:lpstr>
      <vt:lpstr>'Jan 11'!_92PAGE_3</vt:lpstr>
      <vt:lpstr>'Jan 12'!_93PAGE_3</vt:lpstr>
      <vt:lpstr>'Jan 13'!_94PAGE_3</vt:lpstr>
      <vt:lpstr>'April 14'!_95PAGE_3</vt:lpstr>
      <vt:lpstr>'April 15'!_95PAGE_3</vt:lpstr>
      <vt:lpstr>'April 16'!_95PAGE_3</vt:lpstr>
      <vt:lpstr>'April 17'!_95PAGE_3</vt:lpstr>
      <vt:lpstr>'Jan 14'!_95PAGE_3</vt:lpstr>
      <vt:lpstr>'Jan 15'!_95PAGE_3</vt:lpstr>
      <vt:lpstr>'Jan 16'!_95PAGE_3</vt:lpstr>
      <vt:lpstr>'Jan 17'!_95PAGE_3</vt:lpstr>
      <vt:lpstr>'July 14'!_95PAGE_3</vt:lpstr>
      <vt:lpstr>'July 15'!_95PAGE_3</vt:lpstr>
      <vt:lpstr>'July 16'!_95PAGE_3</vt:lpstr>
      <vt:lpstr>'July 17'!_95PAGE_3</vt:lpstr>
      <vt:lpstr>'Oct 14'!_95PAGE_3</vt:lpstr>
      <vt:lpstr>'Oct 15'!_95PAGE_3</vt:lpstr>
      <vt:lpstr>'Oct 16'!_95PAGE_3</vt:lpstr>
      <vt:lpstr>'July 05'!_96PAGE_3</vt:lpstr>
      <vt:lpstr>'July 06'!_97PAGE_3</vt:lpstr>
      <vt:lpstr>'July 07'!_98PAGE_3</vt:lpstr>
      <vt:lpstr>'July 08'!_99PAGE_3</vt:lpstr>
      <vt:lpstr>'April 13'!_9PAGE_1</vt:lpstr>
      <vt:lpstr>'April 05'!Print_Area</vt:lpstr>
      <vt:lpstr>'April 06'!Print_Area</vt:lpstr>
      <vt:lpstr>'April 07'!Print_Area</vt:lpstr>
      <vt:lpstr>'April 08'!Print_Area</vt:lpstr>
      <vt:lpstr>'April 09'!Print_Area</vt:lpstr>
      <vt:lpstr>'April 10'!Print_Area</vt:lpstr>
      <vt:lpstr>'April 11'!Print_Area</vt:lpstr>
      <vt:lpstr>'April 12'!Print_Area</vt:lpstr>
      <vt:lpstr>'April 13'!Print_Area</vt:lpstr>
      <vt:lpstr>'April 14'!Print_Area</vt:lpstr>
      <vt:lpstr>'April 15'!Print_Area</vt:lpstr>
      <vt:lpstr>'April 16'!Print_Area</vt:lpstr>
      <vt:lpstr>'April 17'!Print_Area</vt:lpstr>
      <vt:lpstr>'Jan 05'!Print_Area</vt:lpstr>
      <vt:lpstr>'Jan 06'!Print_Area</vt:lpstr>
      <vt:lpstr>'Jan 07'!Print_Area</vt:lpstr>
      <vt:lpstr>'Jan 08'!Print_Area</vt:lpstr>
      <vt:lpstr>'Jan 09'!Print_Area</vt:lpstr>
      <vt:lpstr>'Jan 10'!Print_Area</vt:lpstr>
      <vt:lpstr>'Jan 11'!Print_Area</vt:lpstr>
      <vt:lpstr>'Jan 12'!Print_Area</vt:lpstr>
      <vt:lpstr>'Jan 13'!Print_Area</vt:lpstr>
      <vt:lpstr>'Jan 14'!Print_Area</vt:lpstr>
      <vt:lpstr>'Jan 15'!Print_Area</vt:lpstr>
      <vt:lpstr>'Jan 16'!Print_Area</vt:lpstr>
      <vt:lpstr>'Jan 17'!Print_Area</vt:lpstr>
      <vt:lpstr>'July 05'!Print_Area</vt:lpstr>
      <vt:lpstr>'July 06'!Print_Area</vt:lpstr>
      <vt:lpstr>'July 07'!Print_Area</vt:lpstr>
      <vt:lpstr>'July 08'!Print_Area</vt:lpstr>
      <vt:lpstr>'July 09'!Print_Area</vt:lpstr>
      <vt:lpstr>'July 10'!Print_Area</vt:lpstr>
      <vt:lpstr>'July 11'!Print_Area</vt:lpstr>
      <vt:lpstr>'July 12'!Print_Area</vt:lpstr>
      <vt:lpstr>'July 13'!Print_Area</vt:lpstr>
      <vt:lpstr>'July 14'!Print_Area</vt:lpstr>
      <vt:lpstr>'July 15'!Print_Area</vt:lpstr>
      <vt:lpstr>'July 16'!Print_Area</vt:lpstr>
      <vt:lpstr>'July 17'!Print_Area</vt:lpstr>
      <vt:lpstr>'Oct 04'!Print_Area</vt:lpstr>
      <vt:lpstr>'Oct 05'!Print_Area</vt:lpstr>
      <vt:lpstr>'Oct 06'!Print_Area</vt:lpstr>
      <vt:lpstr>'Oct 07'!Print_Area</vt:lpstr>
      <vt:lpstr>'Oct 08'!Print_Area</vt:lpstr>
      <vt:lpstr>'Oct 09'!Print_Area</vt:lpstr>
      <vt:lpstr>'Oct 10'!Print_Area</vt:lpstr>
      <vt:lpstr>'Oct 11'!Print_Area</vt:lpstr>
      <vt:lpstr>'Oct 12'!Print_Area</vt:lpstr>
      <vt:lpstr>'Oct 13'!Print_Area</vt:lpstr>
      <vt:lpstr>'Oct 14'!Print_Area</vt:lpstr>
      <vt:lpstr>'Oct 15'!Print_Area</vt:lpstr>
      <vt:lpstr>'Oct 16'!Print_Area</vt:lpstr>
      <vt:lp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2017-05-15T08:02:06Z</cp:lastPrinted>
  <dcterms:created xsi:type="dcterms:W3CDTF">2003-11-18T07:58:35Z</dcterms:created>
  <dcterms:modified xsi:type="dcterms:W3CDTF">2017-08-17T13:22:52Z</dcterms:modified>
</cp:coreProperties>
</file>