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70" yWindow="0" windowWidth="8415" windowHeight="8340" firstSheet="2" activeTab="11"/>
  </bookViews>
  <sheets>
    <sheet name="Aug 03" sheetId="1" r:id="rId1"/>
    <sheet name="Nov 03" sheetId="2" r:id="rId2"/>
    <sheet name="Feb 04" sheetId="3" r:id="rId3"/>
    <sheet name="May 04" sheetId="4" r:id="rId4"/>
    <sheet name="Aug 04" sheetId="5" r:id="rId5"/>
    <sheet name="Nov 04" sheetId="6" r:id="rId6"/>
    <sheet name="Feb 05" sheetId="7" r:id="rId7"/>
    <sheet name="May 05" sheetId="8" r:id="rId8"/>
    <sheet name="Aug 05" sheetId="9" r:id="rId9"/>
    <sheet name="Nov 05" sheetId="10" r:id="rId10"/>
    <sheet name="Feb 06" sheetId="11" r:id="rId11"/>
    <sheet name="May 06" sheetId="12" r:id="rId12"/>
  </sheets>
  <definedNames>
    <definedName name="PAGE1" localSheetId="4">'Aug 04'!$A$1:$N$51</definedName>
    <definedName name="PAGE1" localSheetId="8">'Aug 05'!$A$1:$N$52</definedName>
    <definedName name="PAGE1" localSheetId="2">'Feb 04'!$A$1:$N$51</definedName>
    <definedName name="PAGE1" localSheetId="6">'Feb 05'!$A$1:$N$51</definedName>
    <definedName name="PAGE1" localSheetId="10">'Feb 06'!$A$1:$N$52</definedName>
    <definedName name="PAGE1" localSheetId="3">'May 04'!$A$1:$N$51</definedName>
    <definedName name="PAGE1" localSheetId="7">'May 05'!$A$1:$N$52</definedName>
    <definedName name="PAGE1" localSheetId="11">'May 06'!$A$1:$N$52</definedName>
    <definedName name="PAGE1" localSheetId="1">'Nov 03'!$A$1:$N$51</definedName>
    <definedName name="PAGE1" localSheetId="5">'Nov 04'!$A$1:$N$51</definedName>
    <definedName name="PAGE1" localSheetId="9">'Nov 05'!$A$1:$N$52</definedName>
    <definedName name="PAGE1">'Aug 03'!$A$1:$N$51</definedName>
    <definedName name="PAGE2" localSheetId="4">'Aug 04'!$A$52:$N$106</definedName>
    <definedName name="PAGE2" localSheetId="8">'Aug 05'!$A$53:$N$107</definedName>
    <definedName name="PAGE2" localSheetId="2">'Feb 04'!$A$52:$N$106</definedName>
    <definedName name="PAGE2" localSheetId="6">'Feb 05'!$A$52:$N$106</definedName>
    <definedName name="PAGE2" localSheetId="10">'Feb 06'!$A$53:$N$110</definedName>
    <definedName name="PAGE2" localSheetId="3">'May 04'!$A$52:$N$106</definedName>
    <definedName name="PAGE2" localSheetId="7">'May 05'!$A$53:$N$107</definedName>
    <definedName name="PAGE2" localSheetId="11">'May 06'!$A$53:$N$111</definedName>
    <definedName name="PAGE2" localSheetId="1">'Nov 03'!$A$52:$N$106</definedName>
    <definedName name="PAGE2" localSheetId="5">'Nov 04'!$A$52:$N$106</definedName>
    <definedName name="PAGE2" localSheetId="9">'Nov 05'!$A$53:$N$110</definedName>
    <definedName name="PAGE2">'Aug 03'!$A$52:$N$106</definedName>
    <definedName name="PAGE3" localSheetId="4">'Aug 04'!$A$107:$N$156</definedName>
    <definedName name="PAGE3" localSheetId="8">'Aug 05'!$A$108:$N$157</definedName>
    <definedName name="PAGE3" localSheetId="2">'Feb 04'!$A$107:$N$156</definedName>
    <definedName name="PAGE3" localSheetId="6">'Feb 05'!$A$107:$N$156</definedName>
    <definedName name="PAGE3" localSheetId="10">'Feb 06'!$A$111:$N$160</definedName>
    <definedName name="PAGE3" localSheetId="3">'May 04'!$A$107:$N$156</definedName>
    <definedName name="PAGE3" localSheetId="7">'May 05'!$A$108:$N$157</definedName>
    <definedName name="PAGE3" localSheetId="11">'May 06'!$A$112:$N$162</definedName>
    <definedName name="PAGE3" localSheetId="1">'Nov 03'!$A$107:$N$156</definedName>
    <definedName name="PAGE3" localSheetId="5">'Nov 04'!$A$107:$N$156</definedName>
    <definedName name="PAGE3" localSheetId="9">'Nov 05'!$A$111:$N$160</definedName>
    <definedName name="PAGE3">'Aug 03'!$A$107:$N$156</definedName>
    <definedName name="PAGE4" localSheetId="4">'Aug 04'!$A$157:$N$203</definedName>
    <definedName name="PAGE4" localSheetId="8">'Aug 05'!$A$158:$N$235</definedName>
    <definedName name="PAGE4" localSheetId="2">'Feb 04'!$A$157:$N$203</definedName>
    <definedName name="PAGE4" localSheetId="6">'Feb 05'!$A$157:$N$208</definedName>
    <definedName name="PAGE4" localSheetId="10">'Feb 06'!$A$161:$N$242</definedName>
    <definedName name="PAGE4" localSheetId="3">'May 04'!$A$157:$N$203</definedName>
    <definedName name="PAGE4" localSheetId="7">'May 05'!$A$158:$N$233</definedName>
    <definedName name="PAGE4" localSheetId="11">'May 06'!$A$163:$N$244</definedName>
    <definedName name="PAGE4" localSheetId="1">'Nov 03'!$A$157:$N$202</definedName>
    <definedName name="PAGE4" localSheetId="5">'Nov 04'!$A$157:$N$203</definedName>
    <definedName name="PAGE4" localSheetId="9">'Nov 05'!$A$161:$N$242</definedName>
    <definedName name="PAGE4">'Aug 03'!$A$157:$N$202</definedName>
    <definedName name="_xlnm.Print_Area" localSheetId="0">'Aug 03'!$A$1:$O$203</definedName>
    <definedName name="_xlnm.Print_Area" localSheetId="4">'Aug 04'!$A$1:$O$204</definedName>
    <definedName name="_xlnm.Print_Area" localSheetId="8">'Aug 05'!$A$1:$O$236</definedName>
    <definedName name="_xlnm.Print_Area" localSheetId="2">'Feb 04'!$A$1:$O$204</definedName>
    <definedName name="_xlnm.Print_Area" localSheetId="6">'Feb 05'!$A$1:$O$209</definedName>
    <definedName name="_xlnm.Print_Area" localSheetId="10">'Feb 06'!$A$1:$O$243</definedName>
    <definedName name="_xlnm.Print_Area" localSheetId="3">'May 04'!$A$1:$O$204</definedName>
    <definedName name="_xlnm.Print_Area" localSheetId="7">'May 05'!$A$1:$O$234</definedName>
    <definedName name="_xlnm.Print_Area" localSheetId="11">'May 06'!$A$1:$O$245</definedName>
    <definedName name="_xlnm.Print_Area" localSheetId="1">'Nov 03'!$A$1:$O$203</definedName>
    <definedName name="_xlnm.Print_Area" localSheetId="5">'Nov 04'!$A$1:$O$204</definedName>
    <definedName name="_xlnm.Print_Area" localSheetId="9">'Nov 05'!$A$1:$O$243</definedName>
    <definedName name="_xlnm.Print_Area">'Aug 03'!$A$1:$N$51</definedName>
  </definedNames>
  <calcPr fullCalcOnLoad="1"/>
</workbook>
</file>

<file path=xl/sharedStrings.xml><?xml version="1.0" encoding="utf-8"?>
<sst xmlns="http://schemas.openxmlformats.org/spreadsheetml/2006/main" count="2878" uniqueCount="242">
  <si>
    <t>This performance report is issued by Paragon Finance PLC for and on behalf of Paragon Mortgages (No.5)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</si>
  <si>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</si>
  <si>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</si>
  <si>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</si>
  <si>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</si>
  <si>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</si>
  <si>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</si>
  <si>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Originator % at Closing</t>
  </si>
  <si>
    <t xml:space="preserve">Originator % at the Quarter End </t>
  </si>
  <si>
    <t>Date of Issue</t>
  </si>
  <si>
    <t>Date of Production</t>
  </si>
  <si>
    <t>Security Level Data</t>
  </si>
  <si>
    <t>Moody's Rating at Closing</t>
  </si>
  <si>
    <t>Standard &amp; Poor's Rating at Closing</t>
  </si>
  <si>
    <t>Current Moody's Rating</t>
  </si>
  <si>
    <t>Current Standard &amp; Poors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</si>
  <si>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</si>
  <si>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</si>
  <si>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</si>
  <si>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</si>
  <si>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</si>
  <si>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</si>
  <si>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</si>
  <si>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</si>
  <si>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</si>
  <si>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</si>
  <si>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</si>
  <si>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</si>
  <si>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</si>
  <si>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</si>
  <si>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</si>
  <si>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</si>
  <si>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</si>
  <si>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</si>
  <si>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</si>
  <si>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PM5 INVESTOR REPORT QUARTER ENDING AUGUST 2003</t>
  </si>
  <si>
    <t>Asset Movements</t>
  </si>
  <si>
    <t>Mortgages</t>
  </si>
  <si>
    <t>Current Principal Balance (£'000)</t>
  </si>
  <si>
    <t>Accrued Arrears and Interest Sold to Issuer (£'000)</t>
  </si>
  <si>
    <t>Total (£'000)</t>
  </si>
  <si>
    <t>Consumer Loans</t>
  </si>
  <si>
    <t>Credit Enhancement</t>
  </si>
  <si>
    <t>Spread Trap</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</si>
  <si>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</si>
  <si>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</si>
  <si>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</si>
  <si>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</si>
  <si>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</si>
  <si>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</si>
  <si>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</si>
  <si>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</si>
  <si>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</si>
  <si>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</si>
  <si>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</si>
  <si>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</si>
  <si>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</si>
  <si>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</si>
  <si>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A Note Interest</t>
  </si>
  <si>
    <t>B Note Interest</t>
  </si>
  <si>
    <t>Third Party payments for Corporation Tax and VAT</t>
  </si>
  <si>
    <t>First Loss fund Replenishment</t>
  </si>
  <si>
    <t>Termination Fees to Swap Provider</t>
  </si>
  <si>
    <t>Cap/Swap Retention fund</t>
  </si>
  <si>
    <t>Fee Letter to PFPLC/PML</t>
  </si>
  <si>
    <t>Surplus income</t>
  </si>
  <si>
    <t>Principal payments made from Principal Income:</t>
  </si>
  <si>
    <t>Mandatory Further Advances</t>
  </si>
  <si>
    <t>Discretionary Further Advances</t>
  </si>
  <si>
    <t>A1 Note repayments</t>
  </si>
  <si>
    <t>A2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</si>
  <si>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</si>
  <si>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</si>
  <si>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</si>
  <si>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</si>
  <si>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</si>
  <si>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</si>
  <si>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</si>
  <si>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</si>
  <si>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</si>
  <si>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</si>
  <si>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PDL Replenishment</t>
  </si>
  <si>
    <t>Closing First Loss Fund Balance</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</si>
  <si>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</si>
  <si>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</si>
  <si>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</si>
  <si>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</si>
  <si>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</si>
  <si>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</si>
  <si>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</si>
  <si>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</si>
  <si>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</si>
  <si>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</si>
  <si>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</si>
  <si>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</si>
  <si>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</si>
  <si>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</si>
  <si>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</si>
  <si>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</si>
  <si>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</si>
  <si>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</si>
  <si>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</si>
  <si>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</si>
  <si>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</si>
  <si>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</si>
  <si>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</si>
  <si>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</si>
  <si>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</si>
  <si>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</si>
  <si>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</si>
  <si>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</si>
  <si>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</si>
  <si>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</si>
  <si>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</si>
  <si>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</si>
  <si>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</si>
  <si>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</si>
  <si>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</si>
  <si>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</si>
  <si>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</si>
  <si>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</si>
  <si>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</si>
  <si>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</si>
  <si>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</si>
  <si>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</si>
  <si>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</si>
  <si>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</si>
  <si>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</si>
  <si>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Cumulative Recoveries</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</si>
  <si>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</si>
  <si>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</si>
  <si>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</si>
  <si>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</si>
  <si>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</si>
  <si>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</si>
  <si>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</si>
  <si>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</si>
  <si>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</si>
  <si>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</si>
  <si>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</si>
  <si>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</si>
  <si>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</si>
  <si>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A1 Pool</t>
  </si>
  <si>
    <t>Factor</t>
  </si>
  <si>
    <t>As at Closing</t>
  </si>
  <si>
    <t>PDD =</t>
  </si>
  <si>
    <t>A2 Pool</t>
  </si>
  <si>
    <t>Class A1 Notes</t>
  </si>
  <si>
    <t>Aaa</t>
  </si>
  <si>
    <t>AAA</t>
  </si>
  <si>
    <t>XS0171487613</t>
  </si>
  <si>
    <t>22 bp</t>
  </si>
  <si>
    <t>44 bp</t>
  </si>
  <si>
    <t>Last Quarter Balance</t>
  </si>
  <si>
    <t>Tel.</t>
  </si>
  <si>
    <t>0121 712 3894</t>
  </si>
  <si>
    <t>0121 712 2315</t>
  </si>
  <si>
    <t>Class A2 Notes</t>
  </si>
  <si>
    <t>XS0171489668</t>
  </si>
  <si>
    <t>32 bp</t>
  </si>
  <si>
    <t>64 bp</t>
  </si>
  <si>
    <t>This Quarter Redemptions and Repayments</t>
  </si>
  <si>
    <t>E-mail</t>
  </si>
  <si>
    <t>jharvey@paragon-group.co.uk</t>
  </si>
  <si>
    <t>jgiles@paragon-group.co.uk</t>
  </si>
  <si>
    <t>Class B Notes</t>
  </si>
  <si>
    <t>A2</t>
  </si>
  <si>
    <t>A</t>
  </si>
  <si>
    <t>XS0171491136</t>
  </si>
  <si>
    <t>135 bp</t>
  </si>
  <si>
    <t>270 bp</t>
  </si>
  <si>
    <t>Additions this quarter</t>
  </si>
  <si>
    <t>DFA's</t>
  </si>
  <si>
    <t>No.</t>
  </si>
  <si>
    <t>%</t>
  </si>
  <si>
    <t>PML</t>
  </si>
  <si>
    <t>Senior/Subordinate</t>
  </si>
  <si>
    <t>Class A Notes</t>
  </si>
  <si>
    <t xml:space="preserve">or the IPD falling  in June 2008, whichever is the later </t>
  </si>
  <si>
    <t>Repurchases this quarter</t>
  </si>
  <si>
    <t>Principal (£'000)</t>
  </si>
  <si>
    <t>MFA's</t>
  </si>
  <si>
    <t>December 2033</t>
  </si>
  <si>
    <t>December 2041</t>
  </si>
  <si>
    <t>£'000 Value</t>
  </si>
  <si>
    <t>n/a</t>
  </si>
  <si>
    <t>£'000 Principal</t>
  </si>
  <si>
    <t>=</t>
  </si>
  <si>
    <t>years</t>
  </si>
  <si>
    <t xml:space="preserve">                                                                                                                                                                                            </t>
  </si>
  <si>
    <t>PM5 PLC</t>
  </si>
  <si>
    <t>Quarterly</t>
  </si>
  <si>
    <t>ACTUAL/365</t>
  </si>
  <si>
    <t>Current Principal Outstanding</t>
  </si>
  <si>
    <t>Revenue (£'000)</t>
  </si>
  <si>
    <t>Total</t>
  </si>
  <si>
    <t>x</t>
  </si>
  <si>
    <t>Payments to Swap Counterparty</t>
  </si>
  <si>
    <t>Pre Funding Reserve</t>
  </si>
  <si>
    <t>PM5 INVESTOR REPORT QUARTER ENDING NOVEMBER 2003</t>
  </si>
  <si>
    <t>Paragon Mortgages (No.5) PLC</t>
  </si>
  <si>
    <t>PM5 INVESTOR REPORT QUARTER ENDING FEBRUARY 2004</t>
  </si>
  <si>
    <t>Appointment of a Receiver of Rent</t>
  </si>
  <si>
    <t>ACTUAL/366</t>
  </si>
  <si>
    <t>PM5 INVESTOR REPORT QUARTER ENDING MAY 2004</t>
  </si>
  <si>
    <t>PM5 INVESTOR REPORT QUARTER ENDING AUGUST 2004</t>
  </si>
  <si>
    <t>PM5 INVESTOR REPORT QUARTER ENDING NOVEMBER 2004</t>
  </si>
  <si>
    <t>john.harvey@paragon-group.co.uk</t>
  </si>
  <si>
    <t>jimmy.giles@paragon-group.co.uk</t>
  </si>
  <si>
    <t>PM5 INVESTOR REPORT QUARTER ENDING FEBRUARY 2005</t>
  </si>
  <si>
    <t>&gt;3&lt;=4 Months</t>
  </si>
  <si>
    <t>&gt;4&lt;=5 Months</t>
  </si>
  <si>
    <t>&gt;5&lt;=6 Months</t>
  </si>
  <si>
    <t>&gt;6&lt;=12 Months</t>
  </si>
  <si>
    <t>&gt;12 Months</t>
  </si>
  <si>
    <t>Jimmy Giles          0121 712 2315         jimmy.giles@paragon-group.co.uk</t>
  </si>
  <si>
    <t>Contact Name       Tel.                           E-mail</t>
  </si>
  <si>
    <t>John Harvey          0121 712 3894         john.harvey@paragon-group.co.uk</t>
  </si>
  <si>
    <t>Delinquency Summary (Excluding Receiver of Rent and Possession Cases)</t>
  </si>
  <si>
    <t>Delinquency Summary (For Possession Cases)</t>
  </si>
  <si>
    <t>PM5 INVESTOR REPORT QUARTER ENDING MAY 2005</t>
  </si>
  <si>
    <t>Delinquency Summary (For Receiver of Rent Cases)</t>
  </si>
  <si>
    <t>PM5 INVESTOR REPORT QUARTER ENDING AUGUST 2005</t>
  </si>
  <si>
    <t xml:space="preserve">FOR ADDITIONAL INFORMATION ON THE UNDERLYING ASSETS, PLEASE REFER TO THE "POOL TABLES" AND "SUMMARY" SECTIONS POSTED ON THE PARAGON WEBSITE   </t>
  </si>
  <si>
    <t>http://www.paragon-group.co.uk</t>
  </si>
  <si>
    <t xml:space="preserve">FOR FURTHER ASSISTANCE ON THE INVESTOR REPORTS, PLEASE REFER TO THE "INVESTOR TERMS" POSTED ON THE PARAGON WEBSITE   </t>
  </si>
  <si>
    <t>PM5 INVESTOR REPORT QUARTER ENDING NOVEMBER 2005</t>
  </si>
  <si>
    <t>Investment Income</t>
  </si>
  <si>
    <t>Redemption Income</t>
  </si>
  <si>
    <t>Drawing on the Subordinated Loan for Interest Shortfalls</t>
  </si>
  <si>
    <t>Possession Properties Sold</t>
  </si>
  <si>
    <t>Receiver of Rent Properties Sold</t>
  </si>
  <si>
    <t>Average number of months in Arrears @ Sale date</t>
  </si>
  <si>
    <t>Average number of months from appointment of Receiver of Rent to Sale</t>
  </si>
  <si>
    <t xml:space="preserve"> </t>
  </si>
  <si>
    <t>Drawings on the First Loss Fund</t>
  </si>
  <si>
    <t>Quarterly Interest Income</t>
  </si>
  <si>
    <t>PM5 INVESTOR REPORT QUARTER ENDING FEBRUARY 2006</t>
  </si>
  <si>
    <t>Average Sale Price/Oustanding balance</t>
  </si>
  <si>
    <t>PM5 INVESTOR REPORT QUARTER ENDING MAY 2006</t>
  </si>
  <si>
    <t>Release of the First Fund following repayment of the Notes</t>
  </si>
  <si>
    <t>Repayment of the First Loss Fund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</si>
</sst>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0"/>
    <numFmt numFmtId="181" formatCode="#,##0.000000"/>
    <numFmt numFmtId="182" formatCode="0.00000%"/>
    <numFmt numFmtId="183" formatCode="#,##0.0"/>
    <numFmt numFmtId="184" formatCode="0.0%"/>
    <numFmt numFmtId="185" formatCode="d\-mmm\-yy"/>
    <numFmt numFmtId="186" formatCode="[$£-809]#,##0.000000"/>
    <numFmt numFmtId="187" formatCode="0.000%"/>
  </numFmts>
  <fonts count="29">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family val="0"/>
    </font>
    <font>
      <b/>
      <sz val="14"/>
      <name val="Times New Roman"/>
      <family val="0"/>
    </font>
    <font>
      <b/>
      <sz val="12"/>
      <color indexed="8"/>
      <name val="Times New Roman"/>
      <family val="0"/>
    </font>
    <font>
      <b/>
      <u val="single"/>
      <sz val="12"/>
      <color indexed="8"/>
      <name val="Times New Roman"/>
      <family val="0"/>
    </font>
    <font>
      <b/>
      <sz val="12"/>
      <name val="Arial MT"/>
      <family val="0"/>
    </font>
    <font>
      <b/>
      <sz val="12"/>
      <name val="Arial"/>
      <family val="0"/>
    </font>
    <font>
      <b/>
      <sz val="12"/>
      <color indexed="53"/>
      <name val="Times New Roman"/>
      <family val="1"/>
    </font>
    <font>
      <sz val="12"/>
      <color indexed="53"/>
      <name val="Times New Roman"/>
      <family val="1"/>
    </font>
    <font>
      <b/>
      <u val="single"/>
      <sz val="12"/>
      <color indexed="53"/>
      <name val="Times New Roman"/>
      <family val="1"/>
    </font>
    <font>
      <u val="single"/>
      <sz val="8.4"/>
      <color indexed="12"/>
      <name val="Arial"/>
      <family val="0"/>
    </font>
    <font>
      <b/>
      <sz val="14"/>
      <color indexed="53"/>
      <name val="Times New Roman"/>
      <family val="1"/>
    </font>
    <font>
      <b/>
      <u val="single"/>
      <sz val="14"/>
      <color indexed="53"/>
      <name val="Times New Roman"/>
      <family val="1"/>
    </font>
    <font>
      <u val="single"/>
      <sz val="8.4"/>
      <color indexed="36"/>
      <name val="Arial"/>
      <family val="0"/>
    </font>
  </fonts>
  <fills count="3">
    <fill>
      <patternFill/>
    </fill>
    <fill>
      <patternFill patternType="gray125"/>
    </fill>
    <fill>
      <patternFill patternType="solid">
        <fgColor indexed="26"/>
        <bgColor indexed="64"/>
      </patternFill>
    </fill>
  </fills>
  <borders count="1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cellStyleXfs>
  <cellXfs count="176">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9"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4"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4" fillId="2" borderId="5" xfId="0" applyNumberFormat="1" applyFont="1" applyFill="1" applyAlignment="1">
      <alignment horizontal="center"/>
    </xf>
    <xf numFmtId="180" fontId="4" fillId="2" borderId="5" xfId="0" applyNumberFormat="1" applyFont="1" applyFill="1" applyAlignment="1">
      <alignment horizontal="center"/>
    </xf>
    <xf numFmtId="180" fontId="4" fillId="2" borderId="5" xfId="0" applyNumberFormat="1" applyFont="1" applyFill="1" applyAlignment="1">
      <alignment/>
    </xf>
    <xf numFmtId="180" fontId="0" fillId="2" borderId="5" xfId="0" applyNumberFormat="1" applyFont="1" applyFill="1" applyAlignment="1">
      <alignment/>
    </xf>
    <xf numFmtId="3" fontId="4" fillId="2" borderId="5" xfId="0" applyNumberFormat="1" applyFont="1" applyFill="1" applyAlignment="1">
      <alignment/>
    </xf>
    <xf numFmtId="181" fontId="15" fillId="2" borderId="5" xfId="0" applyNumberFormat="1" applyFont="1" applyFill="1" applyAlignment="1">
      <alignment/>
    </xf>
    <xf numFmtId="180" fontId="12" fillId="2" borderId="5" xfId="0" applyNumberFormat="1" applyFont="1" applyFill="1" applyAlignment="1">
      <alignment horizontal="center"/>
    </xf>
    <xf numFmtId="180" fontId="12" fillId="2" borderId="5" xfId="0" applyNumberFormat="1" applyFont="1" applyFill="1" applyAlignment="1">
      <alignment/>
    </xf>
    <xf numFmtId="180" fontId="16" fillId="2" borderId="5" xfId="0" applyNumberFormat="1" applyFont="1" applyFill="1" applyAlignment="1">
      <alignment/>
    </xf>
    <xf numFmtId="0" fontId="4" fillId="2" borderId="5" xfId="0" applyNumberFormat="1" applyFont="1" applyFill="1" applyAlignment="1">
      <alignment vertical="top"/>
    </xf>
    <xf numFmtId="182"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182" fontId="4" fillId="2" borderId="5" xfId="0" applyNumberFormat="1" applyFont="1" applyFill="1" applyAlignment="1">
      <alignmen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0" xfId="0" applyNumberFormat="1" applyFont="1" applyFill="1" applyAlignment="1">
      <alignment horizontal="center"/>
    </xf>
    <xf numFmtId="15" fontId="15" fillId="2" borderId="0" xfId="0" applyNumberFormat="1" applyFont="1" applyFill="1" applyAlignment="1">
      <alignment horizontal="center"/>
    </xf>
    <xf numFmtId="0" fontId="17" fillId="2" borderId="0" xfId="0" applyNumberFormat="1" applyFont="1" applyFill="1" applyAlignment="1">
      <alignmen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5" fillId="2" borderId="5" xfId="0" applyNumberFormat="1" applyFont="1" applyFill="1" applyAlignment="1">
      <alignment horizontal="right"/>
    </xf>
    <xf numFmtId="3" fontId="15" fillId="2" borderId="5" xfId="0" applyNumberFormat="1" applyFont="1" applyFill="1" applyAlignment="1">
      <alignment/>
    </xf>
    <xf numFmtId="3" fontId="4" fillId="2" borderId="0" xfId="0" applyNumberFormat="1" applyFont="1" applyFill="1" applyAlignment="1">
      <alignment/>
    </xf>
    <xf numFmtId="3" fontId="15" fillId="2" borderId="0" xfId="0" applyNumberFormat="1" applyFont="1" applyFill="1" applyAlignment="1">
      <alignment/>
    </xf>
    <xf numFmtId="15" fontId="4" fillId="2" borderId="5" xfId="0" applyNumberFormat="1" applyFont="1" applyFill="1" applyAlignment="1">
      <alignment/>
    </xf>
    <xf numFmtId="0" fontId="6" fillId="2" borderId="5" xfId="0" applyNumberFormat="1" applyFont="1" applyFill="1" applyAlignment="1">
      <alignment/>
    </xf>
    <xf numFmtId="4" fontId="15"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5" fillId="2" borderId="5" xfId="0" applyNumberFormat="1" applyFont="1" applyFill="1" applyAlignment="1">
      <alignment horizontal="center"/>
    </xf>
    <xf numFmtId="4" fontId="15"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0" fontId="15" fillId="2" borderId="5" xfId="0" applyNumberFormat="1" applyFont="1" applyFill="1" applyAlignment="1">
      <alignment horizontal="right"/>
    </xf>
    <xf numFmtId="2" fontId="15" fillId="2" borderId="5" xfId="0" applyNumberFormat="1" applyFont="1" applyFill="1" applyAlignment="1">
      <alignment horizontal="right"/>
    </xf>
    <xf numFmtId="0" fontId="15" fillId="2" borderId="1" xfId="0" applyNumberFormat="1" applyFont="1" applyFill="1" applyAlignment="1">
      <alignment/>
    </xf>
    <xf numFmtId="15" fontId="18" fillId="2" borderId="2" xfId="0" applyNumberFormat="1" applyFont="1" applyFill="1" applyAlignment="1">
      <alignment horizontal="centerContinuous"/>
    </xf>
    <xf numFmtId="15" fontId="18" fillId="2" borderId="2" xfId="0" applyNumberFormat="1" applyFont="1" applyFill="1" applyAlignment="1">
      <alignment horizontal="center"/>
    </xf>
    <xf numFmtId="15" fontId="12" fillId="2" borderId="2" xfId="0" applyNumberFormat="1" applyFont="1" applyFill="1" applyAlignment="1">
      <alignment horizontal="center"/>
    </xf>
    <xf numFmtId="0" fontId="15"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5" fillId="2" borderId="4" xfId="0" applyNumberFormat="1" applyFont="1" applyFill="1" applyAlignment="1">
      <alignment/>
    </xf>
    <xf numFmtId="0" fontId="15" fillId="2" borderId="5" xfId="0" applyNumberFormat="1" applyFont="1" applyFill="1" applyAlignment="1">
      <alignment/>
    </xf>
    <xf numFmtId="15" fontId="18" fillId="2" borderId="5" xfId="0" applyNumberFormat="1" applyFont="1" applyFill="1" applyAlignment="1">
      <alignment horizontal="centerContinuous"/>
    </xf>
    <xf numFmtId="10" fontId="15" fillId="2" borderId="5" xfId="0" applyNumberFormat="1" applyFont="1" applyFill="1" applyAlignment="1">
      <alignment horizontal="center"/>
    </xf>
    <xf numFmtId="3" fontId="15" fillId="2" borderId="5" xfId="0" applyNumberFormat="1" applyFont="1" applyFill="1" applyAlignment="1">
      <alignment horizontal="center"/>
    </xf>
    <xf numFmtId="183" fontId="15" fillId="2" borderId="5" xfId="0" applyNumberFormat="1" applyFont="1" applyFill="1" applyAlignment="1">
      <alignment horizontal="center"/>
    </xf>
    <xf numFmtId="0" fontId="4" fillId="2" borderId="5" xfId="0" applyNumberFormat="1" applyFont="1" applyFill="1" applyAlignment="1">
      <alignment/>
    </xf>
    <xf numFmtId="0" fontId="15" fillId="2" borderId="3"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3" fontId="12" fillId="2" borderId="0" xfId="0" applyNumberFormat="1" applyFont="1" applyFill="1" applyAlignment="1">
      <alignment horizontal="center"/>
    </xf>
    <xf numFmtId="0" fontId="15" fillId="2" borderId="4" xfId="0" applyNumberFormat="1" applyFont="1" applyFill="1" applyAlignment="1">
      <alignment horizontal="right"/>
    </xf>
    <xf numFmtId="3" fontId="15" fillId="2" borderId="5" xfId="0" applyNumberFormat="1" applyFont="1" applyFill="1" applyAlignment="1">
      <alignment horizontal="center"/>
    </xf>
    <xf numFmtId="3" fontId="18" fillId="2" borderId="5" xfId="0" applyNumberFormat="1" applyFont="1" applyFill="1" applyAlignment="1">
      <alignment/>
    </xf>
    <xf numFmtId="0" fontId="15" fillId="2" borderId="4" xfId="0" applyNumberFormat="1" applyFont="1" applyFill="1" applyAlignment="1">
      <alignment horizontal="center"/>
    </xf>
    <xf numFmtId="0" fontId="18" fillId="2" borderId="5" xfId="0" applyNumberFormat="1" applyFont="1" applyFill="1" applyAlignment="1">
      <alignment/>
    </xf>
    <xf numFmtId="0" fontId="15" fillId="2" borderId="5" xfId="0" applyNumberFormat="1" applyFont="1" applyFill="1" applyAlignment="1">
      <alignment horizontal="right"/>
    </xf>
    <xf numFmtId="4" fontId="15" fillId="2" borderId="5" xfId="0" applyNumberFormat="1" applyFont="1" applyFill="1" applyAlignment="1">
      <alignment horizontal="right"/>
    </xf>
    <xf numFmtId="9" fontId="15" fillId="2" borderId="5" xfId="0" applyNumberFormat="1" applyFont="1" applyFill="1" applyAlignment="1">
      <alignment horizontal="right"/>
    </xf>
    <xf numFmtId="10" fontId="15" fillId="2" borderId="5" xfId="0" applyNumberFormat="1" applyFont="1" applyFill="1" applyAlignment="1">
      <alignment horizontal="center"/>
    </xf>
    <xf numFmtId="0" fontId="18" fillId="2" borderId="0" xfId="0" applyNumberFormat="1" applyFont="1" applyFill="1" applyAlignment="1">
      <alignment/>
    </xf>
    <xf numFmtId="184" fontId="15" fillId="2" borderId="5" xfId="0" applyNumberFormat="1" applyFont="1" applyFill="1" applyAlignment="1">
      <alignment/>
    </xf>
    <xf numFmtId="184" fontId="4" fillId="2" borderId="5" xfId="0" applyNumberFormat="1" applyFont="1" applyFill="1" applyAlignment="1">
      <alignment/>
    </xf>
    <xf numFmtId="10" fontId="15" fillId="2" borderId="5" xfId="0" applyNumberFormat="1" applyFont="1" applyFill="1" applyAlignment="1">
      <alignment/>
    </xf>
    <xf numFmtId="9" fontId="4" fillId="2" borderId="5" xfId="0" applyNumberFormat="1" applyFont="1" applyFill="1" applyAlignment="1">
      <alignment/>
    </xf>
    <xf numFmtId="9" fontId="4" fillId="2" borderId="0" xfId="0" applyNumberFormat="1" applyFont="1" applyFill="1" applyAlignment="1">
      <alignment/>
    </xf>
    <xf numFmtId="3" fontId="15" fillId="2" borderId="0" xfId="0" applyNumberFormat="1" applyFont="1" applyFill="1" applyAlignment="1">
      <alignment horizontal="right"/>
    </xf>
    <xf numFmtId="0" fontId="0" fillId="2" borderId="3" xfId="0" applyNumberFormat="1" applyFont="1" applyFill="1" applyAlignment="1">
      <alignment/>
    </xf>
    <xf numFmtId="0" fontId="20" fillId="2" borderId="0" xfId="0" applyNumberFormat="1" applyFont="1" applyFill="1" applyAlignment="1">
      <alignment horizontal="center"/>
    </xf>
    <xf numFmtId="0" fontId="21"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Alignment="1">
      <alignmen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4" fontId="4" fillId="2" borderId="7" xfId="0" applyNumberFormat="1" applyFont="1" applyFill="1" applyBorder="1" applyAlignment="1">
      <alignment horizontal="right"/>
    </xf>
    <xf numFmtId="0" fontId="0" fillId="2" borderId="7" xfId="0" applyNumberFormat="1" applyFont="1" applyFill="1" applyBorder="1" applyAlignment="1">
      <alignment/>
    </xf>
    <xf numFmtId="0" fontId="0" fillId="2" borderId="8" xfId="0" applyNumberFormat="1" applyFont="1" applyFill="1" applyBorder="1" applyAlignment="1">
      <alignment/>
    </xf>
    <xf numFmtId="3" fontId="0" fillId="0" borderId="0" xfId="0" applyNumberFormat="1" applyFont="1" applyAlignment="1">
      <alignment/>
    </xf>
    <xf numFmtId="185" fontId="4" fillId="2" borderId="5" xfId="0" applyNumberFormat="1" applyFont="1" applyFill="1" applyAlignment="1">
      <alignment horizontal="center"/>
    </xf>
    <xf numFmtId="0" fontId="0" fillId="0" borderId="0" xfId="0" applyNumberFormat="1" applyBorder="1" applyAlignment="1">
      <alignment/>
    </xf>
    <xf numFmtId="0" fontId="18" fillId="2" borderId="9" xfId="0" applyNumberFormat="1" applyFont="1" applyFill="1" applyBorder="1" applyAlignment="1">
      <alignment/>
    </xf>
    <xf numFmtId="0" fontId="22" fillId="2" borderId="0" xfId="0" applyNumberFormat="1" applyFont="1" applyFill="1" applyAlignment="1">
      <alignment/>
    </xf>
    <xf numFmtId="0" fontId="22" fillId="2" borderId="0" xfId="0" applyNumberFormat="1" applyFont="1" applyFill="1" applyAlignment="1">
      <alignment horizontal="center"/>
    </xf>
    <xf numFmtId="0" fontId="22" fillId="2" borderId="5" xfId="0" applyNumberFormat="1" applyFont="1" applyFill="1" applyAlignment="1">
      <alignment horizontal="center"/>
    </xf>
    <xf numFmtId="0" fontId="22" fillId="2" borderId="0" xfId="0" applyNumberFormat="1" applyFont="1" applyFill="1" applyAlignment="1">
      <alignment horizontal="center" wrapText="1"/>
    </xf>
    <xf numFmtId="0" fontId="23" fillId="2" borderId="0" xfId="0" applyNumberFormat="1" applyFont="1" applyFill="1" applyAlignment="1">
      <alignment horizontal="center" wrapText="1"/>
    </xf>
    <xf numFmtId="0" fontId="22" fillId="2" borderId="0" xfId="0" applyNumberFormat="1" applyFont="1" applyFill="1" applyAlignment="1">
      <alignment horizontal="left" vertical="top" wrapText="1"/>
    </xf>
    <xf numFmtId="0" fontId="22" fillId="2" borderId="0" xfId="0" applyNumberFormat="1" applyFont="1" applyFill="1" applyAlignment="1">
      <alignment horizontal="center" vertical="top" wrapText="1"/>
    </xf>
    <xf numFmtId="4" fontId="22" fillId="2" borderId="0" xfId="0" applyNumberFormat="1" applyFont="1" applyFill="1" applyAlignment="1">
      <alignment horizontal="center" vertical="top" wrapText="1"/>
    </xf>
    <xf numFmtId="0" fontId="23" fillId="2" borderId="0" xfId="0" applyNumberFormat="1" applyFont="1" applyFill="1" applyAlignment="1">
      <alignment/>
    </xf>
    <xf numFmtId="0" fontId="24" fillId="2" borderId="5" xfId="0" applyNumberFormat="1" applyFont="1" applyFill="1" applyAlignment="1">
      <alignment/>
    </xf>
    <xf numFmtId="0" fontId="24" fillId="2" borderId="0" xfId="0" applyNumberFormat="1" applyFont="1" applyFill="1" applyAlignment="1">
      <alignment/>
    </xf>
    <xf numFmtId="0" fontId="22" fillId="2" borderId="0" xfId="0" applyNumberFormat="1" applyFont="1" applyFill="1" applyAlignment="1">
      <alignment horizontal="right"/>
    </xf>
    <xf numFmtId="4" fontId="22" fillId="2" borderId="0" xfId="0" applyNumberFormat="1" applyFont="1" applyFill="1" applyAlignment="1">
      <alignment horizontal="right"/>
    </xf>
    <xf numFmtId="0" fontId="22" fillId="2" borderId="5" xfId="0" applyNumberFormat="1" applyFont="1" applyFill="1" applyAlignment="1">
      <alignment/>
    </xf>
    <xf numFmtId="0" fontId="0" fillId="2" borderId="0" xfId="0" applyNumberFormat="1" applyFont="1" applyFill="1" applyAlignment="1">
      <alignment/>
    </xf>
    <xf numFmtId="0" fontId="0" fillId="2" borderId="5" xfId="0" applyNumberFormat="1" applyFont="1" applyFill="1" applyAlignment="1">
      <alignment/>
    </xf>
    <xf numFmtId="180" fontId="0" fillId="2" borderId="5" xfId="0" applyNumberFormat="1" applyFont="1" applyFill="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0" fontId="0" fillId="2" borderId="3" xfId="0" applyNumberFormat="1" applyFont="1" applyFill="1" applyAlignment="1">
      <alignment/>
    </xf>
    <xf numFmtId="185" fontId="4" fillId="2" borderId="5" xfId="0" applyNumberFormat="1" applyFont="1" applyFill="1" applyAlignment="1">
      <alignment horizontal="right"/>
    </xf>
    <xf numFmtId="0" fontId="4" fillId="2" borderId="5" xfId="0" applyNumberFormat="1" applyFont="1" applyFill="1" applyAlignment="1">
      <alignment/>
    </xf>
    <xf numFmtId="10" fontId="4" fillId="2" borderId="5" xfId="0" applyNumberFormat="1" applyFont="1" applyFill="1" applyAlignment="1">
      <alignment/>
    </xf>
    <xf numFmtId="4" fontId="15" fillId="2" borderId="5" xfId="0" applyNumberFormat="1" applyFont="1" applyFill="1" applyAlignment="1">
      <alignment horizontal="center"/>
    </xf>
    <xf numFmtId="0" fontId="4" fillId="2" borderId="10" xfId="0" applyNumberFormat="1" applyFont="1" applyFill="1" applyBorder="1" applyAlignment="1">
      <alignment/>
    </xf>
    <xf numFmtId="0" fontId="4" fillId="2" borderId="11" xfId="0" applyNumberFormat="1" applyFont="1" applyFill="1" applyBorder="1" applyAlignment="1">
      <alignment/>
    </xf>
    <xf numFmtId="0" fontId="4" fillId="2" borderId="12" xfId="0" applyNumberFormat="1" applyFont="1" applyFill="1" applyBorder="1" applyAlignment="1">
      <alignment/>
    </xf>
    <xf numFmtId="0" fontId="4" fillId="2" borderId="13" xfId="0" applyNumberFormat="1" applyFont="1" applyFill="1" applyBorder="1" applyAlignment="1">
      <alignment/>
    </xf>
    <xf numFmtId="0" fontId="4" fillId="2" borderId="14" xfId="0" applyNumberFormat="1" applyFont="1" applyFill="1" applyBorder="1" applyAlignment="1">
      <alignment/>
    </xf>
    <xf numFmtId="3" fontId="4" fillId="2" borderId="14" xfId="0" applyNumberFormat="1" applyFont="1" applyFill="1" applyBorder="1" applyAlignment="1">
      <alignment/>
    </xf>
    <xf numFmtId="9" fontId="4" fillId="2" borderId="14" xfId="0" applyNumberFormat="1" applyFont="1" applyFill="1" applyBorder="1" applyAlignment="1">
      <alignment/>
    </xf>
    <xf numFmtId="3" fontId="15" fillId="2" borderId="14" xfId="0" applyNumberFormat="1" applyFont="1" applyFill="1" applyBorder="1" applyAlignment="1">
      <alignment horizontal="right"/>
    </xf>
    <xf numFmtId="0" fontId="4" fillId="2" borderId="15" xfId="0" applyNumberFormat="1" applyFont="1" applyFill="1" applyBorder="1" applyAlignment="1">
      <alignment/>
    </xf>
    <xf numFmtId="0" fontId="4" fillId="2" borderId="3" xfId="0" applyNumberFormat="1" applyFont="1" applyFill="1" applyBorder="1" applyAlignment="1">
      <alignment/>
    </xf>
    <xf numFmtId="0" fontId="4" fillId="2" borderId="0" xfId="0" applyNumberFormat="1" applyFont="1" applyFill="1" applyBorder="1" applyAlignment="1">
      <alignment/>
    </xf>
    <xf numFmtId="3" fontId="4" fillId="2" borderId="0" xfId="0" applyNumberFormat="1" applyFont="1" applyFill="1" applyBorder="1" applyAlignment="1">
      <alignment/>
    </xf>
    <xf numFmtId="9" fontId="4" fillId="2" borderId="0" xfId="0" applyNumberFormat="1" applyFont="1" applyFill="1" applyBorder="1" applyAlignment="1">
      <alignment/>
    </xf>
    <xf numFmtId="3" fontId="15" fillId="2" borderId="0" xfId="0" applyNumberFormat="1" applyFont="1" applyFill="1" applyBorder="1" applyAlignment="1">
      <alignment horizontal="right"/>
    </xf>
    <xf numFmtId="3" fontId="4" fillId="2" borderId="5" xfId="0" applyNumberFormat="1" applyFont="1" applyFill="1" applyAlignment="1">
      <alignment horizontal="center"/>
    </xf>
    <xf numFmtId="0" fontId="26" fillId="2" borderId="0" xfId="0" applyNumberFormat="1" applyFont="1" applyFill="1" applyAlignment="1">
      <alignment/>
    </xf>
    <xf numFmtId="0" fontId="26" fillId="2" borderId="5" xfId="0" applyNumberFormat="1" applyFont="1" applyFill="1" applyAlignment="1">
      <alignment/>
    </xf>
    <xf numFmtId="0" fontId="27" fillId="2" borderId="0" xfId="16" applyNumberFormat="1" applyFont="1" applyFill="1" applyAlignment="1">
      <alignment/>
    </xf>
    <xf numFmtId="0" fontId="27" fillId="2" borderId="5" xfId="16" applyNumberFormat="1" applyFont="1" applyFill="1" applyAlignment="1">
      <alignment/>
    </xf>
    <xf numFmtId="0" fontId="12" fillId="2" borderId="14" xfId="0" applyNumberFormat="1" applyFont="1" applyFill="1" applyBorder="1" applyAlignment="1">
      <alignment/>
    </xf>
    <xf numFmtId="15" fontId="12" fillId="2" borderId="0" xfId="0" applyNumberFormat="1" applyFont="1" applyFill="1" applyAlignment="1">
      <alignment/>
    </xf>
    <xf numFmtId="2" fontId="15" fillId="2" borderId="5" xfId="0" applyNumberFormat="1" applyFont="1" applyFill="1" applyAlignment="1">
      <alignment horizontal="center"/>
    </xf>
    <xf numFmtId="10" fontId="4" fillId="2" borderId="14" xfId="0" applyNumberFormat="1" applyFont="1" applyFill="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200</xdr:row>
      <xdr:rowOff>161925</xdr:rowOff>
    </xdr:from>
    <xdr:to>
      <xdr:col>1</xdr:col>
      <xdr:colOff>9525</xdr:colOff>
      <xdr:row>201</xdr:row>
      <xdr:rowOff>200025</xdr:rowOff>
    </xdr:to>
    <xdr:pic>
      <xdr:nvPicPr>
        <xdr:cNvPr id="4" name="Picture 4"/>
        <xdr:cNvPicPr preferRelativeResize="1">
          <a:picLocks noChangeAspect="1"/>
        </xdr:cNvPicPr>
      </xdr:nvPicPr>
      <xdr:blipFill>
        <a:blip r:link="rId1"/>
        <a:stretch>
          <a:fillRect/>
        </a:stretch>
      </xdr:blipFill>
      <xdr:spPr>
        <a:xfrm>
          <a:off x="9525" y="40767000"/>
          <a:ext cx="314325" cy="238125"/>
        </a:xfrm>
        <a:prstGeom prst="rect">
          <a:avLst/>
        </a:prstGeom>
        <a:noFill/>
        <a:ln w="9525" cmpd="sng">
          <a:noFill/>
        </a:ln>
      </xdr:spPr>
    </xdr:pic>
    <xdr:clientData/>
  </xdr:twoCellAnchor>
  <xdr:twoCellAnchor>
    <xdr:from>
      <xdr:col>13</xdr:col>
      <xdr:colOff>1095375</xdr:colOff>
      <xdr:row>200</xdr:row>
      <xdr:rowOff>123825</xdr:rowOff>
    </xdr:from>
    <xdr:to>
      <xdr:col>13</xdr:col>
      <xdr:colOff>1895475</xdr:colOff>
      <xdr:row>201</xdr:row>
      <xdr:rowOff>152400</xdr:rowOff>
    </xdr:to>
    <xdr:pic>
      <xdr:nvPicPr>
        <xdr:cNvPr id="5" name="Picture 5"/>
        <xdr:cNvPicPr preferRelativeResize="1">
          <a:picLocks noChangeAspect="1"/>
        </xdr:cNvPicPr>
      </xdr:nvPicPr>
      <xdr:blipFill>
        <a:blip r:link="rId2"/>
        <a:stretch>
          <a:fillRect/>
        </a:stretch>
      </xdr:blipFill>
      <xdr:spPr>
        <a:xfrm>
          <a:off x="16154400" y="40728900"/>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190500</xdr:rowOff>
    </xdr:from>
    <xdr:to>
      <xdr:col>1</xdr:col>
      <xdr:colOff>0</xdr:colOff>
      <xdr:row>51</xdr:row>
      <xdr:rowOff>228600</xdr:rowOff>
    </xdr:to>
    <xdr:pic>
      <xdr:nvPicPr>
        <xdr:cNvPr id="1" name="Picture 1"/>
        <xdr:cNvPicPr preferRelativeResize="1">
          <a:picLocks noChangeAspect="1"/>
        </xdr:cNvPicPr>
      </xdr:nvPicPr>
      <xdr:blipFill>
        <a:blip r:link="rId1"/>
        <a:stretch>
          <a:fillRect/>
        </a:stretch>
      </xdr:blipFill>
      <xdr:spPr>
        <a:xfrm>
          <a:off x="0" y="10287000"/>
          <a:ext cx="314325" cy="238125"/>
        </a:xfrm>
        <a:prstGeom prst="rect">
          <a:avLst/>
        </a:prstGeom>
        <a:noFill/>
        <a:ln w="9525" cmpd="sng">
          <a:noFill/>
        </a:ln>
      </xdr:spPr>
    </xdr:pic>
    <xdr:clientData/>
  </xdr:twoCellAnchor>
  <xdr:twoCellAnchor>
    <xdr:from>
      <xdr:col>0</xdr:col>
      <xdr:colOff>28575</xdr:colOff>
      <xdr:row>108</xdr:row>
      <xdr:rowOff>161925</xdr:rowOff>
    </xdr:from>
    <xdr:to>
      <xdr:col>1</xdr:col>
      <xdr:colOff>28575</xdr:colOff>
      <xdr:row>109</xdr:row>
      <xdr:rowOff>200025</xdr:rowOff>
    </xdr:to>
    <xdr:pic>
      <xdr:nvPicPr>
        <xdr:cNvPr id="2" name="Picture 2"/>
        <xdr:cNvPicPr preferRelativeResize="1">
          <a:picLocks noChangeAspect="1"/>
        </xdr:cNvPicPr>
      </xdr:nvPicPr>
      <xdr:blipFill>
        <a:blip r:link="rId1"/>
        <a:stretch>
          <a:fillRect/>
        </a:stretch>
      </xdr:blipFill>
      <xdr:spPr>
        <a:xfrm>
          <a:off x="28575" y="22307550"/>
          <a:ext cx="314325" cy="238125"/>
        </a:xfrm>
        <a:prstGeom prst="rect">
          <a:avLst/>
        </a:prstGeom>
        <a:noFill/>
        <a:ln w="9525" cmpd="sng">
          <a:noFill/>
        </a:ln>
      </xdr:spPr>
    </xdr:pic>
    <xdr:clientData/>
  </xdr:twoCellAnchor>
  <xdr:twoCellAnchor>
    <xdr:from>
      <xdr:col>0</xdr:col>
      <xdr:colOff>47625</xdr:colOff>
      <xdr:row>158</xdr:row>
      <xdr:rowOff>171450</xdr:rowOff>
    </xdr:from>
    <xdr:to>
      <xdr:col>1</xdr:col>
      <xdr:colOff>47625</xdr:colOff>
      <xdr:row>159</xdr:row>
      <xdr:rowOff>209550</xdr:rowOff>
    </xdr:to>
    <xdr:pic>
      <xdr:nvPicPr>
        <xdr:cNvPr id="3" name="Picture 3"/>
        <xdr:cNvPicPr preferRelativeResize="1">
          <a:picLocks noChangeAspect="1"/>
        </xdr:cNvPicPr>
      </xdr:nvPicPr>
      <xdr:blipFill>
        <a:blip r:link="rId1"/>
        <a:stretch>
          <a:fillRect/>
        </a:stretch>
      </xdr:blipFill>
      <xdr:spPr>
        <a:xfrm>
          <a:off x="47625" y="32365950"/>
          <a:ext cx="314325" cy="238125"/>
        </a:xfrm>
        <a:prstGeom prst="rect">
          <a:avLst/>
        </a:prstGeom>
        <a:noFill/>
        <a:ln w="9525" cmpd="sng">
          <a:noFill/>
        </a:ln>
      </xdr:spPr>
    </xdr:pic>
    <xdr:clientData/>
  </xdr:twoCellAnchor>
  <xdr:twoCellAnchor>
    <xdr:from>
      <xdr:col>0</xdr:col>
      <xdr:colOff>9525</xdr:colOff>
      <xdr:row>240</xdr:row>
      <xdr:rowOff>161925</xdr:rowOff>
    </xdr:from>
    <xdr:to>
      <xdr:col>1</xdr:col>
      <xdr:colOff>9525</xdr:colOff>
      <xdr:row>241</xdr:row>
      <xdr:rowOff>200025</xdr:rowOff>
    </xdr:to>
    <xdr:pic>
      <xdr:nvPicPr>
        <xdr:cNvPr id="4" name="Picture 4"/>
        <xdr:cNvPicPr preferRelativeResize="1">
          <a:picLocks noChangeAspect="1"/>
        </xdr:cNvPicPr>
      </xdr:nvPicPr>
      <xdr:blipFill>
        <a:blip r:link="rId1"/>
        <a:stretch>
          <a:fillRect/>
        </a:stretch>
      </xdr:blipFill>
      <xdr:spPr>
        <a:xfrm>
          <a:off x="9525" y="48844200"/>
          <a:ext cx="314325" cy="238125"/>
        </a:xfrm>
        <a:prstGeom prst="rect">
          <a:avLst/>
        </a:prstGeom>
        <a:noFill/>
        <a:ln w="9525" cmpd="sng">
          <a:noFill/>
        </a:ln>
      </xdr:spPr>
    </xdr:pic>
    <xdr:clientData/>
  </xdr:twoCellAnchor>
  <xdr:twoCellAnchor>
    <xdr:from>
      <xdr:col>13</xdr:col>
      <xdr:colOff>1095375</xdr:colOff>
      <xdr:row>240</xdr:row>
      <xdr:rowOff>123825</xdr:rowOff>
    </xdr:from>
    <xdr:to>
      <xdr:col>13</xdr:col>
      <xdr:colOff>1895475</xdr:colOff>
      <xdr:row>241</xdr:row>
      <xdr:rowOff>152400</xdr:rowOff>
    </xdr:to>
    <xdr:pic>
      <xdr:nvPicPr>
        <xdr:cNvPr id="5" name="Picture 5"/>
        <xdr:cNvPicPr preferRelativeResize="1">
          <a:picLocks noChangeAspect="1"/>
        </xdr:cNvPicPr>
      </xdr:nvPicPr>
      <xdr:blipFill>
        <a:blip r:link="rId2"/>
        <a:stretch>
          <a:fillRect/>
        </a:stretch>
      </xdr:blipFill>
      <xdr:spPr>
        <a:xfrm>
          <a:off x="16421100" y="48806100"/>
          <a:ext cx="800100" cy="228600"/>
        </a:xfrm>
        <a:prstGeom prst="rect">
          <a:avLst/>
        </a:prstGeom>
        <a:noFill/>
        <a:ln w="9525" cmpd="sng">
          <a:noFill/>
        </a:ln>
      </xdr:spPr>
    </xdr:pic>
    <xdr:clientData/>
  </xdr:twoCellAnchor>
  <xdr:twoCellAnchor>
    <xdr:from>
      <xdr:col>13</xdr:col>
      <xdr:colOff>1123950</xdr:colOff>
      <xdr:row>158</xdr:row>
      <xdr:rowOff>152400</xdr:rowOff>
    </xdr:from>
    <xdr:to>
      <xdr:col>13</xdr:col>
      <xdr:colOff>1924050</xdr:colOff>
      <xdr:row>159</xdr:row>
      <xdr:rowOff>180975</xdr:rowOff>
    </xdr:to>
    <xdr:pic>
      <xdr:nvPicPr>
        <xdr:cNvPr id="6" name="Picture 6"/>
        <xdr:cNvPicPr preferRelativeResize="1">
          <a:picLocks noChangeAspect="1"/>
        </xdr:cNvPicPr>
      </xdr:nvPicPr>
      <xdr:blipFill>
        <a:blip r:link="rId2"/>
        <a:stretch>
          <a:fillRect/>
        </a:stretch>
      </xdr:blipFill>
      <xdr:spPr>
        <a:xfrm>
          <a:off x="16449675" y="32346900"/>
          <a:ext cx="800100" cy="228600"/>
        </a:xfrm>
        <a:prstGeom prst="rect">
          <a:avLst/>
        </a:prstGeom>
        <a:noFill/>
        <a:ln w="9525" cmpd="sng">
          <a:noFill/>
        </a:ln>
      </xdr:spPr>
    </xdr:pic>
    <xdr:clientData/>
  </xdr:twoCellAnchor>
  <xdr:twoCellAnchor>
    <xdr:from>
      <xdr:col>13</xdr:col>
      <xdr:colOff>1152525</xdr:colOff>
      <xdr:row>108</xdr:row>
      <xdr:rowOff>161925</xdr:rowOff>
    </xdr:from>
    <xdr:to>
      <xdr:col>13</xdr:col>
      <xdr:colOff>1952625</xdr:colOff>
      <xdr:row>109</xdr:row>
      <xdr:rowOff>190500</xdr:rowOff>
    </xdr:to>
    <xdr:pic>
      <xdr:nvPicPr>
        <xdr:cNvPr id="7" name="Picture 7"/>
        <xdr:cNvPicPr preferRelativeResize="1">
          <a:picLocks noChangeAspect="1"/>
        </xdr:cNvPicPr>
      </xdr:nvPicPr>
      <xdr:blipFill>
        <a:blip r:link="rId2"/>
        <a:stretch>
          <a:fillRect/>
        </a:stretch>
      </xdr:blipFill>
      <xdr:spPr>
        <a:xfrm>
          <a:off x="16478250" y="22307550"/>
          <a:ext cx="800100" cy="228600"/>
        </a:xfrm>
        <a:prstGeom prst="rect">
          <a:avLst/>
        </a:prstGeom>
        <a:noFill/>
        <a:ln w="9525" cmpd="sng">
          <a:noFill/>
        </a:ln>
      </xdr:spPr>
    </xdr:pic>
    <xdr:clientData/>
  </xdr:twoCellAnchor>
  <xdr:twoCellAnchor>
    <xdr:from>
      <xdr:col>13</xdr:col>
      <xdr:colOff>1152525</xdr:colOff>
      <xdr:row>50</xdr:row>
      <xdr:rowOff>161925</xdr:rowOff>
    </xdr:from>
    <xdr:to>
      <xdr:col>13</xdr:col>
      <xdr:colOff>1952625</xdr:colOff>
      <xdr:row>51</xdr:row>
      <xdr:rowOff>190500</xdr:rowOff>
    </xdr:to>
    <xdr:pic>
      <xdr:nvPicPr>
        <xdr:cNvPr id="8" name="Picture 8"/>
        <xdr:cNvPicPr preferRelativeResize="1">
          <a:picLocks noChangeAspect="1"/>
        </xdr:cNvPicPr>
      </xdr:nvPicPr>
      <xdr:blipFill>
        <a:blip r:link="rId2"/>
        <a:stretch>
          <a:fillRect/>
        </a:stretch>
      </xdr:blipFill>
      <xdr:spPr>
        <a:xfrm>
          <a:off x="16478250" y="10258425"/>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190500</xdr:rowOff>
    </xdr:from>
    <xdr:to>
      <xdr:col>1</xdr:col>
      <xdr:colOff>0</xdr:colOff>
      <xdr:row>51</xdr:row>
      <xdr:rowOff>228600</xdr:rowOff>
    </xdr:to>
    <xdr:pic>
      <xdr:nvPicPr>
        <xdr:cNvPr id="1" name="Picture 1"/>
        <xdr:cNvPicPr preferRelativeResize="1">
          <a:picLocks noChangeAspect="1"/>
        </xdr:cNvPicPr>
      </xdr:nvPicPr>
      <xdr:blipFill>
        <a:blip r:link="rId1"/>
        <a:stretch>
          <a:fillRect/>
        </a:stretch>
      </xdr:blipFill>
      <xdr:spPr>
        <a:xfrm>
          <a:off x="0" y="10287000"/>
          <a:ext cx="314325" cy="238125"/>
        </a:xfrm>
        <a:prstGeom prst="rect">
          <a:avLst/>
        </a:prstGeom>
        <a:noFill/>
        <a:ln w="9525" cmpd="sng">
          <a:noFill/>
        </a:ln>
      </xdr:spPr>
    </xdr:pic>
    <xdr:clientData/>
  </xdr:twoCellAnchor>
  <xdr:twoCellAnchor>
    <xdr:from>
      <xdr:col>0</xdr:col>
      <xdr:colOff>28575</xdr:colOff>
      <xdr:row>108</xdr:row>
      <xdr:rowOff>161925</xdr:rowOff>
    </xdr:from>
    <xdr:to>
      <xdr:col>1</xdr:col>
      <xdr:colOff>28575</xdr:colOff>
      <xdr:row>109</xdr:row>
      <xdr:rowOff>200025</xdr:rowOff>
    </xdr:to>
    <xdr:pic>
      <xdr:nvPicPr>
        <xdr:cNvPr id="2" name="Picture 2"/>
        <xdr:cNvPicPr preferRelativeResize="1">
          <a:picLocks noChangeAspect="1"/>
        </xdr:cNvPicPr>
      </xdr:nvPicPr>
      <xdr:blipFill>
        <a:blip r:link="rId1"/>
        <a:stretch>
          <a:fillRect/>
        </a:stretch>
      </xdr:blipFill>
      <xdr:spPr>
        <a:xfrm>
          <a:off x="28575" y="22307550"/>
          <a:ext cx="314325" cy="238125"/>
        </a:xfrm>
        <a:prstGeom prst="rect">
          <a:avLst/>
        </a:prstGeom>
        <a:noFill/>
        <a:ln w="9525" cmpd="sng">
          <a:noFill/>
        </a:ln>
      </xdr:spPr>
    </xdr:pic>
    <xdr:clientData/>
  </xdr:twoCellAnchor>
  <xdr:twoCellAnchor>
    <xdr:from>
      <xdr:col>0</xdr:col>
      <xdr:colOff>47625</xdr:colOff>
      <xdr:row>158</xdr:row>
      <xdr:rowOff>171450</xdr:rowOff>
    </xdr:from>
    <xdr:to>
      <xdr:col>1</xdr:col>
      <xdr:colOff>47625</xdr:colOff>
      <xdr:row>159</xdr:row>
      <xdr:rowOff>209550</xdr:rowOff>
    </xdr:to>
    <xdr:pic>
      <xdr:nvPicPr>
        <xdr:cNvPr id="3" name="Picture 3"/>
        <xdr:cNvPicPr preferRelativeResize="1">
          <a:picLocks noChangeAspect="1"/>
        </xdr:cNvPicPr>
      </xdr:nvPicPr>
      <xdr:blipFill>
        <a:blip r:link="rId1"/>
        <a:stretch>
          <a:fillRect/>
        </a:stretch>
      </xdr:blipFill>
      <xdr:spPr>
        <a:xfrm>
          <a:off x="47625" y="32365950"/>
          <a:ext cx="314325" cy="238125"/>
        </a:xfrm>
        <a:prstGeom prst="rect">
          <a:avLst/>
        </a:prstGeom>
        <a:noFill/>
        <a:ln w="9525" cmpd="sng">
          <a:noFill/>
        </a:ln>
      </xdr:spPr>
    </xdr:pic>
    <xdr:clientData/>
  </xdr:twoCellAnchor>
  <xdr:twoCellAnchor>
    <xdr:from>
      <xdr:col>0</xdr:col>
      <xdr:colOff>9525</xdr:colOff>
      <xdr:row>240</xdr:row>
      <xdr:rowOff>161925</xdr:rowOff>
    </xdr:from>
    <xdr:to>
      <xdr:col>1</xdr:col>
      <xdr:colOff>9525</xdr:colOff>
      <xdr:row>241</xdr:row>
      <xdr:rowOff>200025</xdr:rowOff>
    </xdr:to>
    <xdr:pic>
      <xdr:nvPicPr>
        <xdr:cNvPr id="4" name="Picture 4"/>
        <xdr:cNvPicPr preferRelativeResize="1">
          <a:picLocks noChangeAspect="1"/>
        </xdr:cNvPicPr>
      </xdr:nvPicPr>
      <xdr:blipFill>
        <a:blip r:link="rId1"/>
        <a:stretch>
          <a:fillRect/>
        </a:stretch>
      </xdr:blipFill>
      <xdr:spPr>
        <a:xfrm>
          <a:off x="9525" y="48844200"/>
          <a:ext cx="314325" cy="238125"/>
        </a:xfrm>
        <a:prstGeom prst="rect">
          <a:avLst/>
        </a:prstGeom>
        <a:noFill/>
        <a:ln w="9525" cmpd="sng">
          <a:noFill/>
        </a:ln>
      </xdr:spPr>
    </xdr:pic>
    <xdr:clientData/>
  </xdr:twoCellAnchor>
  <xdr:twoCellAnchor>
    <xdr:from>
      <xdr:col>13</xdr:col>
      <xdr:colOff>1095375</xdr:colOff>
      <xdr:row>240</xdr:row>
      <xdr:rowOff>123825</xdr:rowOff>
    </xdr:from>
    <xdr:to>
      <xdr:col>13</xdr:col>
      <xdr:colOff>1895475</xdr:colOff>
      <xdr:row>241</xdr:row>
      <xdr:rowOff>152400</xdr:rowOff>
    </xdr:to>
    <xdr:pic>
      <xdr:nvPicPr>
        <xdr:cNvPr id="5" name="Picture 5"/>
        <xdr:cNvPicPr preferRelativeResize="1">
          <a:picLocks noChangeAspect="1"/>
        </xdr:cNvPicPr>
      </xdr:nvPicPr>
      <xdr:blipFill>
        <a:blip r:link="rId2"/>
        <a:stretch>
          <a:fillRect/>
        </a:stretch>
      </xdr:blipFill>
      <xdr:spPr>
        <a:xfrm>
          <a:off x="16421100" y="48806100"/>
          <a:ext cx="800100" cy="228600"/>
        </a:xfrm>
        <a:prstGeom prst="rect">
          <a:avLst/>
        </a:prstGeom>
        <a:noFill/>
        <a:ln w="9525" cmpd="sng">
          <a:noFill/>
        </a:ln>
      </xdr:spPr>
    </xdr:pic>
    <xdr:clientData/>
  </xdr:twoCellAnchor>
  <xdr:twoCellAnchor>
    <xdr:from>
      <xdr:col>13</xdr:col>
      <xdr:colOff>1123950</xdr:colOff>
      <xdr:row>158</xdr:row>
      <xdr:rowOff>152400</xdr:rowOff>
    </xdr:from>
    <xdr:to>
      <xdr:col>13</xdr:col>
      <xdr:colOff>1924050</xdr:colOff>
      <xdr:row>159</xdr:row>
      <xdr:rowOff>180975</xdr:rowOff>
    </xdr:to>
    <xdr:pic>
      <xdr:nvPicPr>
        <xdr:cNvPr id="6" name="Picture 6"/>
        <xdr:cNvPicPr preferRelativeResize="1">
          <a:picLocks noChangeAspect="1"/>
        </xdr:cNvPicPr>
      </xdr:nvPicPr>
      <xdr:blipFill>
        <a:blip r:link="rId2"/>
        <a:stretch>
          <a:fillRect/>
        </a:stretch>
      </xdr:blipFill>
      <xdr:spPr>
        <a:xfrm>
          <a:off x="16449675" y="32346900"/>
          <a:ext cx="800100" cy="228600"/>
        </a:xfrm>
        <a:prstGeom prst="rect">
          <a:avLst/>
        </a:prstGeom>
        <a:noFill/>
        <a:ln w="9525" cmpd="sng">
          <a:noFill/>
        </a:ln>
      </xdr:spPr>
    </xdr:pic>
    <xdr:clientData/>
  </xdr:twoCellAnchor>
  <xdr:twoCellAnchor>
    <xdr:from>
      <xdr:col>13</xdr:col>
      <xdr:colOff>1152525</xdr:colOff>
      <xdr:row>108</xdr:row>
      <xdr:rowOff>161925</xdr:rowOff>
    </xdr:from>
    <xdr:to>
      <xdr:col>13</xdr:col>
      <xdr:colOff>1952625</xdr:colOff>
      <xdr:row>109</xdr:row>
      <xdr:rowOff>190500</xdr:rowOff>
    </xdr:to>
    <xdr:pic>
      <xdr:nvPicPr>
        <xdr:cNvPr id="7" name="Picture 7"/>
        <xdr:cNvPicPr preferRelativeResize="1">
          <a:picLocks noChangeAspect="1"/>
        </xdr:cNvPicPr>
      </xdr:nvPicPr>
      <xdr:blipFill>
        <a:blip r:link="rId2"/>
        <a:stretch>
          <a:fillRect/>
        </a:stretch>
      </xdr:blipFill>
      <xdr:spPr>
        <a:xfrm>
          <a:off x="16478250" y="22307550"/>
          <a:ext cx="800100" cy="228600"/>
        </a:xfrm>
        <a:prstGeom prst="rect">
          <a:avLst/>
        </a:prstGeom>
        <a:noFill/>
        <a:ln w="9525" cmpd="sng">
          <a:noFill/>
        </a:ln>
      </xdr:spPr>
    </xdr:pic>
    <xdr:clientData/>
  </xdr:twoCellAnchor>
  <xdr:twoCellAnchor>
    <xdr:from>
      <xdr:col>13</xdr:col>
      <xdr:colOff>1152525</xdr:colOff>
      <xdr:row>50</xdr:row>
      <xdr:rowOff>161925</xdr:rowOff>
    </xdr:from>
    <xdr:to>
      <xdr:col>13</xdr:col>
      <xdr:colOff>1952625</xdr:colOff>
      <xdr:row>51</xdr:row>
      <xdr:rowOff>190500</xdr:rowOff>
    </xdr:to>
    <xdr:pic>
      <xdr:nvPicPr>
        <xdr:cNvPr id="8" name="Picture 8"/>
        <xdr:cNvPicPr preferRelativeResize="1">
          <a:picLocks noChangeAspect="1"/>
        </xdr:cNvPicPr>
      </xdr:nvPicPr>
      <xdr:blipFill>
        <a:blip r:link="rId2"/>
        <a:stretch>
          <a:fillRect/>
        </a:stretch>
      </xdr:blipFill>
      <xdr:spPr>
        <a:xfrm>
          <a:off x="16478250" y="10258425"/>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190500</xdr:rowOff>
    </xdr:from>
    <xdr:to>
      <xdr:col>1</xdr:col>
      <xdr:colOff>0</xdr:colOff>
      <xdr:row>51</xdr:row>
      <xdr:rowOff>228600</xdr:rowOff>
    </xdr:to>
    <xdr:pic>
      <xdr:nvPicPr>
        <xdr:cNvPr id="1" name="Picture 1"/>
        <xdr:cNvPicPr preferRelativeResize="1">
          <a:picLocks noChangeAspect="1"/>
        </xdr:cNvPicPr>
      </xdr:nvPicPr>
      <xdr:blipFill>
        <a:blip r:link="rId1"/>
        <a:stretch>
          <a:fillRect/>
        </a:stretch>
      </xdr:blipFill>
      <xdr:spPr>
        <a:xfrm>
          <a:off x="0" y="10287000"/>
          <a:ext cx="314325" cy="238125"/>
        </a:xfrm>
        <a:prstGeom prst="rect">
          <a:avLst/>
        </a:prstGeom>
        <a:noFill/>
        <a:ln w="9525" cmpd="sng">
          <a:noFill/>
        </a:ln>
      </xdr:spPr>
    </xdr:pic>
    <xdr:clientData/>
  </xdr:twoCellAnchor>
  <xdr:twoCellAnchor>
    <xdr:from>
      <xdr:col>0</xdr:col>
      <xdr:colOff>28575</xdr:colOff>
      <xdr:row>109</xdr:row>
      <xdr:rowOff>161925</xdr:rowOff>
    </xdr:from>
    <xdr:to>
      <xdr:col>1</xdr:col>
      <xdr:colOff>28575</xdr:colOff>
      <xdr:row>110</xdr:row>
      <xdr:rowOff>200025</xdr:rowOff>
    </xdr:to>
    <xdr:pic>
      <xdr:nvPicPr>
        <xdr:cNvPr id="2" name="Picture 2"/>
        <xdr:cNvPicPr preferRelativeResize="1">
          <a:picLocks noChangeAspect="1"/>
        </xdr:cNvPicPr>
      </xdr:nvPicPr>
      <xdr:blipFill>
        <a:blip r:link="rId1"/>
        <a:stretch>
          <a:fillRect/>
        </a:stretch>
      </xdr:blipFill>
      <xdr:spPr>
        <a:xfrm>
          <a:off x="28575" y="22507575"/>
          <a:ext cx="314325" cy="238125"/>
        </a:xfrm>
        <a:prstGeom prst="rect">
          <a:avLst/>
        </a:prstGeom>
        <a:noFill/>
        <a:ln w="9525" cmpd="sng">
          <a:noFill/>
        </a:ln>
      </xdr:spPr>
    </xdr:pic>
    <xdr:clientData/>
  </xdr:twoCellAnchor>
  <xdr:twoCellAnchor>
    <xdr:from>
      <xdr:col>0</xdr:col>
      <xdr:colOff>47625</xdr:colOff>
      <xdr:row>160</xdr:row>
      <xdr:rowOff>171450</xdr:rowOff>
    </xdr:from>
    <xdr:to>
      <xdr:col>1</xdr:col>
      <xdr:colOff>47625</xdr:colOff>
      <xdr:row>161</xdr:row>
      <xdr:rowOff>209550</xdr:rowOff>
    </xdr:to>
    <xdr:pic>
      <xdr:nvPicPr>
        <xdr:cNvPr id="3" name="Picture 3"/>
        <xdr:cNvPicPr preferRelativeResize="1">
          <a:picLocks noChangeAspect="1"/>
        </xdr:cNvPicPr>
      </xdr:nvPicPr>
      <xdr:blipFill>
        <a:blip r:link="rId1"/>
        <a:stretch>
          <a:fillRect/>
        </a:stretch>
      </xdr:blipFill>
      <xdr:spPr>
        <a:xfrm>
          <a:off x="47625" y="32766000"/>
          <a:ext cx="314325" cy="238125"/>
        </a:xfrm>
        <a:prstGeom prst="rect">
          <a:avLst/>
        </a:prstGeom>
        <a:noFill/>
        <a:ln w="9525" cmpd="sng">
          <a:noFill/>
        </a:ln>
      </xdr:spPr>
    </xdr:pic>
    <xdr:clientData/>
  </xdr:twoCellAnchor>
  <xdr:twoCellAnchor>
    <xdr:from>
      <xdr:col>0</xdr:col>
      <xdr:colOff>9525</xdr:colOff>
      <xdr:row>242</xdr:row>
      <xdr:rowOff>161925</xdr:rowOff>
    </xdr:from>
    <xdr:to>
      <xdr:col>1</xdr:col>
      <xdr:colOff>9525</xdr:colOff>
      <xdr:row>243</xdr:row>
      <xdr:rowOff>200025</xdr:rowOff>
    </xdr:to>
    <xdr:pic>
      <xdr:nvPicPr>
        <xdr:cNvPr id="4" name="Picture 4"/>
        <xdr:cNvPicPr preferRelativeResize="1">
          <a:picLocks noChangeAspect="1"/>
        </xdr:cNvPicPr>
      </xdr:nvPicPr>
      <xdr:blipFill>
        <a:blip r:link="rId1"/>
        <a:stretch>
          <a:fillRect/>
        </a:stretch>
      </xdr:blipFill>
      <xdr:spPr>
        <a:xfrm>
          <a:off x="9525" y="49244250"/>
          <a:ext cx="314325" cy="238125"/>
        </a:xfrm>
        <a:prstGeom prst="rect">
          <a:avLst/>
        </a:prstGeom>
        <a:noFill/>
        <a:ln w="9525" cmpd="sng">
          <a:noFill/>
        </a:ln>
      </xdr:spPr>
    </xdr:pic>
    <xdr:clientData/>
  </xdr:twoCellAnchor>
  <xdr:twoCellAnchor>
    <xdr:from>
      <xdr:col>13</xdr:col>
      <xdr:colOff>1095375</xdr:colOff>
      <xdr:row>242</xdr:row>
      <xdr:rowOff>123825</xdr:rowOff>
    </xdr:from>
    <xdr:to>
      <xdr:col>13</xdr:col>
      <xdr:colOff>1895475</xdr:colOff>
      <xdr:row>243</xdr:row>
      <xdr:rowOff>152400</xdr:rowOff>
    </xdr:to>
    <xdr:pic>
      <xdr:nvPicPr>
        <xdr:cNvPr id="5" name="Picture 5"/>
        <xdr:cNvPicPr preferRelativeResize="1">
          <a:picLocks noChangeAspect="1"/>
        </xdr:cNvPicPr>
      </xdr:nvPicPr>
      <xdr:blipFill>
        <a:blip r:link="rId2"/>
        <a:stretch>
          <a:fillRect/>
        </a:stretch>
      </xdr:blipFill>
      <xdr:spPr>
        <a:xfrm>
          <a:off x="16421100" y="49206150"/>
          <a:ext cx="800100" cy="228600"/>
        </a:xfrm>
        <a:prstGeom prst="rect">
          <a:avLst/>
        </a:prstGeom>
        <a:noFill/>
        <a:ln w="9525" cmpd="sng">
          <a:noFill/>
        </a:ln>
      </xdr:spPr>
    </xdr:pic>
    <xdr:clientData/>
  </xdr:twoCellAnchor>
  <xdr:twoCellAnchor>
    <xdr:from>
      <xdr:col>13</xdr:col>
      <xdr:colOff>1123950</xdr:colOff>
      <xdr:row>160</xdr:row>
      <xdr:rowOff>152400</xdr:rowOff>
    </xdr:from>
    <xdr:to>
      <xdr:col>13</xdr:col>
      <xdr:colOff>1924050</xdr:colOff>
      <xdr:row>161</xdr:row>
      <xdr:rowOff>180975</xdr:rowOff>
    </xdr:to>
    <xdr:pic>
      <xdr:nvPicPr>
        <xdr:cNvPr id="6" name="Picture 6"/>
        <xdr:cNvPicPr preferRelativeResize="1">
          <a:picLocks noChangeAspect="1"/>
        </xdr:cNvPicPr>
      </xdr:nvPicPr>
      <xdr:blipFill>
        <a:blip r:link="rId2"/>
        <a:stretch>
          <a:fillRect/>
        </a:stretch>
      </xdr:blipFill>
      <xdr:spPr>
        <a:xfrm>
          <a:off x="16449675" y="32746950"/>
          <a:ext cx="800100" cy="228600"/>
        </a:xfrm>
        <a:prstGeom prst="rect">
          <a:avLst/>
        </a:prstGeom>
        <a:noFill/>
        <a:ln w="9525" cmpd="sng">
          <a:noFill/>
        </a:ln>
      </xdr:spPr>
    </xdr:pic>
    <xdr:clientData/>
  </xdr:twoCellAnchor>
  <xdr:twoCellAnchor>
    <xdr:from>
      <xdr:col>13</xdr:col>
      <xdr:colOff>1152525</xdr:colOff>
      <xdr:row>109</xdr:row>
      <xdr:rowOff>161925</xdr:rowOff>
    </xdr:from>
    <xdr:to>
      <xdr:col>13</xdr:col>
      <xdr:colOff>1952625</xdr:colOff>
      <xdr:row>110</xdr:row>
      <xdr:rowOff>190500</xdr:rowOff>
    </xdr:to>
    <xdr:pic>
      <xdr:nvPicPr>
        <xdr:cNvPr id="7" name="Picture 7"/>
        <xdr:cNvPicPr preferRelativeResize="1">
          <a:picLocks noChangeAspect="1"/>
        </xdr:cNvPicPr>
      </xdr:nvPicPr>
      <xdr:blipFill>
        <a:blip r:link="rId2"/>
        <a:stretch>
          <a:fillRect/>
        </a:stretch>
      </xdr:blipFill>
      <xdr:spPr>
        <a:xfrm>
          <a:off x="16478250" y="22507575"/>
          <a:ext cx="800100" cy="228600"/>
        </a:xfrm>
        <a:prstGeom prst="rect">
          <a:avLst/>
        </a:prstGeom>
        <a:noFill/>
        <a:ln w="9525" cmpd="sng">
          <a:noFill/>
        </a:ln>
      </xdr:spPr>
    </xdr:pic>
    <xdr:clientData/>
  </xdr:twoCellAnchor>
  <xdr:twoCellAnchor>
    <xdr:from>
      <xdr:col>13</xdr:col>
      <xdr:colOff>1152525</xdr:colOff>
      <xdr:row>50</xdr:row>
      <xdr:rowOff>161925</xdr:rowOff>
    </xdr:from>
    <xdr:to>
      <xdr:col>13</xdr:col>
      <xdr:colOff>1952625</xdr:colOff>
      <xdr:row>51</xdr:row>
      <xdr:rowOff>190500</xdr:rowOff>
    </xdr:to>
    <xdr:pic>
      <xdr:nvPicPr>
        <xdr:cNvPr id="8" name="Picture 8"/>
        <xdr:cNvPicPr preferRelativeResize="1">
          <a:picLocks noChangeAspect="1"/>
        </xdr:cNvPicPr>
      </xdr:nvPicPr>
      <xdr:blipFill>
        <a:blip r:link="rId2"/>
        <a:stretch>
          <a:fillRect/>
        </a:stretch>
      </xdr:blipFill>
      <xdr:spPr>
        <a:xfrm>
          <a:off x="16478250" y="10258425"/>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200</xdr:row>
      <xdr:rowOff>161925</xdr:rowOff>
    </xdr:from>
    <xdr:to>
      <xdr:col>1</xdr:col>
      <xdr:colOff>9525</xdr:colOff>
      <xdr:row>201</xdr:row>
      <xdr:rowOff>200025</xdr:rowOff>
    </xdr:to>
    <xdr:pic>
      <xdr:nvPicPr>
        <xdr:cNvPr id="4" name="Picture 4"/>
        <xdr:cNvPicPr preferRelativeResize="1">
          <a:picLocks noChangeAspect="1"/>
        </xdr:cNvPicPr>
      </xdr:nvPicPr>
      <xdr:blipFill>
        <a:blip r:link="rId1"/>
        <a:stretch>
          <a:fillRect/>
        </a:stretch>
      </xdr:blipFill>
      <xdr:spPr>
        <a:xfrm>
          <a:off x="9525" y="40767000"/>
          <a:ext cx="314325" cy="238125"/>
        </a:xfrm>
        <a:prstGeom prst="rect">
          <a:avLst/>
        </a:prstGeom>
        <a:noFill/>
        <a:ln w="9525" cmpd="sng">
          <a:noFill/>
        </a:ln>
      </xdr:spPr>
    </xdr:pic>
    <xdr:clientData/>
  </xdr:twoCellAnchor>
  <xdr:twoCellAnchor>
    <xdr:from>
      <xdr:col>13</xdr:col>
      <xdr:colOff>1095375</xdr:colOff>
      <xdr:row>200</xdr:row>
      <xdr:rowOff>123825</xdr:rowOff>
    </xdr:from>
    <xdr:to>
      <xdr:col>13</xdr:col>
      <xdr:colOff>1895475</xdr:colOff>
      <xdr:row>201</xdr:row>
      <xdr:rowOff>152400</xdr:rowOff>
    </xdr:to>
    <xdr:pic>
      <xdr:nvPicPr>
        <xdr:cNvPr id="5" name="Picture 5"/>
        <xdr:cNvPicPr preferRelativeResize="1">
          <a:picLocks noChangeAspect="1"/>
        </xdr:cNvPicPr>
      </xdr:nvPicPr>
      <xdr:blipFill>
        <a:blip r:link="rId2"/>
        <a:stretch>
          <a:fillRect/>
        </a:stretch>
      </xdr:blipFill>
      <xdr:spPr>
        <a:xfrm>
          <a:off x="16154400" y="40728900"/>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201</xdr:row>
      <xdr:rowOff>161925</xdr:rowOff>
    </xdr:from>
    <xdr:to>
      <xdr:col>1</xdr:col>
      <xdr:colOff>9525</xdr:colOff>
      <xdr:row>202</xdr:row>
      <xdr:rowOff>200025</xdr:rowOff>
    </xdr:to>
    <xdr:pic>
      <xdr:nvPicPr>
        <xdr:cNvPr id="4" name="Picture 4"/>
        <xdr:cNvPicPr preferRelativeResize="1">
          <a:picLocks noChangeAspect="1"/>
        </xdr:cNvPicPr>
      </xdr:nvPicPr>
      <xdr:blipFill>
        <a:blip r:link="rId1"/>
        <a:stretch>
          <a:fillRect/>
        </a:stretch>
      </xdr:blipFill>
      <xdr:spPr>
        <a:xfrm>
          <a:off x="9525" y="40967025"/>
          <a:ext cx="314325" cy="238125"/>
        </a:xfrm>
        <a:prstGeom prst="rect">
          <a:avLst/>
        </a:prstGeom>
        <a:noFill/>
        <a:ln w="9525" cmpd="sng">
          <a:noFill/>
        </a:ln>
      </xdr:spPr>
    </xdr:pic>
    <xdr:clientData/>
  </xdr:twoCellAnchor>
  <xdr:twoCellAnchor>
    <xdr:from>
      <xdr:col>13</xdr:col>
      <xdr:colOff>1095375</xdr:colOff>
      <xdr:row>201</xdr:row>
      <xdr:rowOff>123825</xdr:rowOff>
    </xdr:from>
    <xdr:to>
      <xdr:col>13</xdr:col>
      <xdr:colOff>1895475</xdr:colOff>
      <xdr:row>202</xdr:row>
      <xdr:rowOff>152400</xdr:rowOff>
    </xdr:to>
    <xdr:pic>
      <xdr:nvPicPr>
        <xdr:cNvPr id="5" name="Picture 5"/>
        <xdr:cNvPicPr preferRelativeResize="1">
          <a:picLocks noChangeAspect="1"/>
        </xdr:cNvPicPr>
      </xdr:nvPicPr>
      <xdr:blipFill>
        <a:blip r:link="rId2"/>
        <a:stretch>
          <a:fillRect/>
        </a:stretch>
      </xdr:blipFill>
      <xdr:spPr>
        <a:xfrm>
          <a:off x="16154400" y="40928925"/>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201</xdr:row>
      <xdr:rowOff>161925</xdr:rowOff>
    </xdr:from>
    <xdr:to>
      <xdr:col>1</xdr:col>
      <xdr:colOff>9525</xdr:colOff>
      <xdr:row>202</xdr:row>
      <xdr:rowOff>200025</xdr:rowOff>
    </xdr:to>
    <xdr:pic>
      <xdr:nvPicPr>
        <xdr:cNvPr id="4" name="Picture 4"/>
        <xdr:cNvPicPr preferRelativeResize="1">
          <a:picLocks noChangeAspect="1"/>
        </xdr:cNvPicPr>
      </xdr:nvPicPr>
      <xdr:blipFill>
        <a:blip r:link="rId1"/>
        <a:stretch>
          <a:fillRect/>
        </a:stretch>
      </xdr:blipFill>
      <xdr:spPr>
        <a:xfrm>
          <a:off x="9525" y="40967025"/>
          <a:ext cx="314325" cy="238125"/>
        </a:xfrm>
        <a:prstGeom prst="rect">
          <a:avLst/>
        </a:prstGeom>
        <a:noFill/>
        <a:ln w="9525" cmpd="sng">
          <a:noFill/>
        </a:ln>
      </xdr:spPr>
    </xdr:pic>
    <xdr:clientData/>
  </xdr:twoCellAnchor>
  <xdr:twoCellAnchor>
    <xdr:from>
      <xdr:col>13</xdr:col>
      <xdr:colOff>1095375</xdr:colOff>
      <xdr:row>201</xdr:row>
      <xdr:rowOff>123825</xdr:rowOff>
    </xdr:from>
    <xdr:to>
      <xdr:col>13</xdr:col>
      <xdr:colOff>1895475</xdr:colOff>
      <xdr:row>202</xdr:row>
      <xdr:rowOff>152400</xdr:rowOff>
    </xdr:to>
    <xdr:pic>
      <xdr:nvPicPr>
        <xdr:cNvPr id="5" name="Picture 5"/>
        <xdr:cNvPicPr preferRelativeResize="1">
          <a:picLocks noChangeAspect="1"/>
        </xdr:cNvPicPr>
      </xdr:nvPicPr>
      <xdr:blipFill>
        <a:blip r:link="rId2"/>
        <a:stretch>
          <a:fillRect/>
        </a:stretch>
      </xdr:blipFill>
      <xdr:spPr>
        <a:xfrm>
          <a:off x="16154400" y="40928925"/>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201</xdr:row>
      <xdr:rowOff>161925</xdr:rowOff>
    </xdr:from>
    <xdr:to>
      <xdr:col>1</xdr:col>
      <xdr:colOff>9525</xdr:colOff>
      <xdr:row>202</xdr:row>
      <xdr:rowOff>200025</xdr:rowOff>
    </xdr:to>
    <xdr:pic>
      <xdr:nvPicPr>
        <xdr:cNvPr id="4" name="Picture 4"/>
        <xdr:cNvPicPr preferRelativeResize="1">
          <a:picLocks noChangeAspect="1"/>
        </xdr:cNvPicPr>
      </xdr:nvPicPr>
      <xdr:blipFill>
        <a:blip r:link="rId1"/>
        <a:stretch>
          <a:fillRect/>
        </a:stretch>
      </xdr:blipFill>
      <xdr:spPr>
        <a:xfrm>
          <a:off x="9525" y="40967025"/>
          <a:ext cx="314325" cy="238125"/>
        </a:xfrm>
        <a:prstGeom prst="rect">
          <a:avLst/>
        </a:prstGeom>
        <a:noFill/>
        <a:ln w="9525" cmpd="sng">
          <a:noFill/>
        </a:ln>
      </xdr:spPr>
    </xdr:pic>
    <xdr:clientData/>
  </xdr:twoCellAnchor>
  <xdr:twoCellAnchor>
    <xdr:from>
      <xdr:col>13</xdr:col>
      <xdr:colOff>1095375</xdr:colOff>
      <xdr:row>201</xdr:row>
      <xdr:rowOff>123825</xdr:rowOff>
    </xdr:from>
    <xdr:to>
      <xdr:col>13</xdr:col>
      <xdr:colOff>1895475</xdr:colOff>
      <xdr:row>202</xdr:row>
      <xdr:rowOff>152400</xdr:rowOff>
    </xdr:to>
    <xdr:pic>
      <xdr:nvPicPr>
        <xdr:cNvPr id="5" name="Picture 5"/>
        <xdr:cNvPicPr preferRelativeResize="1">
          <a:picLocks noChangeAspect="1"/>
        </xdr:cNvPicPr>
      </xdr:nvPicPr>
      <xdr:blipFill>
        <a:blip r:link="rId2"/>
        <a:stretch>
          <a:fillRect/>
        </a:stretch>
      </xdr:blipFill>
      <xdr:spPr>
        <a:xfrm>
          <a:off x="16154400" y="40928925"/>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201</xdr:row>
      <xdr:rowOff>161925</xdr:rowOff>
    </xdr:from>
    <xdr:to>
      <xdr:col>1</xdr:col>
      <xdr:colOff>9525</xdr:colOff>
      <xdr:row>202</xdr:row>
      <xdr:rowOff>200025</xdr:rowOff>
    </xdr:to>
    <xdr:pic>
      <xdr:nvPicPr>
        <xdr:cNvPr id="4" name="Picture 4"/>
        <xdr:cNvPicPr preferRelativeResize="1">
          <a:picLocks noChangeAspect="1"/>
        </xdr:cNvPicPr>
      </xdr:nvPicPr>
      <xdr:blipFill>
        <a:blip r:link="rId1"/>
        <a:stretch>
          <a:fillRect/>
        </a:stretch>
      </xdr:blipFill>
      <xdr:spPr>
        <a:xfrm>
          <a:off x="9525" y="40967025"/>
          <a:ext cx="314325" cy="238125"/>
        </a:xfrm>
        <a:prstGeom prst="rect">
          <a:avLst/>
        </a:prstGeom>
        <a:noFill/>
        <a:ln w="9525" cmpd="sng">
          <a:noFill/>
        </a:ln>
      </xdr:spPr>
    </xdr:pic>
    <xdr:clientData/>
  </xdr:twoCellAnchor>
  <xdr:twoCellAnchor>
    <xdr:from>
      <xdr:col>13</xdr:col>
      <xdr:colOff>1095375</xdr:colOff>
      <xdr:row>201</xdr:row>
      <xdr:rowOff>123825</xdr:rowOff>
    </xdr:from>
    <xdr:to>
      <xdr:col>13</xdr:col>
      <xdr:colOff>1895475</xdr:colOff>
      <xdr:row>202</xdr:row>
      <xdr:rowOff>152400</xdr:rowOff>
    </xdr:to>
    <xdr:pic>
      <xdr:nvPicPr>
        <xdr:cNvPr id="5" name="Picture 5"/>
        <xdr:cNvPicPr preferRelativeResize="1">
          <a:picLocks noChangeAspect="1"/>
        </xdr:cNvPicPr>
      </xdr:nvPicPr>
      <xdr:blipFill>
        <a:blip r:link="rId2"/>
        <a:stretch>
          <a:fillRect/>
        </a:stretch>
      </xdr:blipFill>
      <xdr:spPr>
        <a:xfrm>
          <a:off x="16154400" y="40928925"/>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190500</xdr:rowOff>
    </xdr:from>
    <xdr:to>
      <xdr:col>1</xdr:col>
      <xdr:colOff>0</xdr:colOff>
      <xdr:row>50</xdr:row>
      <xdr:rowOff>228600</xdr:rowOff>
    </xdr:to>
    <xdr:pic>
      <xdr:nvPicPr>
        <xdr:cNvPr id="1" name="Picture 1"/>
        <xdr:cNvPicPr preferRelativeResize="1">
          <a:picLocks noChangeAspect="1"/>
        </xdr:cNvPicPr>
      </xdr:nvPicPr>
      <xdr:blipFill>
        <a:blip r:link="rId1"/>
        <a:stretch>
          <a:fillRect/>
        </a:stretch>
      </xdr:blipFill>
      <xdr:spPr>
        <a:xfrm>
          <a:off x="0" y="10048875"/>
          <a:ext cx="314325" cy="238125"/>
        </a:xfrm>
        <a:prstGeom prst="rect">
          <a:avLst/>
        </a:prstGeom>
        <a:noFill/>
        <a:ln w="9525" cmpd="sng">
          <a:noFill/>
        </a:ln>
      </xdr:spPr>
    </xdr:pic>
    <xdr:clientData/>
  </xdr:twoCellAnchor>
  <xdr:twoCellAnchor>
    <xdr:from>
      <xdr:col>0</xdr:col>
      <xdr:colOff>28575</xdr:colOff>
      <xdr:row>104</xdr:row>
      <xdr:rowOff>161925</xdr:rowOff>
    </xdr:from>
    <xdr:to>
      <xdr:col>1</xdr:col>
      <xdr:colOff>28575</xdr:colOff>
      <xdr:row>105</xdr:row>
      <xdr:rowOff>200025</xdr:rowOff>
    </xdr:to>
    <xdr:pic>
      <xdr:nvPicPr>
        <xdr:cNvPr id="2" name="Picture 2"/>
        <xdr:cNvPicPr preferRelativeResize="1">
          <a:picLocks noChangeAspect="1"/>
        </xdr:cNvPicPr>
      </xdr:nvPicPr>
      <xdr:blipFill>
        <a:blip r:link="rId1"/>
        <a:stretch>
          <a:fillRect/>
        </a:stretch>
      </xdr:blipFill>
      <xdr:spPr>
        <a:xfrm>
          <a:off x="28575" y="21469350"/>
          <a:ext cx="314325" cy="238125"/>
        </a:xfrm>
        <a:prstGeom prst="rect">
          <a:avLst/>
        </a:prstGeom>
        <a:noFill/>
        <a:ln w="9525" cmpd="sng">
          <a:noFill/>
        </a:ln>
      </xdr:spPr>
    </xdr:pic>
    <xdr:clientData/>
  </xdr:twoCellAnchor>
  <xdr:twoCellAnchor>
    <xdr:from>
      <xdr:col>0</xdr:col>
      <xdr:colOff>47625</xdr:colOff>
      <xdr:row>154</xdr:row>
      <xdr:rowOff>171450</xdr:rowOff>
    </xdr:from>
    <xdr:to>
      <xdr:col>1</xdr:col>
      <xdr:colOff>47625</xdr:colOff>
      <xdr:row>155</xdr:row>
      <xdr:rowOff>209550</xdr:rowOff>
    </xdr:to>
    <xdr:pic>
      <xdr:nvPicPr>
        <xdr:cNvPr id="3" name="Picture 3"/>
        <xdr:cNvPicPr preferRelativeResize="1">
          <a:picLocks noChangeAspect="1"/>
        </xdr:cNvPicPr>
      </xdr:nvPicPr>
      <xdr:blipFill>
        <a:blip r:link="rId1"/>
        <a:stretch>
          <a:fillRect/>
        </a:stretch>
      </xdr:blipFill>
      <xdr:spPr>
        <a:xfrm>
          <a:off x="47625" y="31527750"/>
          <a:ext cx="314325" cy="238125"/>
        </a:xfrm>
        <a:prstGeom prst="rect">
          <a:avLst/>
        </a:prstGeom>
        <a:noFill/>
        <a:ln w="9525" cmpd="sng">
          <a:noFill/>
        </a:ln>
      </xdr:spPr>
    </xdr:pic>
    <xdr:clientData/>
  </xdr:twoCellAnchor>
  <xdr:twoCellAnchor>
    <xdr:from>
      <xdr:col>0</xdr:col>
      <xdr:colOff>9525</xdr:colOff>
      <xdr:row>206</xdr:row>
      <xdr:rowOff>161925</xdr:rowOff>
    </xdr:from>
    <xdr:to>
      <xdr:col>1</xdr:col>
      <xdr:colOff>9525</xdr:colOff>
      <xdr:row>207</xdr:row>
      <xdr:rowOff>200025</xdr:rowOff>
    </xdr:to>
    <xdr:pic>
      <xdr:nvPicPr>
        <xdr:cNvPr id="4" name="Picture 4"/>
        <xdr:cNvPicPr preferRelativeResize="1">
          <a:picLocks noChangeAspect="1"/>
        </xdr:cNvPicPr>
      </xdr:nvPicPr>
      <xdr:blipFill>
        <a:blip r:link="rId1"/>
        <a:stretch>
          <a:fillRect/>
        </a:stretch>
      </xdr:blipFill>
      <xdr:spPr>
        <a:xfrm>
          <a:off x="9525" y="41967150"/>
          <a:ext cx="314325" cy="238125"/>
        </a:xfrm>
        <a:prstGeom prst="rect">
          <a:avLst/>
        </a:prstGeom>
        <a:noFill/>
        <a:ln w="9525" cmpd="sng">
          <a:noFill/>
        </a:ln>
      </xdr:spPr>
    </xdr:pic>
    <xdr:clientData/>
  </xdr:twoCellAnchor>
  <xdr:twoCellAnchor>
    <xdr:from>
      <xdr:col>13</xdr:col>
      <xdr:colOff>1095375</xdr:colOff>
      <xdr:row>206</xdr:row>
      <xdr:rowOff>123825</xdr:rowOff>
    </xdr:from>
    <xdr:to>
      <xdr:col>13</xdr:col>
      <xdr:colOff>1895475</xdr:colOff>
      <xdr:row>207</xdr:row>
      <xdr:rowOff>152400</xdr:rowOff>
    </xdr:to>
    <xdr:pic>
      <xdr:nvPicPr>
        <xdr:cNvPr id="5" name="Picture 5"/>
        <xdr:cNvPicPr preferRelativeResize="1">
          <a:picLocks noChangeAspect="1"/>
        </xdr:cNvPicPr>
      </xdr:nvPicPr>
      <xdr:blipFill>
        <a:blip r:link="rId2"/>
        <a:stretch>
          <a:fillRect/>
        </a:stretch>
      </xdr:blipFill>
      <xdr:spPr>
        <a:xfrm>
          <a:off x="16154400" y="41929050"/>
          <a:ext cx="800100" cy="228600"/>
        </a:xfrm>
        <a:prstGeom prst="rect">
          <a:avLst/>
        </a:prstGeom>
        <a:noFill/>
        <a:ln w="9525" cmpd="sng">
          <a:noFill/>
        </a:ln>
      </xdr:spPr>
    </xdr:pic>
    <xdr:clientData/>
  </xdr:twoCellAnchor>
  <xdr:twoCellAnchor>
    <xdr:from>
      <xdr:col>13</xdr:col>
      <xdr:colOff>1123950</xdr:colOff>
      <xdr:row>154</xdr:row>
      <xdr:rowOff>152400</xdr:rowOff>
    </xdr:from>
    <xdr:to>
      <xdr:col>13</xdr:col>
      <xdr:colOff>1924050</xdr:colOff>
      <xdr:row>155</xdr:row>
      <xdr:rowOff>180975</xdr:rowOff>
    </xdr:to>
    <xdr:pic>
      <xdr:nvPicPr>
        <xdr:cNvPr id="6" name="Picture 6"/>
        <xdr:cNvPicPr preferRelativeResize="1">
          <a:picLocks noChangeAspect="1"/>
        </xdr:cNvPicPr>
      </xdr:nvPicPr>
      <xdr:blipFill>
        <a:blip r:link="rId2"/>
        <a:stretch>
          <a:fillRect/>
        </a:stretch>
      </xdr:blipFill>
      <xdr:spPr>
        <a:xfrm>
          <a:off x="16182975" y="31508700"/>
          <a:ext cx="800100" cy="228600"/>
        </a:xfrm>
        <a:prstGeom prst="rect">
          <a:avLst/>
        </a:prstGeom>
        <a:noFill/>
        <a:ln w="9525" cmpd="sng">
          <a:noFill/>
        </a:ln>
      </xdr:spPr>
    </xdr:pic>
    <xdr:clientData/>
  </xdr:twoCellAnchor>
  <xdr:twoCellAnchor>
    <xdr:from>
      <xdr:col>13</xdr:col>
      <xdr:colOff>1152525</xdr:colOff>
      <xdr:row>104</xdr:row>
      <xdr:rowOff>161925</xdr:rowOff>
    </xdr:from>
    <xdr:to>
      <xdr:col>13</xdr:col>
      <xdr:colOff>1952625</xdr:colOff>
      <xdr:row>105</xdr:row>
      <xdr:rowOff>190500</xdr:rowOff>
    </xdr:to>
    <xdr:pic>
      <xdr:nvPicPr>
        <xdr:cNvPr id="7" name="Picture 7"/>
        <xdr:cNvPicPr preferRelativeResize="1">
          <a:picLocks noChangeAspect="1"/>
        </xdr:cNvPicPr>
      </xdr:nvPicPr>
      <xdr:blipFill>
        <a:blip r:link="rId2"/>
        <a:stretch>
          <a:fillRect/>
        </a:stretch>
      </xdr:blipFill>
      <xdr:spPr>
        <a:xfrm>
          <a:off x="16211550" y="21469350"/>
          <a:ext cx="800100" cy="228600"/>
        </a:xfrm>
        <a:prstGeom prst="rect">
          <a:avLst/>
        </a:prstGeom>
        <a:noFill/>
        <a:ln w="9525" cmpd="sng">
          <a:noFill/>
        </a:ln>
      </xdr:spPr>
    </xdr:pic>
    <xdr:clientData/>
  </xdr:twoCellAnchor>
  <xdr:twoCellAnchor>
    <xdr:from>
      <xdr:col>13</xdr:col>
      <xdr:colOff>1152525</xdr:colOff>
      <xdr:row>49</xdr:row>
      <xdr:rowOff>161925</xdr:rowOff>
    </xdr:from>
    <xdr:to>
      <xdr:col>13</xdr:col>
      <xdr:colOff>1952625</xdr:colOff>
      <xdr:row>50</xdr:row>
      <xdr:rowOff>190500</xdr:rowOff>
    </xdr:to>
    <xdr:pic>
      <xdr:nvPicPr>
        <xdr:cNvPr id="8" name="Picture 8"/>
        <xdr:cNvPicPr preferRelativeResize="1">
          <a:picLocks noChangeAspect="1"/>
        </xdr:cNvPicPr>
      </xdr:nvPicPr>
      <xdr:blipFill>
        <a:blip r:link="rId2"/>
        <a:stretch>
          <a:fillRect/>
        </a:stretch>
      </xdr:blipFill>
      <xdr:spPr>
        <a:xfrm>
          <a:off x="16211550" y="10020300"/>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190500</xdr:rowOff>
    </xdr:from>
    <xdr:to>
      <xdr:col>1</xdr:col>
      <xdr:colOff>0</xdr:colOff>
      <xdr:row>51</xdr:row>
      <xdr:rowOff>228600</xdr:rowOff>
    </xdr:to>
    <xdr:pic>
      <xdr:nvPicPr>
        <xdr:cNvPr id="1" name="Picture 1"/>
        <xdr:cNvPicPr preferRelativeResize="1">
          <a:picLocks noChangeAspect="1"/>
        </xdr:cNvPicPr>
      </xdr:nvPicPr>
      <xdr:blipFill>
        <a:blip r:link="rId1"/>
        <a:stretch>
          <a:fillRect/>
        </a:stretch>
      </xdr:blipFill>
      <xdr:spPr>
        <a:xfrm>
          <a:off x="0" y="10287000"/>
          <a:ext cx="314325" cy="238125"/>
        </a:xfrm>
        <a:prstGeom prst="rect">
          <a:avLst/>
        </a:prstGeom>
        <a:noFill/>
        <a:ln w="9525" cmpd="sng">
          <a:noFill/>
        </a:ln>
      </xdr:spPr>
    </xdr:pic>
    <xdr:clientData/>
  </xdr:twoCellAnchor>
  <xdr:twoCellAnchor>
    <xdr:from>
      <xdr:col>0</xdr:col>
      <xdr:colOff>28575</xdr:colOff>
      <xdr:row>105</xdr:row>
      <xdr:rowOff>161925</xdr:rowOff>
    </xdr:from>
    <xdr:to>
      <xdr:col>1</xdr:col>
      <xdr:colOff>28575</xdr:colOff>
      <xdr:row>106</xdr:row>
      <xdr:rowOff>200025</xdr:rowOff>
    </xdr:to>
    <xdr:pic>
      <xdr:nvPicPr>
        <xdr:cNvPr id="2" name="Picture 2"/>
        <xdr:cNvPicPr preferRelativeResize="1">
          <a:picLocks noChangeAspect="1"/>
        </xdr:cNvPicPr>
      </xdr:nvPicPr>
      <xdr:blipFill>
        <a:blip r:link="rId1"/>
        <a:stretch>
          <a:fillRect/>
        </a:stretch>
      </xdr:blipFill>
      <xdr:spPr>
        <a:xfrm>
          <a:off x="28575" y="21707475"/>
          <a:ext cx="314325" cy="238125"/>
        </a:xfrm>
        <a:prstGeom prst="rect">
          <a:avLst/>
        </a:prstGeom>
        <a:noFill/>
        <a:ln w="9525" cmpd="sng">
          <a:noFill/>
        </a:ln>
      </xdr:spPr>
    </xdr:pic>
    <xdr:clientData/>
  </xdr:twoCellAnchor>
  <xdr:twoCellAnchor>
    <xdr:from>
      <xdr:col>0</xdr:col>
      <xdr:colOff>47625</xdr:colOff>
      <xdr:row>155</xdr:row>
      <xdr:rowOff>171450</xdr:rowOff>
    </xdr:from>
    <xdr:to>
      <xdr:col>1</xdr:col>
      <xdr:colOff>47625</xdr:colOff>
      <xdr:row>156</xdr:row>
      <xdr:rowOff>209550</xdr:rowOff>
    </xdr:to>
    <xdr:pic>
      <xdr:nvPicPr>
        <xdr:cNvPr id="3" name="Picture 3"/>
        <xdr:cNvPicPr preferRelativeResize="1">
          <a:picLocks noChangeAspect="1"/>
        </xdr:cNvPicPr>
      </xdr:nvPicPr>
      <xdr:blipFill>
        <a:blip r:link="rId1"/>
        <a:stretch>
          <a:fillRect/>
        </a:stretch>
      </xdr:blipFill>
      <xdr:spPr>
        <a:xfrm>
          <a:off x="47625" y="31765875"/>
          <a:ext cx="314325" cy="238125"/>
        </a:xfrm>
        <a:prstGeom prst="rect">
          <a:avLst/>
        </a:prstGeom>
        <a:noFill/>
        <a:ln w="9525" cmpd="sng">
          <a:noFill/>
        </a:ln>
      </xdr:spPr>
    </xdr:pic>
    <xdr:clientData/>
  </xdr:twoCellAnchor>
  <xdr:twoCellAnchor>
    <xdr:from>
      <xdr:col>0</xdr:col>
      <xdr:colOff>9525</xdr:colOff>
      <xdr:row>231</xdr:row>
      <xdr:rowOff>161925</xdr:rowOff>
    </xdr:from>
    <xdr:to>
      <xdr:col>1</xdr:col>
      <xdr:colOff>9525</xdr:colOff>
      <xdr:row>232</xdr:row>
      <xdr:rowOff>200025</xdr:rowOff>
    </xdr:to>
    <xdr:pic>
      <xdr:nvPicPr>
        <xdr:cNvPr id="4" name="Picture 4"/>
        <xdr:cNvPicPr preferRelativeResize="1">
          <a:picLocks noChangeAspect="1"/>
        </xdr:cNvPicPr>
      </xdr:nvPicPr>
      <xdr:blipFill>
        <a:blip r:link="rId1"/>
        <a:stretch>
          <a:fillRect/>
        </a:stretch>
      </xdr:blipFill>
      <xdr:spPr>
        <a:xfrm>
          <a:off x="9525" y="47043975"/>
          <a:ext cx="314325" cy="238125"/>
        </a:xfrm>
        <a:prstGeom prst="rect">
          <a:avLst/>
        </a:prstGeom>
        <a:noFill/>
        <a:ln w="9525" cmpd="sng">
          <a:noFill/>
        </a:ln>
      </xdr:spPr>
    </xdr:pic>
    <xdr:clientData/>
  </xdr:twoCellAnchor>
  <xdr:twoCellAnchor>
    <xdr:from>
      <xdr:col>13</xdr:col>
      <xdr:colOff>1095375</xdr:colOff>
      <xdr:row>231</xdr:row>
      <xdr:rowOff>123825</xdr:rowOff>
    </xdr:from>
    <xdr:to>
      <xdr:col>13</xdr:col>
      <xdr:colOff>1895475</xdr:colOff>
      <xdr:row>232</xdr:row>
      <xdr:rowOff>152400</xdr:rowOff>
    </xdr:to>
    <xdr:pic>
      <xdr:nvPicPr>
        <xdr:cNvPr id="5" name="Picture 5"/>
        <xdr:cNvPicPr preferRelativeResize="1">
          <a:picLocks noChangeAspect="1"/>
        </xdr:cNvPicPr>
      </xdr:nvPicPr>
      <xdr:blipFill>
        <a:blip r:link="rId2"/>
        <a:stretch>
          <a:fillRect/>
        </a:stretch>
      </xdr:blipFill>
      <xdr:spPr>
        <a:xfrm>
          <a:off x="16154400" y="47005875"/>
          <a:ext cx="800100" cy="228600"/>
        </a:xfrm>
        <a:prstGeom prst="rect">
          <a:avLst/>
        </a:prstGeom>
        <a:noFill/>
        <a:ln w="9525" cmpd="sng">
          <a:noFill/>
        </a:ln>
      </xdr:spPr>
    </xdr:pic>
    <xdr:clientData/>
  </xdr:twoCellAnchor>
  <xdr:twoCellAnchor>
    <xdr:from>
      <xdr:col>13</xdr:col>
      <xdr:colOff>1123950</xdr:colOff>
      <xdr:row>155</xdr:row>
      <xdr:rowOff>152400</xdr:rowOff>
    </xdr:from>
    <xdr:to>
      <xdr:col>13</xdr:col>
      <xdr:colOff>1924050</xdr:colOff>
      <xdr:row>156</xdr:row>
      <xdr:rowOff>180975</xdr:rowOff>
    </xdr:to>
    <xdr:pic>
      <xdr:nvPicPr>
        <xdr:cNvPr id="6" name="Picture 6"/>
        <xdr:cNvPicPr preferRelativeResize="1">
          <a:picLocks noChangeAspect="1"/>
        </xdr:cNvPicPr>
      </xdr:nvPicPr>
      <xdr:blipFill>
        <a:blip r:link="rId2"/>
        <a:stretch>
          <a:fillRect/>
        </a:stretch>
      </xdr:blipFill>
      <xdr:spPr>
        <a:xfrm>
          <a:off x="16182975" y="31746825"/>
          <a:ext cx="800100" cy="228600"/>
        </a:xfrm>
        <a:prstGeom prst="rect">
          <a:avLst/>
        </a:prstGeom>
        <a:noFill/>
        <a:ln w="9525" cmpd="sng">
          <a:noFill/>
        </a:ln>
      </xdr:spPr>
    </xdr:pic>
    <xdr:clientData/>
  </xdr:twoCellAnchor>
  <xdr:twoCellAnchor>
    <xdr:from>
      <xdr:col>13</xdr:col>
      <xdr:colOff>1152525</xdr:colOff>
      <xdr:row>105</xdr:row>
      <xdr:rowOff>161925</xdr:rowOff>
    </xdr:from>
    <xdr:to>
      <xdr:col>13</xdr:col>
      <xdr:colOff>1952625</xdr:colOff>
      <xdr:row>106</xdr:row>
      <xdr:rowOff>190500</xdr:rowOff>
    </xdr:to>
    <xdr:pic>
      <xdr:nvPicPr>
        <xdr:cNvPr id="7" name="Picture 7"/>
        <xdr:cNvPicPr preferRelativeResize="1">
          <a:picLocks noChangeAspect="1"/>
        </xdr:cNvPicPr>
      </xdr:nvPicPr>
      <xdr:blipFill>
        <a:blip r:link="rId2"/>
        <a:stretch>
          <a:fillRect/>
        </a:stretch>
      </xdr:blipFill>
      <xdr:spPr>
        <a:xfrm>
          <a:off x="16211550" y="21707475"/>
          <a:ext cx="800100" cy="228600"/>
        </a:xfrm>
        <a:prstGeom prst="rect">
          <a:avLst/>
        </a:prstGeom>
        <a:noFill/>
        <a:ln w="9525" cmpd="sng">
          <a:noFill/>
        </a:ln>
      </xdr:spPr>
    </xdr:pic>
    <xdr:clientData/>
  </xdr:twoCellAnchor>
  <xdr:twoCellAnchor>
    <xdr:from>
      <xdr:col>13</xdr:col>
      <xdr:colOff>1152525</xdr:colOff>
      <xdr:row>50</xdr:row>
      <xdr:rowOff>161925</xdr:rowOff>
    </xdr:from>
    <xdr:to>
      <xdr:col>13</xdr:col>
      <xdr:colOff>1952625</xdr:colOff>
      <xdr:row>51</xdr:row>
      <xdr:rowOff>190500</xdr:rowOff>
    </xdr:to>
    <xdr:pic>
      <xdr:nvPicPr>
        <xdr:cNvPr id="8" name="Picture 8"/>
        <xdr:cNvPicPr preferRelativeResize="1">
          <a:picLocks noChangeAspect="1"/>
        </xdr:cNvPicPr>
      </xdr:nvPicPr>
      <xdr:blipFill>
        <a:blip r:link="rId2"/>
        <a:stretch>
          <a:fillRect/>
        </a:stretch>
      </xdr:blipFill>
      <xdr:spPr>
        <a:xfrm>
          <a:off x="16211550" y="10258425"/>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190500</xdr:rowOff>
    </xdr:from>
    <xdr:to>
      <xdr:col>1</xdr:col>
      <xdr:colOff>0</xdr:colOff>
      <xdr:row>51</xdr:row>
      <xdr:rowOff>228600</xdr:rowOff>
    </xdr:to>
    <xdr:pic>
      <xdr:nvPicPr>
        <xdr:cNvPr id="1" name="Picture 1"/>
        <xdr:cNvPicPr preferRelativeResize="1">
          <a:picLocks noChangeAspect="1"/>
        </xdr:cNvPicPr>
      </xdr:nvPicPr>
      <xdr:blipFill>
        <a:blip r:link="rId1"/>
        <a:stretch>
          <a:fillRect/>
        </a:stretch>
      </xdr:blipFill>
      <xdr:spPr>
        <a:xfrm>
          <a:off x="0" y="10287000"/>
          <a:ext cx="314325" cy="238125"/>
        </a:xfrm>
        <a:prstGeom prst="rect">
          <a:avLst/>
        </a:prstGeom>
        <a:noFill/>
        <a:ln w="9525" cmpd="sng">
          <a:noFill/>
        </a:ln>
      </xdr:spPr>
    </xdr:pic>
    <xdr:clientData/>
  </xdr:twoCellAnchor>
  <xdr:twoCellAnchor>
    <xdr:from>
      <xdr:col>0</xdr:col>
      <xdr:colOff>28575</xdr:colOff>
      <xdr:row>105</xdr:row>
      <xdr:rowOff>161925</xdr:rowOff>
    </xdr:from>
    <xdr:to>
      <xdr:col>1</xdr:col>
      <xdr:colOff>28575</xdr:colOff>
      <xdr:row>106</xdr:row>
      <xdr:rowOff>200025</xdr:rowOff>
    </xdr:to>
    <xdr:pic>
      <xdr:nvPicPr>
        <xdr:cNvPr id="2" name="Picture 2"/>
        <xdr:cNvPicPr preferRelativeResize="1">
          <a:picLocks noChangeAspect="1"/>
        </xdr:cNvPicPr>
      </xdr:nvPicPr>
      <xdr:blipFill>
        <a:blip r:link="rId1"/>
        <a:stretch>
          <a:fillRect/>
        </a:stretch>
      </xdr:blipFill>
      <xdr:spPr>
        <a:xfrm>
          <a:off x="28575" y="21707475"/>
          <a:ext cx="314325" cy="238125"/>
        </a:xfrm>
        <a:prstGeom prst="rect">
          <a:avLst/>
        </a:prstGeom>
        <a:noFill/>
        <a:ln w="9525" cmpd="sng">
          <a:noFill/>
        </a:ln>
      </xdr:spPr>
    </xdr:pic>
    <xdr:clientData/>
  </xdr:twoCellAnchor>
  <xdr:twoCellAnchor>
    <xdr:from>
      <xdr:col>0</xdr:col>
      <xdr:colOff>47625</xdr:colOff>
      <xdr:row>155</xdr:row>
      <xdr:rowOff>171450</xdr:rowOff>
    </xdr:from>
    <xdr:to>
      <xdr:col>1</xdr:col>
      <xdr:colOff>47625</xdr:colOff>
      <xdr:row>156</xdr:row>
      <xdr:rowOff>209550</xdr:rowOff>
    </xdr:to>
    <xdr:pic>
      <xdr:nvPicPr>
        <xdr:cNvPr id="3" name="Picture 3"/>
        <xdr:cNvPicPr preferRelativeResize="1">
          <a:picLocks noChangeAspect="1"/>
        </xdr:cNvPicPr>
      </xdr:nvPicPr>
      <xdr:blipFill>
        <a:blip r:link="rId1"/>
        <a:stretch>
          <a:fillRect/>
        </a:stretch>
      </xdr:blipFill>
      <xdr:spPr>
        <a:xfrm>
          <a:off x="47625" y="31765875"/>
          <a:ext cx="314325" cy="238125"/>
        </a:xfrm>
        <a:prstGeom prst="rect">
          <a:avLst/>
        </a:prstGeom>
        <a:noFill/>
        <a:ln w="9525" cmpd="sng">
          <a:noFill/>
        </a:ln>
      </xdr:spPr>
    </xdr:pic>
    <xdr:clientData/>
  </xdr:twoCellAnchor>
  <xdr:twoCellAnchor>
    <xdr:from>
      <xdr:col>0</xdr:col>
      <xdr:colOff>9525</xdr:colOff>
      <xdr:row>233</xdr:row>
      <xdr:rowOff>161925</xdr:rowOff>
    </xdr:from>
    <xdr:to>
      <xdr:col>1</xdr:col>
      <xdr:colOff>9525</xdr:colOff>
      <xdr:row>234</xdr:row>
      <xdr:rowOff>200025</xdr:rowOff>
    </xdr:to>
    <xdr:pic>
      <xdr:nvPicPr>
        <xdr:cNvPr id="4" name="Picture 4"/>
        <xdr:cNvPicPr preferRelativeResize="1">
          <a:picLocks noChangeAspect="1"/>
        </xdr:cNvPicPr>
      </xdr:nvPicPr>
      <xdr:blipFill>
        <a:blip r:link="rId1"/>
        <a:stretch>
          <a:fillRect/>
        </a:stretch>
      </xdr:blipFill>
      <xdr:spPr>
        <a:xfrm>
          <a:off x="9525" y="47444025"/>
          <a:ext cx="314325" cy="238125"/>
        </a:xfrm>
        <a:prstGeom prst="rect">
          <a:avLst/>
        </a:prstGeom>
        <a:noFill/>
        <a:ln w="9525" cmpd="sng">
          <a:noFill/>
        </a:ln>
      </xdr:spPr>
    </xdr:pic>
    <xdr:clientData/>
  </xdr:twoCellAnchor>
  <xdr:twoCellAnchor>
    <xdr:from>
      <xdr:col>13</xdr:col>
      <xdr:colOff>1095375</xdr:colOff>
      <xdr:row>233</xdr:row>
      <xdr:rowOff>123825</xdr:rowOff>
    </xdr:from>
    <xdr:to>
      <xdr:col>13</xdr:col>
      <xdr:colOff>1895475</xdr:colOff>
      <xdr:row>234</xdr:row>
      <xdr:rowOff>152400</xdr:rowOff>
    </xdr:to>
    <xdr:pic>
      <xdr:nvPicPr>
        <xdr:cNvPr id="5" name="Picture 5"/>
        <xdr:cNvPicPr preferRelativeResize="1">
          <a:picLocks noChangeAspect="1"/>
        </xdr:cNvPicPr>
      </xdr:nvPicPr>
      <xdr:blipFill>
        <a:blip r:link="rId2"/>
        <a:stretch>
          <a:fillRect/>
        </a:stretch>
      </xdr:blipFill>
      <xdr:spPr>
        <a:xfrm>
          <a:off x="16421100" y="47405925"/>
          <a:ext cx="800100" cy="228600"/>
        </a:xfrm>
        <a:prstGeom prst="rect">
          <a:avLst/>
        </a:prstGeom>
        <a:noFill/>
        <a:ln w="9525" cmpd="sng">
          <a:noFill/>
        </a:ln>
      </xdr:spPr>
    </xdr:pic>
    <xdr:clientData/>
  </xdr:twoCellAnchor>
  <xdr:twoCellAnchor>
    <xdr:from>
      <xdr:col>13</xdr:col>
      <xdr:colOff>1123950</xdr:colOff>
      <xdr:row>155</xdr:row>
      <xdr:rowOff>152400</xdr:rowOff>
    </xdr:from>
    <xdr:to>
      <xdr:col>13</xdr:col>
      <xdr:colOff>1924050</xdr:colOff>
      <xdr:row>156</xdr:row>
      <xdr:rowOff>180975</xdr:rowOff>
    </xdr:to>
    <xdr:pic>
      <xdr:nvPicPr>
        <xdr:cNvPr id="6" name="Picture 6"/>
        <xdr:cNvPicPr preferRelativeResize="1">
          <a:picLocks noChangeAspect="1"/>
        </xdr:cNvPicPr>
      </xdr:nvPicPr>
      <xdr:blipFill>
        <a:blip r:link="rId2"/>
        <a:stretch>
          <a:fillRect/>
        </a:stretch>
      </xdr:blipFill>
      <xdr:spPr>
        <a:xfrm>
          <a:off x="16449675" y="31746825"/>
          <a:ext cx="800100" cy="228600"/>
        </a:xfrm>
        <a:prstGeom prst="rect">
          <a:avLst/>
        </a:prstGeom>
        <a:noFill/>
        <a:ln w="9525" cmpd="sng">
          <a:noFill/>
        </a:ln>
      </xdr:spPr>
    </xdr:pic>
    <xdr:clientData/>
  </xdr:twoCellAnchor>
  <xdr:twoCellAnchor>
    <xdr:from>
      <xdr:col>13</xdr:col>
      <xdr:colOff>1152525</xdr:colOff>
      <xdr:row>105</xdr:row>
      <xdr:rowOff>161925</xdr:rowOff>
    </xdr:from>
    <xdr:to>
      <xdr:col>13</xdr:col>
      <xdr:colOff>1952625</xdr:colOff>
      <xdr:row>106</xdr:row>
      <xdr:rowOff>190500</xdr:rowOff>
    </xdr:to>
    <xdr:pic>
      <xdr:nvPicPr>
        <xdr:cNvPr id="7" name="Picture 7"/>
        <xdr:cNvPicPr preferRelativeResize="1">
          <a:picLocks noChangeAspect="1"/>
        </xdr:cNvPicPr>
      </xdr:nvPicPr>
      <xdr:blipFill>
        <a:blip r:link="rId2"/>
        <a:stretch>
          <a:fillRect/>
        </a:stretch>
      </xdr:blipFill>
      <xdr:spPr>
        <a:xfrm>
          <a:off x="16478250" y="21707475"/>
          <a:ext cx="800100" cy="228600"/>
        </a:xfrm>
        <a:prstGeom prst="rect">
          <a:avLst/>
        </a:prstGeom>
        <a:noFill/>
        <a:ln w="9525" cmpd="sng">
          <a:noFill/>
        </a:ln>
      </xdr:spPr>
    </xdr:pic>
    <xdr:clientData/>
  </xdr:twoCellAnchor>
  <xdr:twoCellAnchor>
    <xdr:from>
      <xdr:col>13</xdr:col>
      <xdr:colOff>1152525</xdr:colOff>
      <xdr:row>50</xdr:row>
      <xdr:rowOff>161925</xdr:rowOff>
    </xdr:from>
    <xdr:to>
      <xdr:col>13</xdr:col>
      <xdr:colOff>1952625</xdr:colOff>
      <xdr:row>51</xdr:row>
      <xdr:rowOff>190500</xdr:rowOff>
    </xdr:to>
    <xdr:pic>
      <xdr:nvPicPr>
        <xdr:cNvPr id="8" name="Picture 8"/>
        <xdr:cNvPicPr preferRelativeResize="1">
          <a:picLocks noChangeAspect="1"/>
        </xdr:cNvPicPr>
      </xdr:nvPicPr>
      <xdr:blipFill>
        <a:blip r:link="rId2"/>
        <a:stretch>
          <a:fillRect/>
        </a:stretch>
      </xdr:blipFill>
      <xdr:spPr>
        <a:xfrm>
          <a:off x="16478250" y="10258425"/>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aragon-group.co.uk/" TargetMode="External" /><Relationship Id="rId2" Type="http://schemas.openxmlformats.org/officeDocument/2006/relationships/hyperlink" Target="http://www.paragon-group.co.uk/"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O20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37880</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
      <c r="M22" s="14"/>
      <c r="N22" s="9"/>
      <c r="O22" s="6"/>
    </row>
    <row r="23" spans="1:15" ht="15.75">
      <c r="A23" s="26"/>
      <c r="B23" s="27" t="s">
        <v>12</v>
      </c>
      <c r="C23" s="131" t="s">
        <v>143</v>
      </c>
      <c r="D23" s="131" t="s">
        <v>143</v>
      </c>
      <c r="E23" s="29" t="s">
        <v>148</v>
      </c>
      <c r="F23" s="29"/>
      <c r="G23" s="29" t="s">
        <v>148</v>
      </c>
      <c r="H23" s="29"/>
      <c r="I23" s="29" t="s">
        <v>166</v>
      </c>
      <c r="J23" s="29"/>
      <c r="K23" s="29"/>
      <c r="L23" s="30"/>
      <c r="M23" s="30"/>
      <c r="N23" s="27"/>
      <c r="O23" s="6"/>
    </row>
    <row r="24" spans="1:15" ht="15.75">
      <c r="A24" s="26"/>
      <c r="B24" s="27" t="s">
        <v>13</v>
      </c>
      <c r="C24" s="28"/>
      <c r="D24" s="28"/>
      <c r="E24" s="29" t="s">
        <v>149</v>
      </c>
      <c r="F24" s="29"/>
      <c r="G24" s="29" t="s">
        <v>149</v>
      </c>
      <c r="H24" s="29"/>
      <c r="I24" s="29" t="s">
        <v>167</v>
      </c>
      <c r="J24" s="29"/>
      <c r="K24" s="29"/>
      <c r="L24" s="30"/>
      <c r="M24" s="30"/>
      <c r="N24" s="27"/>
      <c r="O24" s="6"/>
    </row>
    <row r="25" spans="1:15" ht="15.75">
      <c r="A25" s="31"/>
      <c r="B25" s="32" t="s">
        <v>14</v>
      </c>
      <c r="C25" s="32"/>
      <c r="D25" s="32"/>
      <c r="E25" s="33" t="s">
        <v>148</v>
      </c>
      <c r="F25" s="33"/>
      <c r="G25" s="33" t="s">
        <v>148</v>
      </c>
      <c r="H25" s="33"/>
      <c r="I25" s="33" t="s">
        <v>166</v>
      </c>
      <c r="J25" s="29"/>
      <c r="K25" s="29"/>
      <c r="L25" s="30"/>
      <c r="M25" s="30"/>
      <c r="N25" s="27"/>
      <c r="O25" s="6"/>
    </row>
    <row r="26" spans="1:15" ht="15.75">
      <c r="A26" s="31"/>
      <c r="B26" s="32" t="s">
        <v>15</v>
      </c>
      <c r="C26" s="32"/>
      <c r="D26" s="32"/>
      <c r="E26" s="33" t="s">
        <v>149</v>
      </c>
      <c r="F26" s="33"/>
      <c r="G26" s="33" t="s">
        <v>149</v>
      </c>
      <c r="H26" s="33"/>
      <c r="I26" s="33" t="s">
        <v>167</v>
      </c>
      <c r="J26" s="29"/>
      <c r="K26" s="29"/>
      <c r="L26" s="30"/>
      <c r="M26" s="30"/>
      <c r="N26" s="27"/>
      <c r="O26" s="6"/>
    </row>
    <row r="27" spans="1:15" ht="15.75">
      <c r="A27" s="26"/>
      <c r="B27" s="27" t="s">
        <v>16</v>
      </c>
      <c r="C27" s="27"/>
      <c r="D27" s="27"/>
      <c r="E27" s="34" t="s">
        <v>150</v>
      </c>
      <c r="F27" s="29"/>
      <c r="G27" s="34" t="s">
        <v>158</v>
      </c>
      <c r="H27" s="29"/>
      <c r="I27" s="34" t="s">
        <v>168</v>
      </c>
      <c r="J27" s="29"/>
      <c r="K27" s="34"/>
      <c r="L27" s="30"/>
      <c r="M27" s="30"/>
      <c r="N27" s="27"/>
      <c r="O27" s="6"/>
    </row>
    <row r="28" spans="1:15" ht="15.75">
      <c r="A28" s="26"/>
      <c r="B28" s="27"/>
      <c r="C28" s="27"/>
      <c r="D28" s="27"/>
      <c r="E28" s="27"/>
      <c r="F28" s="29"/>
      <c r="G28" s="29"/>
      <c r="H28" s="29"/>
      <c r="I28" s="29"/>
      <c r="J28" s="29"/>
      <c r="K28" s="29"/>
      <c r="L28" s="30"/>
      <c r="M28" s="30"/>
      <c r="N28" s="27"/>
      <c r="O28" s="6"/>
    </row>
    <row r="29" spans="1:15" ht="15.75">
      <c r="A29" s="26"/>
      <c r="B29" s="27" t="s">
        <v>17</v>
      </c>
      <c r="C29" s="27"/>
      <c r="D29" s="27"/>
      <c r="E29" s="35">
        <v>50000</v>
      </c>
      <c r="F29" s="36"/>
      <c r="G29" s="35">
        <v>176250</v>
      </c>
      <c r="H29" s="35"/>
      <c r="I29" s="35">
        <v>23750</v>
      </c>
      <c r="J29" s="35"/>
      <c r="K29" s="35"/>
      <c r="L29" s="37"/>
      <c r="M29" s="35">
        <f>I29+G29+E29</f>
        <v>250000</v>
      </c>
      <c r="N29" s="38"/>
      <c r="O29" s="6"/>
    </row>
    <row r="30" spans="1:15" ht="15.75">
      <c r="A30" s="26"/>
      <c r="B30" s="27" t="s">
        <v>18</v>
      </c>
      <c r="C30" s="39">
        <v>1</v>
      </c>
      <c r="D30" s="39">
        <v>1</v>
      </c>
      <c r="E30" s="35">
        <f>E29*C30</f>
        <v>50000</v>
      </c>
      <c r="F30" s="36"/>
      <c r="G30" s="35">
        <v>176250</v>
      </c>
      <c r="H30" s="35"/>
      <c r="I30" s="35">
        <v>23750</v>
      </c>
      <c r="J30" s="35"/>
      <c r="K30" s="35"/>
      <c r="L30" s="37"/>
      <c r="M30" s="35">
        <f>I30+G30+E30</f>
        <v>250000</v>
      </c>
      <c r="N30" s="38"/>
      <c r="O30" s="6"/>
    </row>
    <row r="31" spans="1:15" ht="15.75">
      <c r="A31" s="31"/>
      <c r="B31" s="32" t="s">
        <v>19</v>
      </c>
      <c r="C31" s="39">
        <v>0.973355</v>
      </c>
      <c r="D31" s="39">
        <v>1</v>
      </c>
      <c r="E31" s="40">
        <f>E29*C31</f>
        <v>48667.75</v>
      </c>
      <c r="F31" s="41"/>
      <c r="G31" s="40">
        <v>176250</v>
      </c>
      <c r="H31" s="40"/>
      <c r="I31" s="40">
        <v>23750</v>
      </c>
      <c r="J31" s="40"/>
      <c r="K31" s="40"/>
      <c r="L31" s="42"/>
      <c r="M31" s="40">
        <f>I31+G31+E31</f>
        <v>248667.75</v>
      </c>
      <c r="N31" s="38"/>
      <c r="O31" s="6"/>
    </row>
    <row r="32" spans="1:15" ht="15.75">
      <c r="A32" s="26"/>
      <c r="B32" s="27" t="s">
        <v>20</v>
      </c>
      <c r="C32" s="43"/>
      <c r="D32" s="43"/>
      <c r="E32" s="34" t="s">
        <v>151</v>
      </c>
      <c r="F32" s="27"/>
      <c r="G32" s="34" t="s">
        <v>159</v>
      </c>
      <c r="H32" s="34"/>
      <c r="I32" s="34" t="s">
        <v>169</v>
      </c>
      <c r="J32" s="34"/>
      <c r="K32" s="34"/>
      <c r="L32" s="30"/>
      <c r="M32" s="30"/>
      <c r="N32" s="27"/>
      <c r="O32" s="6"/>
    </row>
    <row r="33" spans="1:15" ht="15.75">
      <c r="A33" s="26"/>
      <c r="B33" s="27" t="s">
        <v>21</v>
      </c>
      <c r="C33" s="27"/>
      <c r="D33" s="27"/>
      <c r="E33" s="44">
        <v>0.0387266</v>
      </c>
      <c r="F33" s="27"/>
      <c r="G33" s="44">
        <v>0.0397266</v>
      </c>
      <c r="H33" s="45"/>
      <c r="I33" s="44">
        <v>0.0500266</v>
      </c>
      <c r="J33" s="45"/>
      <c r="K33" s="44"/>
      <c r="L33" s="30"/>
      <c r="M33" s="45">
        <f>SUMPRODUCT(E33:I33,E30:I30)/M30</f>
        <v>0.04050510000000001</v>
      </c>
      <c r="N33" s="27"/>
      <c r="O33" s="6"/>
    </row>
    <row r="34" spans="1:15" ht="15.75">
      <c r="A34" s="26"/>
      <c r="B34" s="27" t="s">
        <v>22</v>
      </c>
      <c r="C34" s="27"/>
      <c r="D34" s="27"/>
      <c r="E34" s="44">
        <v>0</v>
      </c>
      <c r="F34" s="27"/>
      <c r="G34" s="44">
        <v>0</v>
      </c>
      <c r="H34" s="45"/>
      <c r="I34" s="44">
        <v>0</v>
      </c>
      <c r="J34" s="45"/>
      <c r="K34" s="44"/>
      <c r="L34" s="30"/>
      <c r="M34" s="30"/>
      <c r="N34" s="27"/>
      <c r="O34" s="6"/>
    </row>
    <row r="35" spans="1:15" ht="15.75">
      <c r="A35" s="26"/>
      <c r="B35" s="27" t="s">
        <v>23</v>
      </c>
      <c r="C35" s="27"/>
      <c r="D35" s="27"/>
      <c r="E35" s="126">
        <v>38875</v>
      </c>
      <c r="F35" s="126"/>
      <c r="G35" s="126">
        <v>38875</v>
      </c>
      <c r="H35" s="126"/>
      <c r="I35" s="126">
        <v>38875</v>
      </c>
      <c r="J35" s="34"/>
      <c r="K35" s="34"/>
      <c r="L35" s="30"/>
      <c r="M35" s="30"/>
      <c r="N35" s="27"/>
      <c r="O35" s="6"/>
    </row>
    <row r="36" spans="1:15" ht="15.75">
      <c r="A36" s="26"/>
      <c r="B36" s="27" t="s">
        <v>24</v>
      </c>
      <c r="C36" s="27"/>
      <c r="D36" s="27"/>
      <c r="E36" s="126">
        <v>39240</v>
      </c>
      <c r="F36" s="126"/>
      <c r="G36" s="126">
        <v>39240</v>
      </c>
      <c r="H36" s="126"/>
      <c r="I36" s="126">
        <v>39240</v>
      </c>
      <c r="J36" s="34"/>
      <c r="K36" s="34"/>
      <c r="L36" s="30"/>
      <c r="M36" s="30"/>
      <c r="N36" s="27"/>
      <c r="O36" s="6"/>
    </row>
    <row r="37" spans="1:15" ht="15.75">
      <c r="A37" s="26"/>
      <c r="B37" s="27" t="s">
        <v>25</v>
      </c>
      <c r="C37" s="27"/>
      <c r="D37" s="27"/>
      <c r="E37" s="34" t="s">
        <v>152</v>
      </c>
      <c r="F37" s="27"/>
      <c r="G37" s="34" t="s">
        <v>160</v>
      </c>
      <c r="H37" s="34"/>
      <c r="I37" s="34" t="s">
        <v>170</v>
      </c>
      <c r="J37" s="34"/>
      <c r="K37" s="34"/>
      <c r="L37" s="30"/>
      <c r="M37" s="30"/>
      <c r="N37" s="27"/>
      <c r="O37" s="6"/>
    </row>
    <row r="38" spans="1:15" ht="15.75">
      <c r="A38" s="26"/>
      <c r="B38" s="27"/>
      <c r="C38" s="27"/>
      <c r="D38" s="27"/>
      <c r="E38" s="34"/>
      <c r="F38" s="27"/>
      <c r="G38" s="34"/>
      <c r="H38" s="34"/>
      <c r="I38" s="3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0.10559415608594698</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37872</v>
      </c>
      <c r="N44" s="27"/>
      <c r="O44" s="6"/>
    </row>
    <row r="45" spans="1:15" ht="15.75">
      <c r="A45" s="26"/>
      <c r="B45" s="27" t="s">
        <v>31</v>
      </c>
      <c r="C45" s="27"/>
      <c r="D45" s="27"/>
      <c r="E45" s="27"/>
      <c r="F45" s="27"/>
      <c r="G45" s="27"/>
      <c r="H45" s="27"/>
      <c r="I45" s="27"/>
      <c r="J45" s="63"/>
      <c r="K45" s="51"/>
      <c r="L45" s="52"/>
      <c r="M45" s="51"/>
      <c r="N45" s="27"/>
      <c r="O45" s="6"/>
    </row>
    <row r="46" spans="1:15" ht="15.75">
      <c r="A46" s="26"/>
      <c r="B46" s="27" t="s">
        <v>32</v>
      </c>
      <c r="C46" s="27"/>
      <c r="D46" s="27"/>
      <c r="E46" s="27"/>
      <c r="F46" s="27"/>
      <c r="G46" s="27"/>
      <c r="H46" s="27"/>
      <c r="I46" s="27"/>
      <c r="J46" s="27">
        <f>M46-K46+1</f>
        <v>74</v>
      </c>
      <c r="K46" s="51">
        <v>37798</v>
      </c>
      <c r="L46" s="52"/>
      <c r="M46" s="51">
        <v>37871</v>
      </c>
      <c r="N46" s="27"/>
      <c r="O46" s="6"/>
    </row>
    <row r="47" spans="1:15" ht="15.75">
      <c r="A47" s="26"/>
      <c r="B47" s="27" t="s">
        <v>33</v>
      </c>
      <c r="C47" s="27"/>
      <c r="D47" s="27"/>
      <c r="E47" s="27"/>
      <c r="F47" s="27"/>
      <c r="G47" s="27"/>
      <c r="H47" s="27"/>
      <c r="I47" s="27"/>
      <c r="J47" s="27"/>
      <c r="K47" s="51"/>
      <c r="L47" s="52"/>
      <c r="M47" s="51" t="s">
        <v>192</v>
      </c>
      <c r="N47" s="27"/>
      <c r="O47" s="6"/>
    </row>
    <row r="48" spans="1:15" ht="15.75">
      <c r="A48" s="26"/>
      <c r="B48" s="27" t="s">
        <v>34</v>
      </c>
      <c r="C48" s="27"/>
      <c r="D48" s="27"/>
      <c r="E48" s="27"/>
      <c r="F48" s="27"/>
      <c r="G48" s="27"/>
      <c r="H48" s="27"/>
      <c r="I48" s="27"/>
      <c r="J48" s="27"/>
      <c r="K48" s="51"/>
      <c r="L48" s="52"/>
      <c r="M48" s="51">
        <v>37866</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35</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249994</v>
      </c>
      <c r="F56" s="38"/>
      <c r="G56" s="38">
        <f>1332+2364+343-6</f>
        <v>4033</v>
      </c>
      <c r="H56" s="38"/>
      <c r="I56" s="38">
        <f>2364+343</f>
        <v>2707</v>
      </c>
      <c r="J56" s="38"/>
      <c r="K56" s="38">
        <v>0</v>
      </c>
      <c r="L56" s="38"/>
      <c r="M56" s="59">
        <f>E56-G56+I56-K56</f>
        <v>248668</v>
      </c>
      <c r="N56" s="27"/>
      <c r="O56" s="6"/>
    </row>
    <row r="57" spans="1:15" ht="15.75">
      <c r="A57" s="26"/>
      <c r="B57" s="27" t="s">
        <v>39</v>
      </c>
      <c r="C57" s="38">
        <v>6</v>
      </c>
      <c r="D57" s="38"/>
      <c r="E57" s="59">
        <v>6</v>
      </c>
      <c r="F57" s="38"/>
      <c r="G57" s="38">
        <v>6</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250000</v>
      </c>
      <c r="F59" s="38"/>
      <c r="G59" s="38">
        <f>SUM(G56:G58)</f>
        <v>4039</v>
      </c>
      <c r="H59" s="38"/>
      <c r="I59" s="38">
        <f>SUM(I56:I58)</f>
        <v>2707</v>
      </c>
      <c r="J59" s="38"/>
      <c r="K59" s="38">
        <f>SUM(K56:K58)</f>
        <v>0</v>
      </c>
      <c r="L59" s="38"/>
      <c r="M59" s="60">
        <f>SUM(M56:M58)</f>
        <v>248668</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250000</v>
      </c>
      <c r="F71" s="38"/>
      <c r="G71" s="60"/>
      <c r="H71" s="38"/>
      <c r="I71" s="60"/>
      <c r="J71" s="38"/>
      <c r="K71" s="60"/>
      <c r="L71" s="38"/>
      <c r="M71" s="60">
        <f>SUM(M59:M70)</f>
        <v>248668</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v>37864</v>
      </c>
      <c r="E76" s="63"/>
      <c r="F76" s="27"/>
      <c r="G76" s="27"/>
      <c r="H76" s="27"/>
      <c r="I76" s="27"/>
      <c r="J76" s="27"/>
      <c r="K76" s="38">
        <v>4033</v>
      </c>
      <c r="L76" s="27"/>
      <c r="M76" s="59"/>
      <c r="N76" s="27"/>
      <c r="O76" s="6"/>
    </row>
    <row r="77" spans="1:15" ht="15.75">
      <c r="A77" s="26"/>
      <c r="B77" s="27" t="s">
        <v>49</v>
      </c>
      <c r="C77" s="27"/>
      <c r="D77" s="27"/>
      <c r="E77" s="27"/>
      <c r="F77" s="27"/>
      <c r="G77" s="27"/>
      <c r="H77" s="27"/>
      <c r="I77" s="27"/>
      <c r="J77" s="27"/>
      <c r="K77" s="38"/>
      <c r="L77" s="27"/>
      <c r="M77" s="59">
        <v>3371</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4033</v>
      </c>
      <c r="L79" s="27"/>
      <c r="M79" s="60">
        <f>SUM(M75:M78)</f>
        <v>3371</v>
      </c>
      <c r="N79" s="27"/>
      <c r="O79" s="6"/>
    </row>
    <row r="80" spans="1:15" ht="15.75">
      <c r="A80" s="26"/>
      <c r="B80" s="27" t="s">
        <v>52</v>
      </c>
      <c r="C80" s="27"/>
      <c r="D80" s="27"/>
      <c r="E80" s="27"/>
      <c r="F80" s="27"/>
      <c r="G80" s="27"/>
      <c r="H80" s="27"/>
      <c r="I80" s="27"/>
      <c r="J80" s="27"/>
      <c r="K80" s="38">
        <v>6</v>
      </c>
      <c r="L80" s="27"/>
      <c r="M80" s="59">
        <v>-6</v>
      </c>
      <c r="N80" s="27"/>
      <c r="O80" s="6"/>
    </row>
    <row r="81" spans="1:15" ht="15.75">
      <c r="A81" s="26"/>
      <c r="B81" s="27" t="s">
        <v>53</v>
      </c>
      <c r="C81" s="27"/>
      <c r="D81" s="27"/>
      <c r="E81" s="27"/>
      <c r="F81" s="27"/>
      <c r="G81" s="27"/>
      <c r="H81" s="27"/>
      <c r="I81" s="27"/>
      <c r="J81" s="27"/>
      <c r="K81" s="38">
        <f>K79+K80</f>
        <v>4039</v>
      </c>
      <c r="L81" s="27"/>
      <c r="M81" s="60">
        <f>M79+M80</f>
        <v>3365</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-934</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-138-4</f>
        <v>-142</v>
      </c>
      <c r="N85" s="27"/>
      <c r="O85" s="6"/>
    </row>
    <row r="86" spans="1:15" ht="15.75">
      <c r="A86" s="26">
        <v>4</v>
      </c>
      <c r="B86" s="27" t="s">
        <v>197</v>
      </c>
      <c r="C86" s="27"/>
      <c r="D86" s="27"/>
      <c r="E86" s="27"/>
      <c r="F86" s="27"/>
      <c r="G86" s="27"/>
      <c r="H86" s="27"/>
      <c r="I86" s="27"/>
      <c r="J86" s="27"/>
      <c r="K86" s="27"/>
      <c r="L86" s="27"/>
      <c r="M86" s="59">
        <v>-47</v>
      </c>
      <c r="N86" s="27"/>
      <c r="O86" s="6"/>
    </row>
    <row r="87" spans="1:15" ht="15.75">
      <c r="A87" s="26">
        <v>5</v>
      </c>
      <c r="B87" s="27" t="s">
        <v>58</v>
      </c>
      <c r="C87" s="27"/>
      <c r="D87" s="27"/>
      <c r="E87" s="27"/>
      <c r="F87" s="27"/>
      <c r="G87" s="27"/>
      <c r="H87" s="27"/>
      <c r="I87" s="27"/>
      <c r="J87" s="27"/>
      <c r="K87" s="27"/>
      <c r="L87" s="27"/>
      <c r="M87" s="59">
        <f>-1812</f>
        <v>-1812</v>
      </c>
      <c r="N87" s="27"/>
      <c r="O87" s="6"/>
    </row>
    <row r="88" spans="1:15" ht="15.75">
      <c r="A88" s="26">
        <v>6</v>
      </c>
      <c r="B88" s="27" t="s">
        <v>59</v>
      </c>
      <c r="C88" s="27"/>
      <c r="D88" s="27"/>
      <c r="E88" s="27"/>
      <c r="F88" s="27"/>
      <c r="G88" s="27"/>
      <c r="H88" s="27"/>
      <c r="I88" s="27"/>
      <c r="J88" s="27"/>
      <c r="K88" s="27"/>
      <c r="L88" s="27"/>
      <c r="M88" s="59">
        <v>-241</v>
      </c>
      <c r="N88" s="27"/>
      <c r="O88" s="6"/>
    </row>
    <row r="89" spans="1:15" ht="15.75">
      <c r="A89" s="26">
        <v>7</v>
      </c>
      <c r="B89" s="27" t="s">
        <v>60</v>
      </c>
      <c r="C89" s="27"/>
      <c r="D89" s="27"/>
      <c r="E89" s="27"/>
      <c r="F89" s="27"/>
      <c r="G89" s="27"/>
      <c r="H89" s="27"/>
      <c r="I89" s="27"/>
      <c r="J89" s="27"/>
      <c r="K89" s="27"/>
      <c r="L89" s="27"/>
      <c r="M89" s="59">
        <v>-3</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-39-104</f>
        <v>-143</v>
      </c>
      <c r="N94" s="27"/>
      <c r="O94" s="6"/>
    </row>
    <row r="95" spans="1:15" ht="15.75">
      <c r="A95" s="26">
        <v>13</v>
      </c>
      <c r="B95" s="27" t="s">
        <v>65</v>
      </c>
      <c r="C95" s="27"/>
      <c r="D95" s="27"/>
      <c r="E95" s="27"/>
      <c r="F95" s="27"/>
      <c r="G95" s="27"/>
      <c r="H95" s="27"/>
      <c r="I95" s="27"/>
      <c r="J95" s="27"/>
      <c r="K95" s="27"/>
      <c r="L95" s="27"/>
      <c r="M95" s="59">
        <f>-M81-SUM(M83:M94)</f>
        <v>-41</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-343</v>
      </c>
      <c r="L97" s="38"/>
      <c r="M97" s="59"/>
      <c r="N97" s="27"/>
      <c r="O97" s="6"/>
    </row>
    <row r="98" spans="1:15" ht="15.75">
      <c r="A98" s="26"/>
      <c r="B98" s="27" t="s">
        <v>68</v>
      </c>
      <c r="C98" s="27"/>
      <c r="D98" s="27"/>
      <c r="E98" s="27"/>
      <c r="F98" s="27"/>
      <c r="G98" s="27"/>
      <c r="H98" s="27"/>
      <c r="I98" s="27"/>
      <c r="J98" s="27"/>
      <c r="K98" s="38">
        <f>-I143</f>
        <v>-2364</v>
      </c>
      <c r="L98" s="38"/>
      <c r="M98" s="59"/>
      <c r="N98" s="27"/>
      <c r="O98" s="6"/>
    </row>
    <row r="99" spans="1:15" ht="15.75">
      <c r="A99" s="26"/>
      <c r="B99" s="27" t="s">
        <v>69</v>
      </c>
      <c r="C99" s="27"/>
      <c r="D99" s="27"/>
      <c r="E99" s="27"/>
      <c r="F99" s="27"/>
      <c r="G99" s="27"/>
      <c r="H99" s="27"/>
      <c r="I99" s="27"/>
      <c r="J99" s="27"/>
      <c r="K99" s="38">
        <v>-1332</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-4039</v>
      </c>
      <c r="L102" s="38"/>
      <c r="M102" s="38">
        <f>SUM(M82:M101)</f>
        <v>-3365</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AUGUST 2003</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30"/>
      <c r="D122" s="30"/>
      <c r="E122" s="30"/>
      <c r="F122" s="30"/>
      <c r="G122" s="30"/>
      <c r="H122" s="30"/>
      <c r="I122" s="30"/>
      <c r="J122" s="30"/>
      <c r="K122" s="30"/>
      <c r="L122" s="30"/>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248668</v>
      </c>
      <c r="N136" s="27"/>
      <c r="O136" s="6"/>
    </row>
    <row r="137" spans="1:15" ht="15.75">
      <c r="A137" s="26"/>
      <c r="B137" s="27" t="s">
        <v>95</v>
      </c>
      <c r="C137" s="73"/>
      <c r="D137" s="73"/>
      <c r="E137" s="27"/>
      <c r="F137" s="27"/>
      <c r="G137" s="27"/>
      <c r="H137" s="27"/>
      <c r="I137" s="27"/>
      <c r="J137" s="27"/>
      <c r="K137" s="27"/>
      <c r="L137" s="27"/>
      <c r="M137" s="59">
        <f>M71</f>
        <v>248668</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v>0</v>
      </c>
      <c r="J142" s="27"/>
      <c r="K142" s="59">
        <v>0</v>
      </c>
      <c r="L142" s="27"/>
      <c r="M142" s="59">
        <f>K142+I142</f>
        <v>0</v>
      </c>
      <c r="N142" s="27"/>
      <c r="O142" s="6"/>
    </row>
    <row r="143" spans="1:15" ht="15.75">
      <c r="A143" s="26"/>
      <c r="B143" s="27" t="s">
        <v>99</v>
      </c>
      <c r="C143" s="27"/>
      <c r="D143" s="27"/>
      <c r="E143" s="27"/>
      <c r="F143" s="27"/>
      <c r="G143" s="27"/>
      <c r="H143" s="27"/>
      <c r="I143" s="38">
        <v>2364</v>
      </c>
      <c r="J143" s="27"/>
      <c r="K143" s="27">
        <v>343</v>
      </c>
      <c r="L143" s="27"/>
      <c r="M143" s="59">
        <f>K143+I143</f>
        <v>2707</v>
      </c>
      <c r="N143" s="27"/>
      <c r="O143" s="6"/>
    </row>
    <row r="144" spans="1:15" ht="15.75">
      <c r="A144" s="26"/>
      <c r="B144" s="27" t="s">
        <v>100</v>
      </c>
      <c r="C144" s="27"/>
      <c r="D144" s="27"/>
      <c r="E144" s="27"/>
      <c r="F144" s="27"/>
      <c r="G144" s="27"/>
      <c r="H144" s="27"/>
      <c r="I144" s="59">
        <f>I142+I143</f>
        <v>2364</v>
      </c>
      <c r="J144" s="27"/>
      <c r="K144" s="59">
        <f>K143+K142</f>
        <v>343</v>
      </c>
      <c r="L144" s="27"/>
      <c r="M144" s="59">
        <f>K144+I144</f>
        <v>2707</v>
      </c>
      <c r="N144" s="27"/>
      <c r="O144" s="6"/>
    </row>
    <row r="145" spans="1:15" ht="15.75">
      <c r="A145" s="26"/>
      <c r="B145" s="27" t="s">
        <v>101</v>
      </c>
      <c r="C145" s="27"/>
      <c r="D145" s="27"/>
      <c r="E145" s="27"/>
      <c r="F145" s="27"/>
      <c r="G145" s="27"/>
      <c r="H145" s="27"/>
      <c r="I145" s="59">
        <f>I141-I144-K144</f>
        <v>38293</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1.2362030905077264</v>
      </c>
      <c r="N149" s="27" t="s">
        <v>196</v>
      </c>
      <c r="O149" s="6"/>
    </row>
    <row r="150" spans="1:15" ht="15.75">
      <c r="A150" s="26"/>
      <c r="B150" s="27" t="s">
        <v>104</v>
      </c>
      <c r="C150" s="27"/>
      <c r="D150" s="27"/>
      <c r="E150" s="27"/>
      <c r="F150" s="27"/>
      <c r="G150" s="27"/>
      <c r="H150" s="27"/>
      <c r="I150" s="27"/>
      <c r="J150" s="27"/>
      <c r="K150" s="27"/>
      <c r="L150" s="27"/>
      <c r="M150" s="75">
        <v>1.24</v>
      </c>
      <c r="N150" s="27" t="s">
        <v>196</v>
      </c>
      <c r="O150" s="6"/>
    </row>
    <row r="151" spans="1:15" ht="15.75">
      <c r="A151" s="26"/>
      <c r="B151" s="27" t="s">
        <v>105</v>
      </c>
      <c r="C151" s="27"/>
      <c r="D151" s="27"/>
      <c r="E151" s="27"/>
      <c r="F151" s="27"/>
      <c r="G151" s="27"/>
      <c r="H151" s="27"/>
      <c r="I151" s="27"/>
      <c r="J151" s="27"/>
      <c r="K151" s="27"/>
      <c r="L151" s="27"/>
      <c r="M151" s="65">
        <f>(M81+M83+M84+M85+M86+M87)/-M88</f>
        <v>1.7759336099585061</v>
      </c>
      <c r="N151" s="27" t="s">
        <v>196</v>
      </c>
      <c r="O151" s="6"/>
    </row>
    <row r="152" spans="1:15" ht="15.75">
      <c r="A152" s="26"/>
      <c r="B152" s="27" t="s">
        <v>106</v>
      </c>
      <c r="C152" s="27"/>
      <c r="D152" s="27"/>
      <c r="E152" s="27"/>
      <c r="F152" s="27"/>
      <c r="G152" s="27"/>
      <c r="H152" s="27"/>
      <c r="I152" s="27"/>
      <c r="J152" s="27"/>
      <c r="K152" s="27"/>
      <c r="L152" s="27"/>
      <c r="M152" s="76">
        <v>1.78</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AUGUST 2003</v>
      </c>
      <c r="C156" s="123"/>
      <c r="D156" s="123"/>
      <c r="E156" s="123"/>
      <c r="F156" s="123"/>
      <c r="G156" s="123"/>
      <c r="H156" s="123"/>
      <c r="I156" s="123"/>
      <c r="J156" s="123"/>
      <c r="K156" s="123"/>
      <c r="L156" s="123"/>
      <c r="M156" s="123"/>
      <c r="N156" s="124"/>
      <c r="O156" s="6"/>
    </row>
    <row r="157" spans="1:15" ht="15.75">
      <c r="A157" s="77"/>
      <c r="B157" s="66" t="s">
        <v>107</v>
      </c>
      <c r="C157" s="78"/>
      <c r="D157" s="78"/>
      <c r="E157" s="78"/>
      <c r="F157" s="78"/>
      <c r="G157" s="78"/>
      <c r="H157" s="79"/>
      <c r="I157" s="79"/>
      <c r="J157" s="79"/>
      <c r="K157" s="80">
        <f>D76</f>
        <v>37864</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f>+M33</f>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0.0535</v>
      </c>
      <c r="L162" s="27"/>
      <c r="M162" s="27"/>
      <c r="N162" s="27"/>
      <c r="O162" s="6"/>
    </row>
    <row r="163" spans="1:15" ht="15.75">
      <c r="A163" s="85"/>
      <c r="B163" s="86" t="s">
        <v>112</v>
      </c>
      <c r="C163" s="87"/>
      <c r="D163" s="87"/>
      <c r="E163" s="87"/>
      <c r="F163" s="87"/>
      <c r="G163" s="87"/>
      <c r="H163" s="72"/>
      <c r="I163" s="72"/>
      <c r="J163" s="72"/>
      <c r="K163" s="88">
        <f>M33</f>
        <v>0.04050510000000001</v>
      </c>
      <c r="L163" s="27"/>
      <c r="M163" s="27"/>
      <c r="N163" s="27"/>
      <c r="O163" s="6"/>
    </row>
    <row r="164" spans="1:15" ht="15.75">
      <c r="A164" s="85"/>
      <c r="B164" s="86" t="s">
        <v>113</v>
      </c>
      <c r="C164" s="87"/>
      <c r="D164" s="87"/>
      <c r="E164" s="87"/>
      <c r="F164" s="87"/>
      <c r="G164" s="87"/>
      <c r="H164" s="72"/>
      <c r="I164" s="72"/>
      <c r="J164" s="72"/>
      <c r="K164" s="88">
        <f>K162-K163</f>
        <v>0.01299489999999999</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90">
        <v>21.58</v>
      </c>
      <c r="L167" s="27" t="s">
        <v>188</v>
      </c>
      <c r="M167" s="27"/>
      <c r="N167" s="27"/>
      <c r="O167" s="6"/>
    </row>
    <row r="168" spans="1:15" ht="15.75">
      <c r="A168" s="85"/>
      <c r="B168" s="86" t="s">
        <v>117</v>
      </c>
      <c r="C168" s="87"/>
      <c r="D168" s="87"/>
      <c r="E168" s="87"/>
      <c r="F168" s="87"/>
      <c r="G168" s="87"/>
      <c r="H168" s="72"/>
      <c r="I168" s="72"/>
      <c r="J168" s="72"/>
      <c r="K168" s="90">
        <v>21.34</v>
      </c>
      <c r="L168" s="27" t="s">
        <v>188</v>
      </c>
      <c r="M168" s="27"/>
      <c r="N168" s="27"/>
      <c r="O168" s="6"/>
    </row>
    <row r="169" spans="1:15" ht="15.75">
      <c r="A169" s="85"/>
      <c r="B169" s="86" t="s">
        <v>118</v>
      </c>
      <c r="C169" s="87"/>
      <c r="D169" s="87"/>
      <c r="E169" s="87"/>
      <c r="F169" s="87"/>
      <c r="G169" s="87"/>
      <c r="H169" s="72"/>
      <c r="I169" s="72"/>
      <c r="J169" s="72"/>
      <c r="K169" s="88">
        <f>+G59/C59</f>
        <v>0.016156</v>
      </c>
      <c r="L169" s="27"/>
      <c r="M169" s="27"/>
      <c r="N169" s="27"/>
      <c r="O169" s="6"/>
    </row>
    <row r="170" spans="1:15" ht="15.75">
      <c r="A170" s="85"/>
      <c r="B170" s="86" t="s">
        <v>119</v>
      </c>
      <c r="C170" s="87"/>
      <c r="D170" s="87"/>
      <c r="E170" s="87"/>
      <c r="F170" s="87"/>
      <c r="G170" s="87"/>
      <c r="H170" s="72"/>
      <c r="I170" s="72"/>
      <c r="J170" s="72"/>
      <c r="K170" s="88">
        <v>0.0629</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0</v>
      </c>
      <c r="K173" s="97">
        <v>0</v>
      </c>
      <c r="L173" s="27"/>
      <c r="M173" s="91"/>
      <c r="N173" s="98"/>
      <c r="O173" s="6"/>
    </row>
    <row r="174" spans="1:15" ht="15.75">
      <c r="A174" s="96"/>
      <c r="B174" s="86" t="s">
        <v>122</v>
      </c>
      <c r="C174" s="60"/>
      <c r="D174" s="60"/>
      <c r="E174" s="60"/>
      <c r="F174" s="60"/>
      <c r="G174" s="27"/>
      <c r="H174" s="27"/>
      <c r="I174" s="27"/>
      <c r="J174" s="34">
        <v>0</v>
      </c>
      <c r="K174" s="97">
        <v>0</v>
      </c>
      <c r="L174" s="27"/>
      <c r="M174" s="91"/>
      <c r="N174" s="98"/>
      <c r="O174" s="6"/>
    </row>
    <row r="175" spans="1:15" ht="15.75">
      <c r="A175" s="96"/>
      <c r="B175" s="142" t="s">
        <v>123</v>
      </c>
      <c r="C175" s="60"/>
      <c r="D175" s="60"/>
      <c r="E175" s="60"/>
      <c r="F175" s="60"/>
      <c r="G175" s="27"/>
      <c r="H175" s="27"/>
      <c r="I175" s="27"/>
      <c r="J175" s="27"/>
      <c r="K175" s="97">
        <v>0</v>
      </c>
      <c r="L175" s="27"/>
      <c r="M175" s="91"/>
      <c r="N175" s="98"/>
      <c r="O175" s="6"/>
    </row>
    <row r="176" spans="1:15" ht="15.75">
      <c r="A176" s="96"/>
      <c r="B176" s="142" t="s">
        <v>124</v>
      </c>
      <c r="C176" s="60"/>
      <c r="D176" s="60"/>
      <c r="E176" s="60"/>
      <c r="F176" s="60"/>
      <c r="G176" s="27"/>
      <c r="H176" s="27"/>
      <c r="I176" s="27"/>
      <c r="J176" s="27"/>
      <c r="K176" s="70" t="s">
        <v>185</v>
      </c>
      <c r="L176" s="27"/>
      <c r="M176" s="91"/>
      <c r="N176" s="98"/>
      <c r="O176" s="6"/>
    </row>
    <row r="177" spans="1:15" ht="15.75">
      <c r="A177" s="99"/>
      <c r="B177" s="142" t="s">
        <v>125</v>
      </c>
      <c r="C177" s="60"/>
      <c r="D177" s="60"/>
      <c r="E177" s="86"/>
      <c r="F177" s="86"/>
      <c r="G177" s="86"/>
      <c r="H177" s="27"/>
      <c r="I177" s="27"/>
      <c r="J177" s="27"/>
      <c r="K177" s="97"/>
      <c r="L177" s="27"/>
      <c r="M177" s="91"/>
      <c r="N177" s="100"/>
      <c r="O177" s="6"/>
    </row>
    <row r="178" spans="1:15" ht="15.75">
      <c r="A178" s="96"/>
      <c r="B178" s="86" t="s">
        <v>126</v>
      </c>
      <c r="C178" s="60"/>
      <c r="D178" s="60"/>
      <c r="E178" s="60"/>
      <c r="F178" s="60"/>
      <c r="G178" s="60"/>
      <c r="H178" s="27"/>
      <c r="I178" s="27"/>
      <c r="J178" s="27">
        <v>0</v>
      </c>
      <c r="K178" s="97">
        <f>M128</f>
        <v>0</v>
      </c>
      <c r="L178" s="27" t="s">
        <v>189</v>
      </c>
      <c r="M178" s="91"/>
      <c r="N178" s="128"/>
      <c r="O178" s="127"/>
    </row>
    <row r="179" spans="1:15" ht="15.75">
      <c r="A179" s="96"/>
      <c r="B179" s="86" t="s">
        <v>127</v>
      </c>
      <c r="C179" s="60"/>
      <c r="D179" s="60"/>
      <c r="E179" s="60"/>
      <c r="F179" s="60"/>
      <c r="G179" s="60"/>
      <c r="H179" s="27"/>
      <c r="I179" s="27"/>
      <c r="J179" s="27">
        <v>0</v>
      </c>
      <c r="K179" s="97">
        <f>+M128</f>
        <v>0</v>
      </c>
      <c r="L179" s="27"/>
      <c r="M179" s="91"/>
      <c r="N179" s="100"/>
      <c r="O179" s="6"/>
    </row>
    <row r="180" spans="1:15" ht="15.75">
      <c r="A180" s="96"/>
      <c r="B180" s="86" t="s">
        <v>128</v>
      </c>
      <c r="C180" s="60"/>
      <c r="D180" s="60"/>
      <c r="E180" s="60"/>
      <c r="F180" s="60"/>
      <c r="G180" s="60"/>
      <c r="H180" s="27"/>
      <c r="I180" s="27"/>
      <c r="J180" s="27"/>
      <c r="K180" s="97">
        <v>0</v>
      </c>
      <c r="L180" s="27"/>
      <c r="M180" s="91"/>
      <c r="N180" s="100"/>
      <c r="O180" s="6"/>
    </row>
    <row r="181" spans="1:15" ht="15.75">
      <c r="A181" s="99"/>
      <c r="B181" s="142" t="s">
        <v>129</v>
      </c>
      <c r="C181" s="60"/>
      <c r="D181" s="60"/>
      <c r="E181" s="86"/>
      <c r="F181" s="86"/>
      <c r="G181" s="86"/>
      <c r="H181" s="27"/>
      <c r="I181" s="27"/>
      <c r="J181" s="27"/>
      <c r="K181" s="97"/>
      <c r="L181" s="27"/>
      <c r="M181" s="91"/>
      <c r="N181" s="100"/>
      <c r="O181" s="6"/>
    </row>
    <row r="182" spans="1:15" ht="15.75">
      <c r="A182" s="99"/>
      <c r="B182" s="86" t="s">
        <v>130</v>
      </c>
      <c r="C182" s="60"/>
      <c r="D182" s="60"/>
      <c r="E182" s="86"/>
      <c r="F182" s="86"/>
      <c r="G182" s="86"/>
      <c r="H182" s="27"/>
      <c r="I182" s="27"/>
      <c r="J182" s="27">
        <v>0</v>
      </c>
      <c r="K182" s="97">
        <v>0</v>
      </c>
      <c r="L182" s="27"/>
      <c r="M182" s="91"/>
      <c r="N182" s="100"/>
      <c r="O182" s="6"/>
    </row>
    <row r="183" spans="1:15" ht="15.75">
      <c r="A183" s="96"/>
      <c r="B183" s="86" t="s">
        <v>131</v>
      </c>
      <c r="C183" s="60"/>
      <c r="D183" s="60"/>
      <c r="E183" s="101"/>
      <c r="F183" s="101"/>
      <c r="G183" s="102"/>
      <c r="H183" s="27"/>
      <c r="I183" s="27"/>
      <c r="J183" s="27"/>
      <c r="K183" s="70">
        <v>0</v>
      </c>
      <c r="L183" s="27"/>
      <c r="M183" s="91"/>
      <c r="N183" s="100"/>
      <c r="O183" s="6"/>
    </row>
    <row r="184" spans="1:15" ht="15.75">
      <c r="A184" s="96"/>
      <c r="B184" s="86" t="s">
        <v>132</v>
      </c>
      <c r="C184" s="60"/>
      <c r="D184" s="60"/>
      <c r="E184" s="101"/>
      <c r="F184" s="101"/>
      <c r="G184" s="102"/>
      <c r="H184" s="27"/>
      <c r="I184" s="27"/>
      <c r="J184" s="27"/>
      <c r="K184" s="70">
        <v>0</v>
      </c>
      <c r="L184" s="27"/>
      <c r="M184" s="91"/>
      <c r="N184" s="100"/>
      <c r="O184" s="6"/>
    </row>
    <row r="185" spans="1:15" ht="15.75">
      <c r="A185" s="96"/>
      <c r="B185" s="86" t="s">
        <v>133</v>
      </c>
      <c r="C185" s="60"/>
      <c r="D185" s="60"/>
      <c r="E185" s="103"/>
      <c r="F185" s="101"/>
      <c r="G185" s="102"/>
      <c r="H185" s="27"/>
      <c r="I185" s="27"/>
      <c r="J185" s="27"/>
      <c r="K185" s="104">
        <v>0</v>
      </c>
      <c r="L185" s="27"/>
      <c r="M185" s="91"/>
      <c r="N185" s="100"/>
      <c r="O185" s="6"/>
    </row>
    <row r="186" spans="1:15" ht="15.75">
      <c r="A186" s="96"/>
      <c r="B186" s="86"/>
      <c r="C186" s="60"/>
      <c r="D186" s="60"/>
      <c r="E186" s="103"/>
      <c r="F186" s="101"/>
      <c r="G186" s="102"/>
      <c r="H186" s="27"/>
      <c r="I186" s="27"/>
      <c r="J186" s="27"/>
      <c r="K186" s="104"/>
      <c r="L186" s="27"/>
      <c r="M186" s="91"/>
      <c r="N186" s="100"/>
      <c r="O186" s="6"/>
    </row>
    <row r="187" spans="1:15" ht="15.75">
      <c r="A187" s="7"/>
      <c r="B187" s="16" t="s">
        <v>134</v>
      </c>
      <c r="C187" s="93"/>
      <c r="D187" s="93"/>
      <c r="E187" s="94"/>
      <c r="F187" s="93"/>
      <c r="G187" s="94"/>
      <c r="H187" s="93"/>
      <c r="I187" s="95" t="s">
        <v>173</v>
      </c>
      <c r="J187" s="19" t="s">
        <v>174</v>
      </c>
      <c r="K187" s="95" t="s">
        <v>186</v>
      </c>
      <c r="L187" s="19" t="s">
        <v>174</v>
      </c>
      <c r="M187" s="9"/>
      <c r="N187" s="105"/>
      <c r="O187" s="6"/>
    </row>
    <row r="188" spans="1:15" ht="15.75">
      <c r="A188" s="26"/>
      <c r="B188" s="60" t="s">
        <v>135</v>
      </c>
      <c r="C188" s="106"/>
      <c r="D188" s="106"/>
      <c r="E188" s="60"/>
      <c r="F188" s="106"/>
      <c r="G188" s="27"/>
      <c r="H188" s="106"/>
      <c r="I188" s="60">
        <v>2562</v>
      </c>
      <c r="J188" s="108">
        <f>I188/I193</f>
        <v>0.9930232558139535</v>
      </c>
      <c r="K188" s="59">
        <v>246563</v>
      </c>
      <c r="L188" s="151">
        <f>K188/K193</f>
        <v>0.9915348979362041</v>
      </c>
      <c r="M188" s="91"/>
      <c r="N188" s="100"/>
      <c r="O188" s="6"/>
    </row>
    <row r="189" spans="1:15" ht="15.75">
      <c r="A189" s="26"/>
      <c r="B189" s="60" t="s">
        <v>136</v>
      </c>
      <c r="C189" s="106"/>
      <c r="D189" s="106"/>
      <c r="E189" s="60"/>
      <c r="F189" s="106"/>
      <c r="G189" s="27"/>
      <c r="H189" s="108"/>
      <c r="I189" s="60">
        <v>7</v>
      </c>
      <c r="J189" s="108">
        <f>I189/I193</f>
        <v>0.0027131782945736434</v>
      </c>
      <c r="K189" s="59">
        <v>946</v>
      </c>
      <c r="L189" s="151">
        <f>K189/K193</f>
        <v>0.003804269146009941</v>
      </c>
      <c r="M189" s="91"/>
      <c r="N189" s="100"/>
      <c r="O189" s="6"/>
    </row>
    <row r="190" spans="1:15" ht="15.75">
      <c r="A190" s="26"/>
      <c r="B190" s="60" t="s">
        <v>137</v>
      </c>
      <c r="C190" s="106"/>
      <c r="D190" s="106"/>
      <c r="E190" s="60"/>
      <c r="F190" s="106"/>
      <c r="G190" s="27"/>
      <c r="H190" s="108"/>
      <c r="I190" s="60">
        <v>5</v>
      </c>
      <c r="J190" s="108">
        <f>I190/I193</f>
        <v>0.001937984496124031</v>
      </c>
      <c r="K190" s="59">
        <v>663</v>
      </c>
      <c r="L190" s="151">
        <f>K190/K193</f>
        <v>0.002666205543133817</v>
      </c>
      <c r="M190" s="91"/>
      <c r="N190" s="100"/>
      <c r="O190" s="6"/>
    </row>
    <row r="191" spans="1:15" ht="15.75">
      <c r="A191" s="26"/>
      <c r="B191" s="60" t="s">
        <v>138</v>
      </c>
      <c r="C191" s="106"/>
      <c r="D191" s="106"/>
      <c r="E191" s="60"/>
      <c r="F191" s="106"/>
      <c r="G191" s="27"/>
      <c r="H191" s="108"/>
      <c r="I191" s="60">
        <v>6</v>
      </c>
      <c r="J191" s="108">
        <f>I191/I193</f>
        <v>0.002325581395348837</v>
      </c>
      <c r="K191" s="59">
        <v>496</v>
      </c>
      <c r="L191" s="151">
        <f>K191/K193</f>
        <v>0.0019946273746521467</v>
      </c>
      <c r="M191" s="91"/>
      <c r="N191" s="100"/>
      <c r="O191" s="6"/>
    </row>
    <row r="192" spans="1:15" ht="15.75">
      <c r="A192" s="26"/>
      <c r="B192" s="30"/>
      <c r="C192" s="106"/>
      <c r="D192" s="106"/>
      <c r="E192" s="60"/>
      <c r="F192" s="106"/>
      <c r="G192" s="27"/>
      <c r="H192" s="108"/>
      <c r="I192" s="60"/>
      <c r="J192" s="106"/>
      <c r="K192" s="59"/>
      <c r="L192" s="107"/>
      <c r="M192" s="91"/>
      <c r="N192" s="100"/>
      <c r="O192" s="6"/>
    </row>
    <row r="193" spans="1:15" ht="15.75">
      <c r="A193" s="26"/>
      <c r="B193" s="27"/>
      <c r="C193" s="27"/>
      <c r="D193" s="27"/>
      <c r="E193" s="27"/>
      <c r="F193" s="27"/>
      <c r="G193" s="27"/>
      <c r="H193" s="27"/>
      <c r="I193" s="38">
        <f>SUM(I188:I192)</f>
        <v>2580</v>
      </c>
      <c r="J193" s="109">
        <f>SUM(J188:J192)</f>
        <v>1</v>
      </c>
      <c r="K193" s="59">
        <f>SUM(K188:K192)</f>
        <v>248668</v>
      </c>
      <c r="L193" s="109">
        <f>SUM(L188:L192)</f>
        <v>1</v>
      </c>
      <c r="M193" s="27"/>
      <c r="N193" s="27"/>
      <c r="O193" s="6"/>
    </row>
    <row r="194" spans="1:15" ht="15.75">
      <c r="A194" s="26"/>
      <c r="B194" s="27"/>
      <c r="C194" s="27"/>
      <c r="D194" s="27"/>
      <c r="E194" s="27"/>
      <c r="F194" s="27"/>
      <c r="G194" s="27"/>
      <c r="H194" s="27"/>
      <c r="I194" s="38"/>
      <c r="J194" s="109"/>
      <c r="K194" s="59"/>
      <c r="L194" s="109"/>
      <c r="M194" s="27"/>
      <c r="N194" s="27"/>
      <c r="O194" s="6"/>
    </row>
    <row r="195" spans="1:15" ht="15.75">
      <c r="A195" s="7"/>
      <c r="B195" s="9"/>
      <c r="C195" s="9"/>
      <c r="D195" s="9"/>
      <c r="E195" s="9"/>
      <c r="F195" s="9"/>
      <c r="G195" s="9"/>
      <c r="H195" s="9"/>
      <c r="I195" s="61"/>
      <c r="J195" s="110"/>
      <c r="K195" s="111"/>
      <c r="L195" s="110"/>
      <c r="M195" s="9"/>
      <c r="N195" s="9"/>
      <c r="O195" s="6"/>
    </row>
    <row r="196" spans="1:15" ht="15.75">
      <c r="A196" s="112"/>
      <c r="B196" s="16" t="s">
        <v>139</v>
      </c>
      <c r="C196" s="113"/>
      <c r="D196" s="113"/>
      <c r="E196" s="19" t="s">
        <v>154</v>
      </c>
      <c r="F196" s="17"/>
      <c r="G196" s="16" t="s">
        <v>162</v>
      </c>
      <c r="H196" s="14"/>
      <c r="I196" s="14"/>
      <c r="J196" s="14"/>
      <c r="K196" s="14"/>
      <c r="L196" s="14"/>
      <c r="M196" s="14"/>
      <c r="N196" s="14"/>
      <c r="O196" s="6"/>
    </row>
    <row r="197" spans="1:15" ht="15.75">
      <c r="A197" s="112"/>
      <c r="B197" s="14"/>
      <c r="C197" s="14"/>
      <c r="D197" s="14"/>
      <c r="E197" s="9"/>
      <c r="F197" s="9"/>
      <c r="G197" s="9"/>
      <c r="H197" s="14"/>
      <c r="I197" s="14"/>
      <c r="J197" s="14"/>
      <c r="K197" s="14"/>
      <c r="L197" s="14"/>
      <c r="M197" s="14"/>
      <c r="N197" s="14"/>
      <c r="O197" s="6"/>
    </row>
    <row r="198" spans="1:15" ht="15.75">
      <c r="A198" s="112"/>
      <c r="B198" s="15" t="s">
        <v>140</v>
      </c>
      <c r="C198" s="114"/>
      <c r="D198" s="114"/>
      <c r="E198" s="115" t="s">
        <v>155</v>
      </c>
      <c r="F198" s="15"/>
      <c r="G198" s="15" t="s">
        <v>163</v>
      </c>
      <c r="H198" s="114"/>
      <c r="I198" s="114"/>
      <c r="J198" s="14"/>
      <c r="K198" s="14"/>
      <c r="L198" s="14"/>
      <c r="M198" s="14"/>
      <c r="N198" s="14"/>
      <c r="O198" s="6"/>
    </row>
    <row r="199" spans="1:15" ht="15.75">
      <c r="A199" s="112"/>
      <c r="B199" s="15" t="s">
        <v>141</v>
      </c>
      <c r="C199" s="114"/>
      <c r="D199" s="114"/>
      <c r="E199" s="115" t="s">
        <v>156</v>
      </c>
      <c r="F199" s="15"/>
      <c r="G199" s="15" t="s">
        <v>164</v>
      </c>
      <c r="H199" s="114"/>
      <c r="I199" s="114"/>
      <c r="J199" s="14"/>
      <c r="K199" s="14"/>
      <c r="L199" s="14"/>
      <c r="M199" s="14"/>
      <c r="N199" s="14"/>
      <c r="O199" s="6"/>
    </row>
    <row r="200" spans="1:15" ht="15.75">
      <c r="A200" s="112"/>
      <c r="B200" s="15"/>
      <c r="C200" s="114"/>
      <c r="D200" s="114"/>
      <c r="E200" s="115"/>
      <c r="F200" s="15"/>
      <c r="G200" s="15"/>
      <c r="H200" s="114"/>
      <c r="I200" s="114"/>
      <c r="J200" s="14"/>
      <c r="K200" s="14"/>
      <c r="L200" s="14"/>
      <c r="M200" s="14"/>
      <c r="N200" s="14"/>
      <c r="O200" s="6"/>
    </row>
    <row r="201" spans="1:15" ht="15.75">
      <c r="A201" s="112"/>
      <c r="B201" s="15"/>
      <c r="C201" s="114"/>
      <c r="D201" s="114"/>
      <c r="E201" s="115"/>
      <c r="F201" s="15"/>
      <c r="G201" s="15"/>
      <c r="H201" s="114"/>
      <c r="I201" s="114"/>
      <c r="J201" s="14"/>
      <c r="K201" s="14"/>
      <c r="L201" s="14"/>
      <c r="M201" s="14"/>
      <c r="N201" s="14"/>
      <c r="O201" s="6"/>
    </row>
    <row r="202" spans="1:15" ht="18.75">
      <c r="A202" s="112"/>
      <c r="B202" s="55" t="str">
        <f>B156</f>
        <v>PM5 INVESTOR REPORT QUARTER ENDING AUGUST 2003</v>
      </c>
      <c r="C202" s="114"/>
      <c r="D202" s="114"/>
      <c r="E202" s="115"/>
      <c r="F202" s="15"/>
      <c r="G202" s="15"/>
      <c r="H202" s="114"/>
      <c r="I202" s="114"/>
      <c r="J202" s="14"/>
      <c r="K202" s="14"/>
      <c r="L202" s="14"/>
      <c r="M202" s="14"/>
      <c r="N202" s="14"/>
      <c r="O202" s="6"/>
    </row>
    <row r="203" spans="1:14" ht="15">
      <c r="A203" s="116"/>
      <c r="B203" s="116"/>
      <c r="C203" s="116"/>
      <c r="D203" s="116"/>
      <c r="E203" s="116"/>
      <c r="F203" s="116"/>
      <c r="G203" s="116"/>
      <c r="H203" s="116"/>
      <c r="I203" s="116"/>
      <c r="J203" s="116"/>
      <c r="K203" s="116"/>
      <c r="L203" s="116"/>
      <c r="M203" s="116"/>
      <c r="N203" s="116"/>
    </row>
    <row r="205" ht="15">
      <c r="I205"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10.xml><?xml version="1.0" encoding="utf-8"?>
<worksheet xmlns="http://schemas.openxmlformats.org/spreadsheetml/2006/main" xmlns:r="http://schemas.openxmlformats.org/officeDocument/2006/relationships">
  <sheetPr>
    <tabColor indexed="54"/>
  </sheetPr>
  <dimension ref="A1:P24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7.88671875" style="1" customWidth="1"/>
    <col min="11" max="11" width="17.77734375" style="1" customWidth="1"/>
    <col min="12" max="12" width="6.6640625" style="1" customWidth="1"/>
    <col min="13" max="13" width="11.4453125" style="1" customWidth="1"/>
    <col min="14" max="14" width="31.1054687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8.75">
      <c r="A10" s="7"/>
      <c r="B10" s="168" t="s">
        <v>225</v>
      </c>
      <c r="C10" s="13"/>
      <c r="D10" s="13"/>
      <c r="E10" s="9"/>
      <c r="F10" s="9"/>
      <c r="G10" s="9"/>
      <c r="H10" s="9"/>
      <c r="I10" s="9"/>
      <c r="J10" s="9"/>
      <c r="K10" s="170" t="s">
        <v>224</v>
      </c>
      <c r="L10" s="9"/>
      <c r="M10" s="9"/>
      <c r="N10" s="9"/>
      <c r="O10" s="6"/>
    </row>
    <row r="11" spans="1:15" ht="15.75">
      <c r="A11" s="7"/>
      <c r="B11" s="12"/>
      <c r="C11" s="13"/>
      <c r="D11" s="13"/>
      <c r="E11" s="15"/>
      <c r="F11" s="15"/>
      <c r="G11" s="9"/>
      <c r="H11" s="9"/>
      <c r="I11" s="9"/>
      <c r="J11" s="9"/>
      <c r="K11" s="9"/>
      <c r="L11" s="9"/>
      <c r="M11" s="9"/>
      <c r="N11" s="9"/>
      <c r="O11" s="6"/>
    </row>
    <row r="12" spans="1:15" ht="15.75">
      <c r="A12" s="7"/>
      <c r="B12" s="16" t="s">
        <v>5</v>
      </c>
      <c r="C12" s="15"/>
      <c r="D12" s="15"/>
      <c r="E12" s="9"/>
      <c r="F12" s="9"/>
      <c r="G12" s="9"/>
      <c r="H12" s="9"/>
      <c r="I12" s="9"/>
      <c r="J12" s="9"/>
      <c r="K12" s="9"/>
      <c r="L12" s="9"/>
      <c r="M12" s="9"/>
      <c r="N12" s="9"/>
      <c r="O12" s="6"/>
    </row>
    <row r="13" spans="1:15" ht="15.75">
      <c r="A13" s="7"/>
      <c r="B13" s="15"/>
      <c r="C13" s="15"/>
      <c r="D13" s="15"/>
      <c r="E13" s="9"/>
      <c r="F13" s="9"/>
      <c r="G13" s="9"/>
      <c r="H13" s="9"/>
      <c r="I13" s="9"/>
      <c r="J13" s="9"/>
      <c r="K13" s="9"/>
      <c r="L13" s="9"/>
      <c r="M13" s="9"/>
      <c r="N13" s="9"/>
      <c r="O13" s="6"/>
    </row>
    <row r="14" spans="1:15" ht="15.75">
      <c r="A14" s="2"/>
      <c r="B14" s="5"/>
      <c r="C14" s="5"/>
      <c r="D14" s="5"/>
      <c r="E14" s="5"/>
      <c r="F14" s="5"/>
      <c r="G14" s="5"/>
      <c r="H14" s="5"/>
      <c r="I14" s="5"/>
      <c r="J14" s="5"/>
      <c r="K14" s="5"/>
      <c r="L14" s="5"/>
      <c r="M14" s="5"/>
      <c r="N14" s="5"/>
      <c r="O14" s="6"/>
    </row>
    <row r="15" spans="1:15" ht="15.75">
      <c r="A15" s="7"/>
      <c r="B15" s="16" t="s">
        <v>6</v>
      </c>
      <c r="C15" s="16"/>
      <c r="D15" s="16"/>
      <c r="E15" s="17"/>
      <c r="F15" s="17"/>
      <c r="G15" s="17"/>
      <c r="H15" s="17"/>
      <c r="I15" s="17"/>
      <c r="J15" s="17"/>
      <c r="K15" s="17"/>
      <c r="L15" s="17"/>
      <c r="M15" s="18" t="s">
        <v>190</v>
      </c>
      <c r="N15" s="17"/>
      <c r="O15" s="6"/>
    </row>
    <row r="16" spans="1:15" ht="15.75">
      <c r="A16" s="7"/>
      <c r="B16" s="16" t="s">
        <v>7</v>
      </c>
      <c r="C16" s="16"/>
      <c r="D16" s="16"/>
      <c r="E16" s="17"/>
      <c r="F16" s="17"/>
      <c r="G16" s="17"/>
      <c r="H16" s="17"/>
      <c r="I16" s="19"/>
      <c r="J16" s="20"/>
      <c r="K16" s="19" t="s">
        <v>175</v>
      </c>
      <c r="L16" s="20">
        <v>1</v>
      </c>
      <c r="M16" s="18"/>
      <c r="N16" s="17"/>
      <c r="O16" s="6"/>
    </row>
    <row r="17" spans="1:15" ht="15.75">
      <c r="A17" s="7"/>
      <c r="B17" s="16" t="s">
        <v>8</v>
      </c>
      <c r="C17" s="16"/>
      <c r="D17" s="16"/>
      <c r="E17" s="17"/>
      <c r="F17" s="17"/>
      <c r="G17" s="17"/>
      <c r="H17" s="17"/>
      <c r="I17" s="19"/>
      <c r="J17" s="20"/>
      <c r="K17" s="19" t="s">
        <v>175</v>
      </c>
      <c r="L17" s="20">
        <v>1</v>
      </c>
      <c r="M17" s="18"/>
      <c r="N17" s="17"/>
      <c r="O17" s="6"/>
    </row>
    <row r="18" spans="1:15" ht="15.75">
      <c r="A18" s="7"/>
      <c r="B18" s="16" t="s">
        <v>9</v>
      </c>
      <c r="C18" s="16"/>
      <c r="D18" s="16"/>
      <c r="E18" s="17"/>
      <c r="F18" s="17"/>
      <c r="G18" s="17"/>
      <c r="H18" s="17"/>
      <c r="I18" s="17"/>
      <c r="J18" s="17"/>
      <c r="K18" s="17"/>
      <c r="L18" s="17"/>
      <c r="M18" s="21">
        <v>37798</v>
      </c>
      <c r="N18" s="17"/>
      <c r="O18" s="6"/>
    </row>
    <row r="19" spans="1:15" ht="15.75">
      <c r="A19" s="7"/>
      <c r="B19" s="16" t="s">
        <v>10</v>
      </c>
      <c r="C19" s="16"/>
      <c r="D19" s="16"/>
      <c r="E19" s="17"/>
      <c r="F19" s="17"/>
      <c r="G19" s="17"/>
      <c r="H19" s="17"/>
      <c r="I19" s="17"/>
      <c r="J19" s="17"/>
      <c r="K19" s="17"/>
      <c r="L19" s="17"/>
      <c r="M19" s="21">
        <v>38705</v>
      </c>
      <c r="N19" s="17"/>
      <c r="O19" s="6"/>
    </row>
    <row r="20" spans="1:15" ht="15.75">
      <c r="A20" s="7"/>
      <c r="B20" s="9"/>
      <c r="C20" s="9"/>
      <c r="D20" s="9"/>
      <c r="E20" s="9"/>
      <c r="F20" s="9"/>
      <c r="G20" s="9"/>
      <c r="H20" s="9"/>
      <c r="I20" s="9"/>
      <c r="J20" s="9"/>
      <c r="K20" s="9"/>
      <c r="L20" s="9"/>
      <c r="M20" s="22"/>
      <c r="N20" s="9"/>
      <c r="O20" s="6"/>
    </row>
    <row r="21" spans="1:15" ht="15.75">
      <c r="A21" s="7"/>
      <c r="B21" s="23" t="s">
        <v>11</v>
      </c>
      <c r="C21" s="9"/>
      <c r="D21" s="9"/>
      <c r="E21" s="9"/>
      <c r="F21" s="9"/>
      <c r="G21" s="9"/>
      <c r="H21" s="9"/>
      <c r="I21" s="9"/>
      <c r="J21" s="9"/>
      <c r="K21" s="22" t="s">
        <v>176</v>
      </c>
      <c r="L21" s="9"/>
      <c r="M21" s="143"/>
      <c r="N21" s="9"/>
      <c r="O21" s="6"/>
    </row>
    <row r="22" spans="1:15" ht="15.75">
      <c r="A22" s="7"/>
      <c r="B22" s="9"/>
      <c r="C22" s="9"/>
      <c r="D22" s="9"/>
      <c r="E22" s="9"/>
      <c r="F22" s="9"/>
      <c r="G22" s="9"/>
      <c r="H22" s="9"/>
      <c r="I22" s="9"/>
      <c r="J22" s="9"/>
      <c r="K22" s="9"/>
      <c r="L22" s="9"/>
      <c r="M22" s="24"/>
      <c r="N22" s="9"/>
      <c r="O22" s="6"/>
    </row>
    <row r="23" spans="1:15" ht="15.75">
      <c r="A23" s="7"/>
      <c r="B23" s="9"/>
      <c r="C23" s="130" t="s">
        <v>142</v>
      </c>
      <c r="D23" s="130" t="s">
        <v>146</v>
      </c>
      <c r="E23" s="132" t="s">
        <v>147</v>
      </c>
      <c r="F23" s="132"/>
      <c r="G23" s="132" t="s">
        <v>157</v>
      </c>
      <c r="H23" s="132"/>
      <c r="I23" s="132" t="s">
        <v>165</v>
      </c>
      <c r="J23" s="133"/>
      <c r="K23" s="25"/>
      <c r="L23" s="143"/>
      <c r="M23" s="143"/>
      <c r="N23" s="9"/>
      <c r="O23" s="6"/>
    </row>
    <row r="24" spans="1:15" ht="15.75">
      <c r="A24" s="26"/>
      <c r="B24" s="27" t="s">
        <v>12</v>
      </c>
      <c r="C24" s="131" t="s">
        <v>143</v>
      </c>
      <c r="D24" s="131" t="s">
        <v>143</v>
      </c>
      <c r="E24" s="29" t="s">
        <v>148</v>
      </c>
      <c r="F24" s="29"/>
      <c r="G24" s="29" t="s">
        <v>148</v>
      </c>
      <c r="H24" s="29"/>
      <c r="I24" s="29" t="s">
        <v>166</v>
      </c>
      <c r="J24" s="29"/>
      <c r="K24" s="29"/>
      <c r="L24" s="144"/>
      <c r="M24" s="144"/>
      <c r="N24" s="27"/>
      <c r="O24" s="6"/>
    </row>
    <row r="25" spans="1:15" ht="15.75">
      <c r="A25" s="26"/>
      <c r="B25" s="27" t="s">
        <v>13</v>
      </c>
      <c r="C25" s="28"/>
      <c r="D25" s="28"/>
      <c r="E25" s="29" t="s">
        <v>149</v>
      </c>
      <c r="F25" s="29"/>
      <c r="G25" s="29" t="s">
        <v>149</v>
      </c>
      <c r="H25" s="29"/>
      <c r="I25" s="29" t="s">
        <v>167</v>
      </c>
      <c r="J25" s="29"/>
      <c r="K25" s="29"/>
      <c r="L25" s="144"/>
      <c r="M25" s="144"/>
      <c r="N25" s="27"/>
      <c r="O25" s="6"/>
    </row>
    <row r="26" spans="1:15" ht="15.75">
      <c r="A26" s="31"/>
      <c r="B26" s="32" t="s">
        <v>14</v>
      </c>
      <c r="C26" s="32"/>
      <c r="D26" s="32"/>
      <c r="E26" s="33" t="s">
        <v>148</v>
      </c>
      <c r="F26" s="33"/>
      <c r="G26" s="33" t="s">
        <v>148</v>
      </c>
      <c r="H26" s="33"/>
      <c r="I26" s="33" t="s">
        <v>166</v>
      </c>
      <c r="J26" s="29"/>
      <c r="K26" s="29"/>
      <c r="L26" s="144"/>
      <c r="M26" s="144"/>
      <c r="N26" s="27"/>
      <c r="O26" s="6"/>
    </row>
    <row r="27" spans="1:15" ht="15.75">
      <c r="A27" s="31"/>
      <c r="B27" s="32" t="s">
        <v>15</v>
      </c>
      <c r="C27" s="32"/>
      <c r="D27" s="32"/>
      <c r="E27" s="33" t="s">
        <v>149</v>
      </c>
      <c r="F27" s="33"/>
      <c r="G27" s="33" t="s">
        <v>149</v>
      </c>
      <c r="H27" s="33"/>
      <c r="I27" s="33" t="s">
        <v>167</v>
      </c>
      <c r="J27" s="29"/>
      <c r="K27" s="29"/>
      <c r="L27" s="144"/>
      <c r="M27" s="144"/>
      <c r="N27" s="27"/>
      <c r="O27" s="6"/>
    </row>
    <row r="28" spans="1:15" ht="15.75">
      <c r="A28" s="26"/>
      <c r="B28" s="27" t="s">
        <v>16</v>
      </c>
      <c r="C28" s="27"/>
      <c r="D28" s="27"/>
      <c r="E28" s="34" t="s">
        <v>150</v>
      </c>
      <c r="F28" s="29"/>
      <c r="G28" s="34" t="s">
        <v>158</v>
      </c>
      <c r="H28" s="29"/>
      <c r="I28" s="34" t="s">
        <v>168</v>
      </c>
      <c r="J28" s="29"/>
      <c r="K28" s="34"/>
      <c r="L28" s="144"/>
      <c r="M28" s="144"/>
      <c r="N28" s="27"/>
      <c r="O28" s="6"/>
    </row>
    <row r="29" spans="1:15" ht="15.75">
      <c r="A29" s="26"/>
      <c r="B29" s="27"/>
      <c r="C29" s="27"/>
      <c r="D29" s="27"/>
      <c r="E29" s="27"/>
      <c r="F29" s="29"/>
      <c r="G29" s="29"/>
      <c r="H29" s="29"/>
      <c r="I29" s="29"/>
      <c r="J29" s="29"/>
      <c r="K29" s="29"/>
      <c r="L29" s="144"/>
      <c r="M29" s="144"/>
      <c r="N29" s="27"/>
      <c r="O29" s="6"/>
    </row>
    <row r="30" spans="1:15" ht="15.75">
      <c r="A30" s="26"/>
      <c r="B30" s="27" t="s">
        <v>17</v>
      </c>
      <c r="C30" s="27"/>
      <c r="D30" s="27"/>
      <c r="E30" s="35">
        <v>50000</v>
      </c>
      <c r="F30" s="36"/>
      <c r="G30" s="35">
        <v>176250</v>
      </c>
      <c r="H30" s="35"/>
      <c r="I30" s="35">
        <v>23750</v>
      </c>
      <c r="J30" s="35"/>
      <c r="K30" s="35"/>
      <c r="L30" s="145"/>
      <c r="M30" s="35">
        <f>I30+G30+E30</f>
        <v>250000</v>
      </c>
      <c r="N30" s="38"/>
      <c r="O30" s="6"/>
    </row>
    <row r="31" spans="1:15" ht="15.75">
      <c r="A31" s="26"/>
      <c r="B31" s="27" t="s">
        <v>18</v>
      </c>
      <c r="C31" s="39">
        <v>0.227198</v>
      </c>
      <c r="D31" s="39">
        <v>1</v>
      </c>
      <c r="E31" s="35">
        <f>E30*C31</f>
        <v>11359.900000000001</v>
      </c>
      <c r="F31" s="36"/>
      <c r="G31" s="35">
        <f>G30*D31</f>
        <v>176250</v>
      </c>
      <c r="H31" s="35"/>
      <c r="I31" s="35">
        <v>23750</v>
      </c>
      <c r="J31" s="35"/>
      <c r="K31" s="35"/>
      <c r="L31" s="145"/>
      <c r="M31" s="35">
        <f>I31+G31+E31</f>
        <v>211359.9</v>
      </c>
      <c r="N31" s="38"/>
      <c r="O31" s="6"/>
    </row>
    <row r="32" spans="1:15" ht="15.75">
      <c r="A32" s="31"/>
      <c r="B32" s="32" t="s">
        <v>19</v>
      </c>
      <c r="C32" s="39">
        <v>0</v>
      </c>
      <c r="D32" s="39">
        <v>0.969123</v>
      </c>
      <c r="E32" s="40">
        <f>E30*C32</f>
        <v>0</v>
      </c>
      <c r="F32" s="41"/>
      <c r="G32" s="40">
        <f>G30*D32</f>
        <v>170807.92875</v>
      </c>
      <c r="H32" s="40"/>
      <c r="I32" s="40">
        <v>23750</v>
      </c>
      <c r="J32" s="40"/>
      <c r="K32" s="40"/>
      <c r="L32" s="42"/>
      <c r="M32" s="40">
        <f>I32+G32+E32</f>
        <v>194557.92875</v>
      </c>
      <c r="N32" s="38"/>
      <c r="O32" s="6"/>
    </row>
    <row r="33" spans="1:15" ht="15.75">
      <c r="A33" s="26"/>
      <c r="B33" s="27" t="s">
        <v>20</v>
      </c>
      <c r="C33" s="43"/>
      <c r="D33" s="43"/>
      <c r="E33" s="34" t="s">
        <v>151</v>
      </c>
      <c r="F33" s="27"/>
      <c r="G33" s="34" t="s">
        <v>159</v>
      </c>
      <c r="H33" s="34"/>
      <c r="I33" s="34" t="s">
        <v>169</v>
      </c>
      <c r="J33" s="34"/>
      <c r="K33" s="34"/>
      <c r="L33" s="144"/>
      <c r="M33" s="144"/>
      <c r="N33" s="27"/>
      <c r="O33" s="6"/>
    </row>
    <row r="34" spans="1:15" ht="15.75">
      <c r="A34" s="26"/>
      <c r="B34" s="27" t="s">
        <v>21</v>
      </c>
      <c r="C34" s="27"/>
      <c r="D34" s="27"/>
      <c r="E34" s="44">
        <v>0.0481</v>
      </c>
      <c r="F34" s="27"/>
      <c r="G34" s="44">
        <v>0.0491</v>
      </c>
      <c r="H34" s="45"/>
      <c r="I34" s="44">
        <v>0.0594</v>
      </c>
      <c r="J34" s="45"/>
      <c r="K34" s="44"/>
      <c r="L34" s="144"/>
      <c r="M34" s="45">
        <f>SUMPRODUCT(E34:I34,E31:I31)/M31</f>
        <v>0.05020363933745238</v>
      </c>
      <c r="N34" s="27"/>
      <c r="O34" s="6"/>
    </row>
    <row r="35" spans="1:15" ht="15.75">
      <c r="A35" s="26"/>
      <c r="B35" s="27" t="s">
        <v>22</v>
      </c>
      <c r="C35" s="27"/>
      <c r="D35" s="27"/>
      <c r="E35" s="44">
        <v>0.0508</v>
      </c>
      <c r="F35" s="27"/>
      <c r="G35" s="44">
        <v>0.0518</v>
      </c>
      <c r="H35" s="45"/>
      <c r="I35" s="44">
        <v>0.0621</v>
      </c>
      <c r="J35" s="45"/>
      <c r="K35" s="44"/>
      <c r="L35" s="144"/>
      <c r="M35" s="144"/>
      <c r="N35" s="27"/>
      <c r="O35" s="6"/>
    </row>
    <row r="36" spans="1:15" ht="15.75">
      <c r="A36" s="26"/>
      <c r="B36" s="27" t="s">
        <v>23</v>
      </c>
      <c r="C36" s="27"/>
      <c r="D36" s="27"/>
      <c r="E36" s="126">
        <v>38875</v>
      </c>
      <c r="F36" s="126"/>
      <c r="G36" s="126">
        <v>38875</v>
      </c>
      <c r="H36" s="126"/>
      <c r="I36" s="126">
        <v>38875</v>
      </c>
      <c r="J36" s="34"/>
      <c r="K36" s="34"/>
      <c r="L36" s="144"/>
      <c r="M36" s="144"/>
      <c r="N36" s="27"/>
      <c r="O36" s="6"/>
    </row>
    <row r="37" spans="1:15" ht="15.75">
      <c r="A37" s="26"/>
      <c r="B37" s="27" t="s">
        <v>24</v>
      </c>
      <c r="C37" s="27"/>
      <c r="D37" s="27"/>
      <c r="E37" s="126">
        <v>39240</v>
      </c>
      <c r="F37" s="126"/>
      <c r="G37" s="126">
        <v>39240</v>
      </c>
      <c r="H37" s="126"/>
      <c r="I37" s="126">
        <v>39240</v>
      </c>
      <c r="J37" s="34"/>
      <c r="K37" s="34"/>
      <c r="L37" s="144"/>
      <c r="M37" s="144"/>
      <c r="N37" s="27"/>
      <c r="O37" s="6"/>
    </row>
    <row r="38" spans="1:15" ht="15.75">
      <c r="A38" s="26"/>
      <c r="B38" s="27" t="s">
        <v>25</v>
      </c>
      <c r="C38" s="27"/>
      <c r="D38" s="27"/>
      <c r="E38" s="34" t="s">
        <v>152</v>
      </c>
      <c r="F38" s="27"/>
      <c r="G38" s="34" t="s">
        <v>160</v>
      </c>
      <c r="H38" s="34"/>
      <c r="I38" s="34" t="s">
        <v>170</v>
      </c>
      <c r="J38" s="34"/>
      <c r="K38" s="34"/>
      <c r="L38" s="144"/>
      <c r="M38" s="144"/>
      <c r="N38" s="27"/>
      <c r="O38" s="6"/>
    </row>
    <row r="39" spans="1:15" ht="15.75">
      <c r="A39" s="26"/>
      <c r="B39" s="27"/>
      <c r="C39" s="27"/>
      <c r="D39" s="27"/>
      <c r="E39" s="34"/>
      <c r="F39" s="27"/>
      <c r="G39" s="44"/>
      <c r="H39" s="34"/>
      <c r="I39" s="44"/>
      <c r="J39" s="46"/>
      <c r="K39" s="46"/>
      <c r="L39" s="46"/>
      <c r="M39" s="46"/>
      <c r="N39" s="27"/>
      <c r="O39" s="6"/>
    </row>
    <row r="40" spans="1:15" ht="15.75">
      <c r="A40" s="26"/>
      <c r="B40" s="27" t="s">
        <v>26</v>
      </c>
      <c r="C40" s="27"/>
      <c r="D40" s="27"/>
      <c r="E40" s="27"/>
      <c r="F40" s="27"/>
      <c r="G40" s="44"/>
      <c r="H40" s="27"/>
      <c r="I40" s="44"/>
      <c r="J40" s="27"/>
      <c r="K40" s="27"/>
      <c r="L40" s="27"/>
      <c r="M40" s="45">
        <f>(I30)/(E30+G30)</f>
        <v>0.10497237569060773</v>
      </c>
      <c r="N40" s="27"/>
      <c r="O40" s="6"/>
    </row>
    <row r="41" spans="1:15" ht="15.75">
      <c r="A41" s="26"/>
      <c r="B41" s="27" t="s">
        <v>27</v>
      </c>
      <c r="C41" s="27"/>
      <c r="D41" s="27"/>
      <c r="E41" s="27"/>
      <c r="F41" s="27"/>
      <c r="G41" s="47"/>
      <c r="H41" s="27"/>
      <c r="I41" s="47"/>
      <c r="J41" s="27"/>
      <c r="K41" s="27"/>
      <c r="L41" s="27"/>
      <c r="M41" s="45">
        <f>(I32)/(E32+G32)</f>
        <v>0.13904506760199212</v>
      </c>
      <c r="N41" s="27"/>
      <c r="O41" s="6"/>
    </row>
    <row r="42" spans="1:15" ht="15.75">
      <c r="A42" s="26"/>
      <c r="B42" s="27" t="s">
        <v>28</v>
      </c>
      <c r="C42" s="27"/>
      <c r="D42" s="27"/>
      <c r="E42" s="27"/>
      <c r="F42" s="27"/>
      <c r="G42" s="27"/>
      <c r="H42" s="27"/>
      <c r="I42" s="27"/>
      <c r="J42" s="27"/>
      <c r="K42" s="34" t="s">
        <v>177</v>
      </c>
      <c r="L42" s="34" t="s">
        <v>187</v>
      </c>
      <c r="M42" s="35">
        <f>M30/2-I30</f>
        <v>101250</v>
      </c>
      <c r="N42" s="27"/>
      <c r="O42" s="6"/>
    </row>
    <row r="43" spans="1:15" ht="15.75">
      <c r="A43" s="26"/>
      <c r="B43" s="27"/>
      <c r="C43" s="27"/>
      <c r="D43" s="27"/>
      <c r="E43" s="27"/>
      <c r="F43" s="27"/>
      <c r="G43" s="27"/>
      <c r="H43" s="27"/>
      <c r="I43" s="27"/>
      <c r="J43" s="27"/>
      <c r="K43" s="27" t="s">
        <v>178</v>
      </c>
      <c r="L43" s="27"/>
      <c r="M43" s="48"/>
      <c r="N43" s="27"/>
      <c r="O43" s="6"/>
    </row>
    <row r="44" spans="1:15" ht="15.75">
      <c r="A44" s="26"/>
      <c r="B44" s="27" t="s">
        <v>29</v>
      </c>
      <c r="C44" s="27"/>
      <c r="D44" s="27"/>
      <c r="E44" s="27"/>
      <c r="F44" s="27"/>
      <c r="G44" s="27"/>
      <c r="H44" s="27"/>
      <c r="I44" s="27"/>
      <c r="J44" s="27"/>
      <c r="K44" s="34"/>
      <c r="L44" s="34"/>
      <c r="M44" s="34" t="s">
        <v>191</v>
      </c>
      <c r="N44" s="27"/>
      <c r="O44" s="6"/>
    </row>
    <row r="45" spans="1:15" ht="15.75">
      <c r="A45" s="26"/>
      <c r="B45" s="32" t="s">
        <v>30</v>
      </c>
      <c r="C45" s="32"/>
      <c r="D45" s="32"/>
      <c r="E45" s="32"/>
      <c r="F45" s="32"/>
      <c r="G45" s="32"/>
      <c r="H45" s="32"/>
      <c r="I45" s="32"/>
      <c r="J45" s="32"/>
      <c r="K45" s="49"/>
      <c r="L45" s="49"/>
      <c r="M45" s="50">
        <v>38693</v>
      </c>
      <c r="N45" s="27"/>
      <c r="O45" s="6"/>
    </row>
    <row r="46" spans="1:15" ht="15.75">
      <c r="A46" s="26"/>
      <c r="B46" s="27" t="s">
        <v>31</v>
      </c>
      <c r="C46" s="27"/>
      <c r="D46" s="27"/>
      <c r="E46" s="27"/>
      <c r="F46" s="27"/>
      <c r="G46" s="27"/>
      <c r="H46" s="27"/>
      <c r="I46" s="27"/>
      <c r="J46" s="27">
        <f>M46-K46+1</f>
        <v>92</v>
      </c>
      <c r="K46" s="51">
        <v>38510</v>
      </c>
      <c r="L46" s="52"/>
      <c r="M46" s="51">
        <v>38601</v>
      </c>
      <c r="N46" s="27"/>
      <c r="O46" s="6"/>
    </row>
    <row r="47" spans="1:15" ht="15.75">
      <c r="A47" s="26"/>
      <c r="B47" s="27" t="s">
        <v>32</v>
      </c>
      <c r="C47" s="27"/>
      <c r="D47" s="27"/>
      <c r="E47" s="27"/>
      <c r="F47" s="27"/>
      <c r="G47" s="27"/>
      <c r="H47" s="27"/>
      <c r="I47" s="27"/>
      <c r="J47" s="27">
        <f>M47-K47+1</f>
        <v>91</v>
      </c>
      <c r="K47" s="51">
        <v>38602</v>
      </c>
      <c r="L47" s="52"/>
      <c r="M47" s="51">
        <v>38692</v>
      </c>
      <c r="N47" s="27"/>
      <c r="O47" s="6"/>
    </row>
    <row r="48" spans="1:15" ht="15.75">
      <c r="A48" s="26"/>
      <c r="B48" s="27" t="s">
        <v>33</v>
      </c>
      <c r="C48" s="27"/>
      <c r="D48" s="27"/>
      <c r="E48" s="27"/>
      <c r="F48" s="27"/>
      <c r="G48" s="27"/>
      <c r="H48" s="27"/>
      <c r="I48" s="27"/>
      <c r="J48" s="27"/>
      <c r="K48" s="51"/>
      <c r="L48" s="52"/>
      <c r="M48" s="51" t="s">
        <v>192</v>
      </c>
      <c r="N48" s="27"/>
      <c r="O48" s="6"/>
    </row>
    <row r="49" spans="1:15" ht="15.75">
      <c r="A49" s="26"/>
      <c r="B49" s="27" t="s">
        <v>34</v>
      </c>
      <c r="C49" s="27"/>
      <c r="D49" s="27"/>
      <c r="E49" s="27"/>
      <c r="F49" s="27"/>
      <c r="G49" s="27"/>
      <c r="H49" s="27"/>
      <c r="I49" s="27"/>
      <c r="J49" s="27"/>
      <c r="K49" s="51"/>
      <c r="L49" s="52"/>
      <c r="M49" s="51">
        <v>38687</v>
      </c>
      <c r="N49" s="27"/>
      <c r="O49" s="6"/>
    </row>
    <row r="50" spans="1:15" ht="15.75">
      <c r="A50" s="26"/>
      <c r="B50" s="27"/>
      <c r="C50" s="27"/>
      <c r="D50" s="27"/>
      <c r="E50" s="27"/>
      <c r="F50" s="27"/>
      <c r="G50" s="27"/>
      <c r="H50" s="27"/>
      <c r="I50" s="27"/>
      <c r="J50" s="27"/>
      <c r="K50" s="51"/>
      <c r="L50" s="52"/>
      <c r="M50" s="51"/>
      <c r="N50" s="27"/>
      <c r="O50" s="6"/>
    </row>
    <row r="51" spans="1:15" ht="15.75">
      <c r="A51" s="7"/>
      <c r="B51" s="9"/>
      <c r="C51" s="9"/>
      <c r="D51" s="9"/>
      <c r="E51" s="9"/>
      <c r="F51" s="9"/>
      <c r="G51" s="9"/>
      <c r="H51" s="9"/>
      <c r="I51" s="9"/>
      <c r="J51" s="9"/>
      <c r="K51" s="53"/>
      <c r="L51" s="54"/>
      <c r="M51" s="53"/>
      <c r="N51" s="9"/>
      <c r="O51" s="6"/>
    </row>
    <row r="52" spans="1:15" ht="19.5" thickBot="1">
      <c r="A52" s="117"/>
      <c r="B52" s="118" t="s">
        <v>226</v>
      </c>
      <c r="C52" s="119"/>
      <c r="D52" s="119"/>
      <c r="E52" s="119"/>
      <c r="F52" s="119"/>
      <c r="G52" s="119"/>
      <c r="H52" s="119"/>
      <c r="I52" s="119"/>
      <c r="J52" s="119"/>
      <c r="K52" s="119"/>
      <c r="L52" s="119"/>
      <c r="M52" s="120"/>
      <c r="N52" s="121"/>
      <c r="O52" s="6"/>
    </row>
    <row r="53" spans="1:15" ht="15.75">
      <c r="A53" s="2"/>
      <c r="B53" s="5"/>
      <c r="C53" s="5"/>
      <c r="D53" s="5"/>
      <c r="E53" s="5"/>
      <c r="F53" s="5"/>
      <c r="G53" s="5"/>
      <c r="H53" s="5"/>
      <c r="I53" s="5"/>
      <c r="J53" s="5"/>
      <c r="K53" s="5"/>
      <c r="L53" s="5"/>
      <c r="M53" s="56"/>
      <c r="N53" s="5"/>
      <c r="O53" s="6"/>
    </row>
    <row r="54" spans="1:15" ht="15.75">
      <c r="A54" s="7"/>
      <c r="B54" s="57" t="s">
        <v>36</v>
      </c>
      <c r="C54" s="15"/>
      <c r="D54" s="15"/>
      <c r="E54" s="9"/>
      <c r="F54" s="9"/>
      <c r="G54" s="9"/>
      <c r="H54" s="9"/>
      <c r="I54" s="9"/>
      <c r="J54" s="9"/>
      <c r="K54" s="9"/>
      <c r="L54" s="9"/>
      <c r="M54" s="58"/>
      <c r="N54" s="9"/>
      <c r="O54" s="6"/>
    </row>
    <row r="55" spans="1:15" ht="15.75">
      <c r="A55" s="7"/>
      <c r="B55" s="15"/>
      <c r="C55" s="15"/>
      <c r="D55" s="15"/>
      <c r="E55" s="9"/>
      <c r="F55" s="9"/>
      <c r="G55" s="9"/>
      <c r="H55" s="9"/>
      <c r="I55" s="9"/>
      <c r="J55" s="9"/>
      <c r="K55" s="9"/>
      <c r="L55" s="9"/>
      <c r="M55" s="58"/>
      <c r="N55" s="9"/>
      <c r="O55" s="6"/>
    </row>
    <row r="56" spans="1:15" ht="47.25">
      <c r="A56" s="7"/>
      <c r="B56" s="134" t="s">
        <v>37</v>
      </c>
      <c r="C56" s="135" t="s">
        <v>144</v>
      </c>
      <c r="D56" s="135"/>
      <c r="E56" s="135" t="s">
        <v>153</v>
      </c>
      <c r="F56" s="135"/>
      <c r="G56" s="135" t="s">
        <v>161</v>
      </c>
      <c r="H56" s="135"/>
      <c r="I56" s="135" t="s">
        <v>171</v>
      </c>
      <c r="J56" s="135"/>
      <c r="K56" s="135" t="s">
        <v>179</v>
      </c>
      <c r="L56" s="135"/>
      <c r="M56" s="136" t="s">
        <v>193</v>
      </c>
      <c r="N56" s="137"/>
      <c r="O56" s="6"/>
    </row>
    <row r="57" spans="1:15" ht="15.75">
      <c r="A57" s="26"/>
      <c r="B57" s="27" t="s">
        <v>38</v>
      </c>
      <c r="C57" s="38">
        <v>249994</v>
      </c>
      <c r="D57" s="38"/>
      <c r="E57" s="59">
        <v>211360</v>
      </c>
      <c r="F57" s="38"/>
      <c r="G57" s="38">
        <f>16802+11+2065</f>
        <v>18878</v>
      </c>
      <c r="H57" s="38"/>
      <c r="I57" s="38">
        <f>11+2065</f>
        <v>2076</v>
      </c>
      <c r="J57" s="38"/>
      <c r="K57" s="38">
        <v>0</v>
      </c>
      <c r="L57" s="38"/>
      <c r="M57" s="59">
        <f>E57-G57+I57-K57</f>
        <v>194558</v>
      </c>
      <c r="N57" s="27"/>
      <c r="O57" s="6"/>
    </row>
    <row r="58" spans="1:15" ht="15.75">
      <c r="A58" s="26"/>
      <c r="B58" s="27" t="s">
        <v>39</v>
      </c>
      <c r="C58" s="38">
        <v>6</v>
      </c>
      <c r="D58" s="38"/>
      <c r="E58" s="59">
        <v>0</v>
      </c>
      <c r="F58" s="38"/>
      <c r="G58" s="38">
        <v>0</v>
      </c>
      <c r="H58" s="38"/>
      <c r="I58" s="38">
        <v>0</v>
      </c>
      <c r="J58" s="38"/>
      <c r="K58" s="38">
        <v>0</v>
      </c>
      <c r="L58" s="38"/>
      <c r="M58" s="59">
        <f>E58-G58</f>
        <v>0</v>
      </c>
      <c r="N58" s="27"/>
      <c r="O58" s="6"/>
    </row>
    <row r="59" spans="1:15" ht="15.75">
      <c r="A59" s="26"/>
      <c r="B59" s="27"/>
      <c r="C59" s="38"/>
      <c r="D59" s="38"/>
      <c r="E59" s="59"/>
      <c r="F59" s="38"/>
      <c r="G59" s="38"/>
      <c r="H59" s="38"/>
      <c r="I59" s="38"/>
      <c r="J59" s="38"/>
      <c r="K59" s="38"/>
      <c r="L59" s="38"/>
      <c r="M59" s="59"/>
      <c r="N59" s="27"/>
      <c r="O59" s="6"/>
    </row>
    <row r="60" spans="1:15" ht="15.75">
      <c r="A60" s="26"/>
      <c r="B60" s="27" t="s">
        <v>40</v>
      </c>
      <c r="C60" s="38">
        <f>SUM(C57:C59)</f>
        <v>250000</v>
      </c>
      <c r="D60" s="38"/>
      <c r="E60" s="60">
        <f>E57+E58</f>
        <v>211360</v>
      </c>
      <c r="F60" s="38"/>
      <c r="G60" s="38">
        <f>SUM(G57:G59)</f>
        <v>18878</v>
      </c>
      <c r="H60" s="38"/>
      <c r="I60" s="38">
        <f>SUM(I57:I59)</f>
        <v>2076</v>
      </c>
      <c r="J60" s="38"/>
      <c r="K60" s="38">
        <f>SUM(K57:K59)</f>
        <v>0</v>
      </c>
      <c r="L60" s="38"/>
      <c r="M60" s="60">
        <f>SUM(M57:M59)</f>
        <v>194558</v>
      </c>
      <c r="N60" s="27"/>
      <c r="O60" s="6"/>
    </row>
    <row r="61" spans="1:15" ht="15.75">
      <c r="A61" s="26"/>
      <c r="B61" s="27"/>
      <c r="C61" s="38"/>
      <c r="D61" s="38"/>
      <c r="E61" s="38"/>
      <c r="F61" s="38"/>
      <c r="G61" s="38"/>
      <c r="H61" s="38"/>
      <c r="I61" s="38"/>
      <c r="J61" s="38"/>
      <c r="K61" s="38"/>
      <c r="L61" s="38"/>
      <c r="M61" s="60"/>
      <c r="N61" s="27"/>
      <c r="O61" s="6"/>
    </row>
    <row r="62" spans="1:15" ht="15.75">
      <c r="A62" s="7"/>
      <c r="B62" s="129" t="s">
        <v>41</v>
      </c>
      <c r="C62" s="61"/>
      <c r="D62" s="61"/>
      <c r="E62" s="61"/>
      <c r="F62" s="61"/>
      <c r="G62" s="61"/>
      <c r="H62" s="61"/>
      <c r="I62" s="61"/>
      <c r="J62" s="61"/>
      <c r="K62" s="61"/>
      <c r="L62" s="61"/>
      <c r="M62" s="62"/>
      <c r="N62" s="9"/>
      <c r="O62" s="6"/>
    </row>
    <row r="63" spans="1:15" ht="15.75">
      <c r="A63" s="7"/>
      <c r="B63" s="9"/>
      <c r="C63" s="61"/>
      <c r="D63" s="61"/>
      <c r="E63" s="61"/>
      <c r="F63" s="61"/>
      <c r="G63" s="61"/>
      <c r="H63" s="61"/>
      <c r="I63" s="61"/>
      <c r="J63" s="61"/>
      <c r="K63" s="61"/>
      <c r="L63" s="61"/>
      <c r="M63" s="62"/>
      <c r="N63" s="9"/>
      <c r="O63" s="6"/>
    </row>
    <row r="64" spans="1:15" ht="15.75">
      <c r="A64" s="26"/>
      <c r="B64" s="27" t="s">
        <v>38</v>
      </c>
      <c r="C64" s="38"/>
      <c r="D64" s="38"/>
      <c r="E64" s="38"/>
      <c r="F64" s="38"/>
      <c r="G64" s="38"/>
      <c r="H64" s="38"/>
      <c r="I64" s="38"/>
      <c r="J64" s="38"/>
      <c r="K64" s="38"/>
      <c r="L64" s="38"/>
      <c r="M64" s="60"/>
      <c r="N64" s="27"/>
      <c r="O64" s="6"/>
    </row>
    <row r="65" spans="1:15" ht="15.75">
      <c r="A65" s="26"/>
      <c r="B65" s="27" t="s">
        <v>39</v>
      </c>
      <c r="C65" s="38"/>
      <c r="D65" s="38"/>
      <c r="E65" s="38"/>
      <c r="F65" s="38"/>
      <c r="G65" s="38"/>
      <c r="H65" s="38"/>
      <c r="I65" s="38"/>
      <c r="J65" s="38"/>
      <c r="K65" s="38"/>
      <c r="L65" s="38"/>
      <c r="M65" s="60"/>
      <c r="N65" s="27"/>
      <c r="O65" s="6"/>
    </row>
    <row r="66" spans="1:15" ht="15.75">
      <c r="A66" s="26"/>
      <c r="B66" s="27"/>
      <c r="C66" s="38"/>
      <c r="D66" s="38"/>
      <c r="E66" s="38"/>
      <c r="F66" s="38"/>
      <c r="G66" s="38"/>
      <c r="H66" s="38"/>
      <c r="I66" s="38"/>
      <c r="J66" s="38"/>
      <c r="K66" s="38"/>
      <c r="L66" s="38"/>
      <c r="M66" s="60"/>
      <c r="N66" s="27"/>
      <c r="O66" s="6"/>
    </row>
    <row r="67" spans="1:15" ht="15.75">
      <c r="A67" s="26"/>
      <c r="B67" s="27" t="s">
        <v>40</v>
      </c>
      <c r="C67" s="38"/>
      <c r="D67" s="38"/>
      <c r="E67" s="38"/>
      <c r="F67" s="38"/>
      <c r="G67" s="38"/>
      <c r="H67" s="38"/>
      <c r="I67" s="38"/>
      <c r="J67" s="38"/>
      <c r="K67" s="38"/>
      <c r="L67" s="38"/>
      <c r="M67" s="38"/>
      <c r="N67" s="27"/>
      <c r="O67" s="6"/>
    </row>
    <row r="68" spans="1:15" ht="15.75">
      <c r="A68" s="26"/>
      <c r="B68" s="27"/>
      <c r="C68" s="38"/>
      <c r="D68" s="38"/>
      <c r="E68" s="38"/>
      <c r="F68" s="38"/>
      <c r="G68" s="38"/>
      <c r="H68" s="38"/>
      <c r="I68" s="38"/>
      <c r="J68" s="38"/>
      <c r="K68" s="38"/>
      <c r="L68" s="38"/>
      <c r="M68" s="38"/>
      <c r="N68" s="27"/>
      <c r="O68" s="6"/>
    </row>
    <row r="69" spans="1:15" ht="15.75">
      <c r="A69" s="26"/>
      <c r="B69" s="27" t="s">
        <v>42</v>
      </c>
      <c r="C69" s="38">
        <v>0</v>
      </c>
      <c r="D69" s="38"/>
      <c r="E69" s="38">
        <v>0</v>
      </c>
      <c r="F69" s="38"/>
      <c r="G69" s="38"/>
      <c r="H69" s="38"/>
      <c r="I69" s="38"/>
      <c r="J69" s="38"/>
      <c r="K69" s="38"/>
      <c r="L69" s="38"/>
      <c r="M69" s="59">
        <f>E69-G69+I69-K69</f>
        <v>0</v>
      </c>
      <c r="N69" s="27"/>
      <c r="O69" s="6"/>
    </row>
    <row r="70" spans="1:15" ht="15.75">
      <c r="A70" s="26"/>
      <c r="B70" s="27" t="s">
        <v>198</v>
      </c>
      <c r="C70" s="38">
        <v>0</v>
      </c>
      <c r="D70" s="38"/>
      <c r="E70" s="38">
        <v>0</v>
      </c>
      <c r="F70" s="38"/>
      <c r="G70" s="38"/>
      <c r="H70" s="38"/>
      <c r="I70" s="38"/>
      <c r="J70" s="38"/>
      <c r="K70" s="38"/>
      <c r="L70" s="38"/>
      <c r="M70" s="60">
        <v>0</v>
      </c>
      <c r="N70" s="27"/>
      <c r="O70" s="6"/>
    </row>
    <row r="71" spans="1:15" ht="15.75">
      <c r="A71" s="26"/>
      <c r="B71" s="27" t="s">
        <v>44</v>
      </c>
      <c r="C71" s="38">
        <v>0</v>
      </c>
      <c r="D71" s="38"/>
      <c r="E71" s="38">
        <v>0</v>
      </c>
      <c r="F71" s="38"/>
      <c r="G71" s="38"/>
      <c r="H71" s="38"/>
      <c r="I71" s="38"/>
      <c r="J71" s="38"/>
      <c r="K71" s="38"/>
      <c r="L71" s="38"/>
      <c r="M71" s="60">
        <v>0</v>
      </c>
      <c r="N71" s="27"/>
      <c r="O71" s="6"/>
    </row>
    <row r="72" spans="1:15" ht="15.75">
      <c r="A72" s="26"/>
      <c r="B72" s="27" t="s">
        <v>45</v>
      </c>
      <c r="C72" s="60">
        <f>SUM(C60:C71)</f>
        <v>250000</v>
      </c>
      <c r="D72" s="60"/>
      <c r="E72" s="60">
        <f>SUM(E60:E71)</f>
        <v>211360</v>
      </c>
      <c r="F72" s="38"/>
      <c r="G72" s="60"/>
      <c r="H72" s="38"/>
      <c r="I72" s="60"/>
      <c r="J72" s="38"/>
      <c r="K72" s="60"/>
      <c r="L72" s="38"/>
      <c r="M72" s="60">
        <f>SUM(M60:M71)</f>
        <v>194558</v>
      </c>
      <c r="N72" s="27"/>
      <c r="O72" s="6"/>
    </row>
    <row r="73" spans="1:15" ht="15.75">
      <c r="A73" s="26"/>
      <c r="B73" s="27"/>
      <c r="C73" s="38"/>
      <c r="D73" s="38"/>
      <c r="E73" s="38"/>
      <c r="F73" s="38"/>
      <c r="G73" s="38"/>
      <c r="H73" s="38"/>
      <c r="I73" s="38"/>
      <c r="J73" s="38"/>
      <c r="K73" s="38"/>
      <c r="L73" s="38"/>
      <c r="M73" s="60"/>
      <c r="N73" s="27"/>
      <c r="O73" s="6"/>
    </row>
    <row r="74" spans="1:15" ht="15.75">
      <c r="A74" s="7"/>
      <c r="B74" s="9"/>
      <c r="C74" s="9"/>
      <c r="D74" s="9"/>
      <c r="E74" s="9"/>
      <c r="F74" s="9"/>
      <c r="G74" s="9"/>
      <c r="H74" s="9"/>
      <c r="I74" s="9"/>
      <c r="J74" s="9"/>
      <c r="K74" s="9"/>
      <c r="L74" s="9"/>
      <c r="M74" s="9"/>
      <c r="N74" s="9"/>
      <c r="O74" s="6"/>
    </row>
    <row r="75" spans="1:15" ht="15.75">
      <c r="A75" s="7"/>
      <c r="B75" s="57" t="s">
        <v>46</v>
      </c>
      <c r="C75" s="16"/>
      <c r="D75" s="16"/>
      <c r="E75" s="16"/>
      <c r="F75" s="16"/>
      <c r="G75" s="16" t="s">
        <v>145</v>
      </c>
      <c r="H75" s="16"/>
      <c r="I75" s="173">
        <f>+K161</f>
        <v>38686</v>
      </c>
      <c r="J75" s="19"/>
      <c r="K75" s="19" t="s">
        <v>180</v>
      </c>
      <c r="L75" s="19"/>
      <c r="M75" s="19" t="s">
        <v>194</v>
      </c>
      <c r="N75" s="9"/>
      <c r="O75" s="6"/>
    </row>
    <row r="76" spans="1:15" ht="15.75">
      <c r="A76" s="26"/>
      <c r="B76" s="27" t="s">
        <v>47</v>
      </c>
      <c r="C76" s="27"/>
      <c r="D76" s="27"/>
      <c r="E76" s="27"/>
      <c r="F76" s="27"/>
      <c r="G76" s="27"/>
      <c r="H76" s="27"/>
      <c r="I76" s="27"/>
      <c r="J76" s="27"/>
      <c r="K76" s="38">
        <v>0</v>
      </c>
      <c r="L76" s="27"/>
      <c r="M76" s="59">
        <v>0</v>
      </c>
      <c r="N76" s="27"/>
      <c r="O76" s="6"/>
    </row>
    <row r="77" spans="1:15" ht="15.75">
      <c r="A77" s="26"/>
      <c r="B77" s="27" t="s">
        <v>48</v>
      </c>
      <c r="C77" s="46"/>
      <c r="D77" s="149"/>
      <c r="E77" s="63"/>
      <c r="F77" s="27"/>
      <c r="G77" s="27"/>
      <c r="H77" s="27"/>
      <c r="I77" s="27"/>
      <c r="J77" s="27"/>
      <c r="K77" s="38">
        <v>18878</v>
      </c>
      <c r="L77" s="27"/>
      <c r="M77" s="59"/>
      <c r="N77" s="27"/>
      <c r="O77" s="6"/>
    </row>
    <row r="78" spans="1:15" ht="15.75">
      <c r="A78" s="26"/>
      <c r="B78" s="27" t="s">
        <v>236</v>
      </c>
      <c r="C78" s="46"/>
      <c r="D78" s="149"/>
      <c r="E78" s="63"/>
      <c r="F78" s="27"/>
      <c r="G78" s="27"/>
      <c r="H78" s="27"/>
      <c r="I78" s="27"/>
      <c r="J78" s="27"/>
      <c r="K78" s="38"/>
      <c r="L78" s="27"/>
      <c r="M78" s="59">
        <f>1362+1234+1100-673</f>
        <v>3023</v>
      </c>
      <c r="N78" s="27"/>
      <c r="O78" s="6"/>
    </row>
    <row r="79" spans="1:15" ht="15.75">
      <c r="A79" s="26"/>
      <c r="B79" s="27" t="s">
        <v>228</v>
      </c>
      <c r="C79" s="46"/>
      <c r="D79" s="149"/>
      <c r="E79" s="63"/>
      <c r="F79" s="27"/>
      <c r="G79" s="27"/>
      <c r="H79" s="27"/>
      <c r="I79" s="27"/>
      <c r="J79" s="27"/>
      <c r="K79" s="38"/>
      <c r="L79" s="27"/>
      <c r="M79" s="59">
        <f>118+198+109-147-55</f>
        <v>223</v>
      </c>
      <c r="N79" s="27"/>
      <c r="O79" s="6"/>
    </row>
    <row r="80" spans="1:15" ht="15.75">
      <c r="A80" s="26"/>
      <c r="B80" s="27" t="s">
        <v>227</v>
      </c>
      <c r="C80" s="46"/>
      <c r="D80" s="149"/>
      <c r="E80" s="63"/>
      <c r="F80" s="27"/>
      <c r="G80" s="27"/>
      <c r="H80" s="27"/>
      <c r="I80" s="27"/>
      <c r="J80" s="27"/>
      <c r="K80" s="38"/>
      <c r="L80" s="27"/>
      <c r="M80" s="59">
        <f>91+47+48</f>
        <v>186</v>
      </c>
      <c r="N80" s="27"/>
      <c r="O80" s="6"/>
    </row>
    <row r="81" spans="1:15" ht="15.75">
      <c r="A81" s="26"/>
      <c r="B81" s="27" t="s">
        <v>235</v>
      </c>
      <c r="C81" s="46"/>
      <c r="D81" s="149"/>
      <c r="E81" s="63"/>
      <c r="F81" s="27"/>
      <c r="G81" s="27"/>
      <c r="H81" s="27"/>
      <c r="I81" s="27"/>
      <c r="J81" s="27"/>
      <c r="K81" s="38"/>
      <c r="L81" s="27"/>
      <c r="M81" s="59">
        <v>0</v>
      </c>
      <c r="N81" s="27"/>
      <c r="O81" s="6"/>
    </row>
    <row r="82" spans="1:15" ht="15.75">
      <c r="A82" s="26"/>
      <c r="B82" s="27" t="s">
        <v>229</v>
      </c>
      <c r="C82" s="27"/>
      <c r="D82" s="27"/>
      <c r="E82" s="27"/>
      <c r="F82" s="27"/>
      <c r="G82" s="27"/>
      <c r="H82" s="27"/>
      <c r="I82" s="27"/>
      <c r="J82" s="27"/>
      <c r="K82" s="38"/>
      <c r="L82" s="27"/>
      <c r="M82" s="59">
        <v>0</v>
      </c>
      <c r="N82" s="27"/>
      <c r="O82" s="6"/>
    </row>
    <row r="83" spans="1:15" ht="15.75">
      <c r="A83" s="26"/>
      <c r="B83" s="27" t="s">
        <v>51</v>
      </c>
      <c r="C83" s="27"/>
      <c r="D83" s="27"/>
      <c r="E83" s="27"/>
      <c r="F83" s="27"/>
      <c r="G83" s="27"/>
      <c r="H83" s="27"/>
      <c r="I83" s="27"/>
      <c r="J83" s="27"/>
      <c r="K83" s="38">
        <f>SUM(K76:K82)</f>
        <v>18878</v>
      </c>
      <c r="L83" s="27"/>
      <c r="M83" s="60">
        <f>SUM(M76:M82)</f>
        <v>3432</v>
      </c>
      <c r="N83" s="27"/>
      <c r="O83" s="6"/>
    </row>
    <row r="84" spans="1:15" ht="15.75">
      <c r="A84" s="26"/>
      <c r="B84" s="27" t="s">
        <v>52</v>
      </c>
      <c r="C84" s="27"/>
      <c r="D84" s="27"/>
      <c r="E84" s="27"/>
      <c r="F84" s="27"/>
      <c r="G84" s="27"/>
      <c r="H84" s="27"/>
      <c r="I84" s="27"/>
      <c r="J84" s="27"/>
      <c r="K84" s="38">
        <v>0</v>
      </c>
      <c r="L84" s="27"/>
      <c r="M84" s="59">
        <v>0</v>
      </c>
      <c r="N84" s="27"/>
      <c r="O84" s="6"/>
    </row>
    <row r="85" spans="1:15" ht="15.75">
      <c r="A85" s="26"/>
      <c r="B85" s="27" t="s">
        <v>53</v>
      </c>
      <c r="C85" s="27"/>
      <c r="D85" s="27"/>
      <c r="E85" s="27"/>
      <c r="F85" s="27"/>
      <c r="G85" s="27"/>
      <c r="H85" s="27"/>
      <c r="I85" s="27"/>
      <c r="J85" s="27"/>
      <c r="K85" s="38">
        <f>K83+K84</f>
        <v>18878</v>
      </c>
      <c r="L85" s="27"/>
      <c r="M85" s="60">
        <f>M83+M84</f>
        <v>3432</v>
      </c>
      <c r="N85" s="27"/>
      <c r="O85" s="6"/>
    </row>
    <row r="86" spans="1:15" ht="15.75">
      <c r="A86" s="26"/>
      <c r="B86" s="138" t="s">
        <v>54</v>
      </c>
      <c r="C86" s="64"/>
      <c r="D86" s="64"/>
      <c r="E86" s="27"/>
      <c r="F86" s="27"/>
      <c r="G86" s="27"/>
      <c r="H86" s="27"/>
      <c r="I86" s="27"/>
      <c r="J86" s="27"/>
      <c r="K86" s="38"/>
      <c r="L86" s="27"/>
      <c r="M86" s="59"/>
      <c r="N86" s="27"/>
      <c r="O86" s="6"/>
    </row>
    <row r="87" spans="1:15" ht="15.75">
      <c r="A87" s="26">
        <v>1</v>
      </c>
      <c r="B87" s="27" t="s">
        <v>55</v>
      </c>
      <c r="C87" s="27"/>
      <c r="D87" s="27"/>
      <c r="E87" s="27"/>
      <c r="F87" s="27"/>
      <c r="G87" s="27"/>
      <c r="H87" s="27"/>
      <c r="I87" s="27"/>
      <c r="J87" s="27"/>
      <c r="K87" s="27"/>
      <c r="L87" s="27"/>
      <c r="M87" s="59">
        <v>0</v>
      </c>
      <c r="N87" s="27"/>
      <c r="O87" s="6"/>
    </row>
    <row r="88" spans="1:15" ht="15.75">
      <c r="A88" s="26">
        <v>2</v>
      </c>
      <c r="B88" s="27" t="s">
        <v>56</v>
      </c>
      <c r="C88" s="27"/>
      <c r="D88" s="27"/>
      <c r="E88" s="27"/>
      <c r="F88" s="27"/>
      <c r="G88" s="27"/>
      <c r="H88" s="27"/>
      <c r="I88" s="27"/>
      <c r="J88" s="27"/>
      <c r="K88" s="27"/>
      <c r="L88" s="27"/>
      <c r="M88" s="59">
        <v>-2</v>
      </c>
      <c r="N88" s="27"/>
      <c r="O88" s="6"/>
    </row>
    <row r="89" spans="1:15" ht="15.75">
      <c r="A89" s="26">
        <v>3</v>
      </c>
      <c r="B89" s="27" t="s">
        <v>57</v>
      </c>
      <c r="C89" s="27"/>
      <c r="D89" s="27"/>
      <c r="E89" s="27"/>
      <c r="F89" s="27"/>
      <c r="G89" s="27"/>
      <c r="H89" s="27"/>
      <c r="I89" s="27"/>
      <c r="J89" s="27"/>
      <c r="K89" s="27"/>
      <c r="L89" s="27"/>
      <c r="M89" s="59">
        <f>-158-18-4</f>
        <v>-180</v>
      </c>
      <c r="N89" s="27"/>
      <c r="O89" s="6"/>
    </row>
    <row r="90" spans="1:15" ht="15.75">
      <c r="A90" s="26">
        <v>4</v>
      </c>
      <c r="B90" s="27" t="s">
        <v>197</v>
      </c>
      <c r="C90" s="27"/>
      <c r="D90" s="27"/>
      <c r="E90" s="27"/>
      <c r="F90" s="27"/>
      <c r="G90" s="27"/>
      <c r="H90" s="27"/>
      <c r="I90" s="27"/>
      <c r="J90" s="27"/>
      <c r="K90" s="27"/>
      <c r="L90" s="27"/>
      <c r="M90" s="59">
        <v>-22</v>
      </c>
      <c r="N90" s="27"/>
      <c r="O90" s="6"/>
    </row>
    <row r="91" spans="1:15" ht="15.75">
      <c r="A91" s="26">
        <v>5</v>
      </c>
      <c r="B91" s="27" t="s">
        <v>58</v>
      </c>
      <c r="C91" s="27"/>
      <c r="D91" s="27"/>
      <c r="E91" s="27"/>
      <c r="F91" s="27"/>
      <c r="G91" s="27"/>
      <c r="H91" s="27"/>
      <c r="I91" s="27"/>
      <c r="J91" s="27"/>
      <c r="K91" s="27"/>
      <c r="L91" s="27"/>
      <c r="M91" s="59">
        <v>-2294</v>
      </c>
      <c r="N91" s="27"/>
      <c r="O91" s="6"/>
    </row>
    <row r="92" spans="1:15" ht="15.75">
      <c r="A92" s="26">
        <v>6</v>
      </c>
      <c r="B92" s="27" t="s">
        <v>59</v>
      </c>
      <c r="C92" s="27"/>
      <c r="D92" s="27"/>
      <c r="E92" s="27"/>
      <c r="F92" s="27"/>
      <c r="G92" s="27"/>
      <c r="H92" s="27"/>
      <c r="I92" s="27"/>
      <c r="J92" s="27"/>
      <c r="K92" s="27"/>
      <c r="L92" s="27"/>
      <c r="M92" s="59">
        <v>-352</v>
      </c>
      <c r="N92" s="27"/>
      <c r="O92" s="6"/>
    </row>
    <row r="93" spans="1:15" ht="15.75">
      <c r="A93" s="26">
        <v>7</v>
      </c>
      <c r="B93" s="27" t="s">
        <v>60</v>
      </c>
      <c r="C93" s="27"/>
      <c r="D93" s="27"/>
      <c r="E93" s="27"/>
      <c r="F93" s="27"/>
      <c r="G93" s="27"/>
      <c r="H93" s="27"/>
      <c r="I93" s="27"/>
      <c r="J93" s="27"/>
      <c r="K93" s="27"/>
      <c r="L93" s="27"/>
      <c r="M93" s="59">
        <v>-5</v>
      </c>
      <c r="N93" s="27"/>
      <c r="O93" s="6"/>
    </row>
    <row r="94" spans="1:15" ht="15.75">
      <c r="A94" s="26">
        <v>8</v>
      </c>
      <c r="B94" s="27" t="s">
        <v>81</v>
      </c>
      <c r="C94" s="27"/>
      <c r="D94" s="27"/>
      <c r="E94" s="27"/>
      <c r="F94" s="27"/>
      <c r="G94" s="27"/>
      <c r="H94" s="27"/>
      <c r="I94" s="27"/>
      <c r="J94" s="27"/>
      <c r="K94" s="27"/>
      <c r="L94" s="27"/>
      <c r="M94" s="59">
        <v>0</v>
      </c>
      <c r="N94" s="27"/>
      <c r="O94" s="6"/>
    </row>
    <row r="95" spans="1:15" ht="15.75">
      <c r="A95" s="26">
        <v>9</v>
      </c>
      <c r="B95" s="27" t="s">
        <v>61</v>
      </c>
      <c r="C95" s="27"/>
      <c r="D95" s="27"/>
      <c r="E95" s="27"/>
      <c r="F95" s="27"/>
      <c r="G95" s="27"/>
      <c r="H95" s="27"/>
      <c r="I95" s="27"/>
      <c r="J95" s="27"/>
      <c r="K95" s="27"/>
      <c r="L95" s="27"/>
      <c r="M95" s="59">
        <v>0</v>
      </c>
      <c r="N95" s="27"/>
      <c r="O95" s="6"/>
    </row>
    <row r="96" spans="1:15" ht="15.75">
      <c r="A96" s="26">
        <v>10</v>
      </c>
      <c r="B96" s="27" t="s">
        <v>62</v>
      </c>
      <c r="C96" s="27"/>
      <c r="D96" s="27"/>
      <c r="E96" s="27"/>
      <c r="F96" s="27"/>
      <c r="G96" s="27"/>
      <c r="H96" s="27"/>
      <c r="I96" s="27"/>
      <c r="J96" s="27"/>
      <c r="K96" s="27"/>
      <c r="L96" s="27"/>
      <c r="M96" s="59">
        <v>0</v>
      </c>
      <c r="N96" s="27"/>
      <c r="O96" s="6"/>
    </row>
    <row r="97" spans="1:15" ht="15.75">
      <c r="A97" s="26">
        <v>11</v>
      </c>
      <c r="B97" s="27" t="s">
        <v>63</v>
      </c>
      <c r="C97" s="27"/>
      <c r="D97" s="27"/>
      <c r="E97" s="27"/>
      <c r="F97" s="27"/>
      <c r="G97" s="27"/>
      <c r="H97" s="27"/>
      <c r="I97" s="27"/>
      <c r="J97" s="27"/>
      <c r="K97" s="27"/>
      <c r="L97" s="27"/>
      <c r="M97" s="59">
        <v>0</v>
      </c>
      <c r="N97" s="27"/>
      <c r="O97" s="6"/>
    </row>
    <row r="98" spans="1:15" ht="15.75">
      <c r="A98" s="26">
        <v>12</v>
      </c>
      <c r="B98" s="27" t="s">
        <v>64</v>
      </c>
      <c r="C98" s="27"/>
      <c r="D98" s="27"/>
      <c r="E98" s="27"/>
      <c r="F98" s="27"/>
      <c r="G98" s="27"/>
      <c r="H98" s="27"/>
      <c r="I98" s="27"/>
      <c r="J98" s="27"/>
      <c r="K98" s="27"/>
      <c r="L98" s="27"/>
      <c r="M98" s="59">
        <f>-22-143</f>
        <v>-165</v>
      </c>
      <c r="N98" s="27"/>
      <c r="O98" s="6"/>
    </row>
    <row r="99" spans="1:15" ht="15.75">
      <c r="A99" s="26">
        <v>13</v>
      </c>
      <c r="B99" s="27" t="s">
        <v>65</v>
      </c>
      <c r="C99" s="27"/>
      <c r="D99" s="27"/>
      <c r="E99" s="27"/>
      <c r="F99" s="27"/>
      <c r="G99" s="27"/>
      <c r="H99" s="27"/>
      <c r="I99" s="27"/>
      <c r="J99" s="27"/>
      <c r="K99" s="27"/>
      <c r="L99" s="27"/>
      <c r="M99" s="59">
        <f>-M85-SUM(M87:M98)</f>
        <v>-412</v>
      </c>
      <c r="N99" s="27"/>
      <c r="O99" s="6"/>
    </row>
    <row r="100" spans="1:15" ht="15.75">
      <c r="A100" s="26"/>
      <c r="B100" s="138" t="s">
        <v>66</v>
      </c>
      <c r="C100" s="64"/>
      <c r="D100" s="64"/>
      <c r="E100" s="27"/>
      <c r="F100" s="27"/>
      <c r="G100" s="27"/>
      <c r="H100" s="27"/>
      <c r="I100" s="27"/>
      <c r="J100" s="27"/>
      <c r="K100" s="27"/>
      <c r="L100" s="27"/>
      <c r="M100" s="65"/>
      <c r="N100" s="27"/>
      <c r="O100" s="6"/>
    </row>
    <row r="101" spans="1:15" ht="15.75">
      <c r="A101" s="26"/>
      <c r="B101" s="27" t="s">
        <v>67</v>
      </c>
      <c r="C101" s="64"/>
      <c r="D101" s="64"/>
      <c r="E101" s="27"/>
      <c r="F101" s="27"/>
      <c r="G101" s="27"/>
      <c r="H101" s="27"/>
      <c r="I101" s="27"/>
      <c r="J101" s="27"/>
      <c r="K101" s="38">
        <f>-K147</f>
        <v>0</v>
      </c>
      <c r="L101" s="38"/>
      <c r="M101" s="59"/>
      <c r="N101" s="27"/>
      <c r="O101" s="6"/>
    </row>
    <row r="102" spans="1:15" ht="15.75">
      <c r="A102" s="26"/>
      <c r="B102" s="27" t="s">
        <v>68</v>
      </c>
      <c r="C102" s="27"/>
      <c r="D102" s="27"/>
      <c r="E102" s="27"/>
      <c r="F102" s="27"/>
      <c r="G102" s="27"/>
      <c r="H102" s="27"/>
      <c r="I102" s="27"/>
      <c r="J102" s="27"/>
      <c r="K102" s="38">
        <f>-I147</f>
        <v>-2076</v>
      </c>
      <c r="L102" s="38"/>
      <c r="M102" s="59"/>
      <c r="N102" s="27"/>
      <c r="O102" s="6"/>
    </row>
    <row r="103" spans="1:15" ht="15.75">
      <c r="A103" s="26"/>
      <c r="B103" s="27" t="s">
        <v>69</v>
      </c>
      <c r="C103" s="27"/>
      <c r="D103" s="27"/>
      <c r="E103" s="27"/>
      <c r="F103" s="27"/>
      <c r="G103" s="27"/>
      <c r="H103" s="27"/>
      <c r="I103" s="27"/>
      <c r="J103" s="27"/>
      <c r="K103" s="38">
        <v>-11360</v>
      </c>
      <c r="L103" s="38"/>
      <c r="M103" s="59"/>
      <c r="N103" s="27"/>
      <c r="O103" s="6"/>
    </row>
    <row r="104" spans="1:15" ht="15.75">
      <c r="A104" s="26"/>
      <c r="B104" s="27" t="s">
        <v>70</v>
      </c>
      <c r="C104" s="27"/>
      <c r="D104" s="27"/>
      <c r="E104" s="27"/>
      <c r="F104" s="27"/>
      <c r="G104" s="27"/>
      <c r="H104" s="27"/>
      <c r="I104" s="27"/>
      <c r="J104" s="27"/>
      <c r="K104" s="38">
        <v>-5442</v>
      </c>
      <c r="L104" s="38"/>
      <c r="M104" s="59"/>
      <c r="N104" s="27"/>
      <c r="O104" s="6"/>
    </row>
    <row r="105" spans="1:15" ht="15.75">
      <c r="A105" s="26"/>
      <c r="B105" s="27" t="s">
        <v>71</v>
      </c>
      <c r="C105" s="27"/>
      <c r="D105" s="27"/>
      <c r="E105" s="27"/>
      <c r="F105" s="27"/>
      <c r="G105" s="27"/>
      <c r="H105" s="27"/>
      <c r="I105" s="27"/>
      <c r="J105" s="27"/>
      <c r="K105" s="38">
        <v>0</v>
      </c>
      <c r="L105" s="38"/>
      <c r="M105" s="59"/>
      <c r="N105" s="27"/>
      <c r="O105" s="6"/>
    </row>
    <row r="106" spans="1:15" ht="15.75">
      <c r="A106" s="26"/>
      <c r="B106" s="27" t="s">
        <v>72</v>
      </c>
      <c r="C106" s="27"/>
      <c r="D106" s="27"/>
      <c r="E106" s="27"/>
      <c r="F106" s="27"/>
      <c r="G106" s="27"/>
      <c r="H106" s="27"/>
      <c r="I106" s="27"/>
      <c r="J106" s="27"/>
      <c r="K106" s="38">
        <f>SUM(K86:K105)</f>
        <v>-18878</v>
      </c>
      <c r="L106" s="38"/>
      <c r="M106" s="38">
        <f>SUM(M86:M105)</f>
        <v>-3432</v>
      </c>
      <c r="N106" s="27"/>
      <c r="O106" s="6"/>
    </row>
    <row r="107" spans="1:15" ht="15.75">
      <c r="A107" s="26"/>
      <c r="B107" s="27" t="s">
        <v>73</v>
      </c>
      <c r="C107" s="27"/>
      <c r="D107" s="27"/>
      <c r="E107" s="27"/>
      <c r="F107" s="27"/>
      <c r="G107" s="27"/>
      <c r="H107" s="27"/>
      <c r="I107" s="27"/>
      <c r="J107" s="27"/>
      <c r="K107" s="38">
        <f>K85+K106</f>
        <v>0</v>
      </c>
      <c r="L107" s="38"/>
      <c r="M107" s="38">
        <f>M85+M106</f>
        <v>0</v>
      </c>
      <c r="N107" s="27"/>
      <c r="O107" s="6"/>
    </row>
    <row r="108" spans="1:15" ht="15.75">
      <c r="A108" s="26"/>
      <c r="B108" s="27"/>
      <c r="C108" s="27"/>
      <c r="D108" s="27"/>
      <c r="E108" s="27"/>
      <c r="F108" s="27"/>
      <c r="G108" s="27"/>
      <c r="H108" s="27"/>
      <c r="I108" s="27"/>
      <c r="J108" s="27"/>
      <c r="K108" s="38"/>
      <c r="L108" s="38"/>
      <c r="M108" s="38"/>
      <c r="N108" s="27"/>
      <c r="O108" s="6"/>
    </row>
    <row r="109" spans="1:15" ht="15.75">
      <c r="A109" s="7"/>
      <c r="B109" s="9"/>
      <c r="C109" s="9"/>
      <c r="D109" s="9"/>
      <c r="E109" s="9"/>
      <c r="F109" s="9"/>
      <c r="G109" s="9"/>
      <c r="H109" s="9"/>
      <c r="I109" s="9"/>
      <c r="J109" s="9"/>
      <c r="K109" s="9"/>
      <c r="L109" s="9"/>
      <c r="M109" s="58"/>
      <c r="N109" s="9"/>
      <c r="O109" s="6"/>
    </row>
    <row r="110" spans="1:15" ht="19.5" thickBot="1">
      <c r="A110" s="117"/>
      <c r="B110" s="118" t="str">
        <f>B52</f>
        <v>PM5 INVESTOR REPORT QUARTER ENDING NOVEMBER 2005</v>
      </c>
      <c r="C110" s="119"/>
      <c r="D110" s="119"/>
      <c r="E110" s="119"/>
      <c r="F110" s="119"/>
      <c r="G110" s="119"/>
      <c r="H110" s="119"/>
      <c r="I110" s="119"/>
      <c r="J110" s="119"/>
      <c r="K110" s="119"/>
      <c r="L110" s="119"/>
      <c r="M110" s="122"/>
      <c r="N110" s="121"/>
      <c r="O110" s="6"/>
    </row>
    <row r="111" spans="1:15" ht="15.75">
      <c r="A111" s="2"/>
      <c r="B111" s="66" t="s">
        <v>74</v>
      </c>
      <c r="C111" s="67"/>
      <c r="D111" s="67"/>
      <c r="E111" s="5"/>
      <c r="F111" s="5"/>
      <c r="G111" s="5"/>
      <c r="H111" s="5"/>
      <c r="I111" s="5"/>
      <c r="J111" s="5"/>
      <c r="K111" s="5"/>
      <c r="L111" s="5"/>
      <c r="M111" s="56"/>
      <c r="N111" s="5"/>
      <c r="O111" s="6"/>
    </row>
    <row r="112" spans="1:15" ht="15.75">
      <c r="A112" s="7"/>
      <c r="B112" s="23"/>
      <c r="C112" s="15"/>
      <c r="D112" s="15"/>
      <c r="E112" s="9"/>
      <c r="F112" s="9"/>
      <c r="G112" s="9"/>
      <c r="H112" s="9"/>
      <c r="I112" s="9"/>
      <c r="J112" s="9"/>
      <c r="K112" s="9"/>
      <c r="L112" s="9"/>
      <c r="M112" s="58"/>
      <c r="N112" s="9"/>
      <c r="O112" s="6"/>
    </row>
    <row r="113" spans="1:15" ht="15.75">
      <c r="A113" s="7"/>
      <c r="B113" s="139" t="s">
        <v>75</v>
      </c>
      <c r="C113" s="15"/>
      <c r="D113" s="15"/>
      <c r="E113" s="9"/>
      <c r="F113" s="9"/>
      <c r="G113" s="9"/>
      <c r="H113" s="9"/>
      <c r="I113" s="9"/>
      <c r="J113" s="9"/>
      <c r="K113" s="9"/>
      <c r="L113" s="9"/>
      <c r="M113" s="58"/>
      <c r="N113" s="9"/>
      <c r="O113" s="6"/>
    </row>
    <row r="114" spans="1:15" ht="15.75">
      <c r="A114" s="26"/>
      <c r="B114" s="27" t="s">
        <v>76</v>
      </c>
      <c r="C114" s="27"/>
      <c r="D114" s="27"/>
      <c r="E114" s="27"/>
      <c r="F114" s="27"/>
      <c r="G114" s="27"/>
      <c r="H114" s="27"/>
      <c r="I114" s="27"/>
      <c r="J114" s="27"/>
      <c r="K114" s="27"/>
      <c r="L114" s="27"/>
      <c r="M114" s="59">
        <v>4000</v>
      </c>
      <c r="N114" s="27"/>
      <c r="O114" s="6"/>
    </row>
    <row r="115" spans="1:15" ht="15.75">
      <c r="A115" s="26"/>
      <c r="B115" s="27" t="s">
        <v>77</v>
      </c>
      <c r="C115" s="27"/>
      <c r="D115" s="27"/>
      <c r="E115" s="27"/>
      <c r="F115" s="27"/>
      <c r="G115" s="27"/>
      <c r="H115" s="27"/>
      <c r="I115" s="27"/>
      <c r="J115" s="27"/>
      <c r="K115" s="27"/>
      <c r="L115" s="27"/>
      <c r="M115" s="59">
        <v>4000</v>
      </c>
      <c r="N115" s="27"/>
      <c r="O115" s="6"/>
    </row>
    <row r="116" spans="1:15" ht="15.75">
      <c r="A116" s="26"/>
      <c r="B116" s="27" t="s">
        <v>78</v>
      </c>
      <c r="C116" s="27"/>
      <c r="D116" s="27"/>
      <c r="E116" s="27"/>
      <c r="F116" s="27"/>
      <c r="G116" s="27"/>
      <c r="H116" s="27"/>
      <c r="I116" s="27"/>
      <c r="J116" s="27"/>
      <c r="K116" s="27"/>
      <c r="L116" s="27"/>
      <c r="M116" s="59">
        <v>0</v>
      </c>
      <c r="N116" s="27"/>
      <c r="O116" s="6"/>
    </row>
    <row r="117" spans="1:15" ht="15.75">
      <c r="A117" s="26"/>
      <c r="B117" s="27" t="s">
        <v>79</v>
      </c>
      <c r="C117" s="27"/>
      <c r="D117" s="27"/>
      <c r="E117" s="27"/>
      <c r="F117" s="27"/>
      <c r="G117" s="27"/>
      <c r="H117" s="27"/>
      <c r="I117" s="27"/>
      <c r="J117" s="27"/>
      <c r="K117" s="27"/>
      <c r="L117" s="27"/>
      <c r="M117" s="59">
        <v>0</v>
      </c>
      <c r="N117" s="27"/>
      <c r="O117" s="6"/>
    </row>
    <row r="118" spans="1:15" ht="15.75">
      <c r="A118" s="26"/>
      <c r="B118" s="27" t="s">
        <v>80</v>
      </c>
      <c r="C118" s="27"/>
      <c r="D118" s="27"/>
      <c r="E118" s="27"/>
      <c r="F118" s="27"/>
      <c r="G118" s="27"/>
      <c r="H118" s="27"/>
      <c r="I118" s="27"/>
      <c r="J118" s="27"/>
      <c r="K118" s="27"/>
      <c r="L118" s="27"/>
      <c r="M118" s="59">
        <v>0</v>
      </c>
      <c r="N118" s="27"/>
      <c r="O118" s="6"/>
    </row>
    <row r="119" spans="1:15" ht="15.75">
      <c r="A119" s="26"/>
      <c r="B119" s="27" t="s">
        <v>58</v>
      </c>
      <c r="C119" s="27"/>
      <c r="D119" s="27"/>
      <c r="E119" s="27"/>
      <c r="F119" s="27"/>
      <c r="G119" s="27"/>
      <c r="H119" s="27"/>
      <c r="I119" s="27"/>
      <c r="J119" s="27"/>
      <c r="K119" s="27"/>
      <c r="L119" s="27"/>
      <c r="M119" s="59">
        <v>0</v>
      </c>
      <c r="N119" s="27"/>
      <c r="O119" s="6"/>
    </row>
    <row r="120" spans="1:15" ht="15.75">
      <c r="A120" s="26"/>
      <c r="B120" s="27" t="s">
        <v>59</v>
      </c>
      <c r="C120" s="27"/>
      <c r="D120" s="27"/>
      <c r="E120" s="27"/>
      <c r="F120" s="27"/>
      <c r="G120" s="27"/>
      <c r="H120" s="27"/>
      <c r="I120" s="27"/>
      <c r="J120" s="27"/>
      <c r="K120" s="27"/>
      <c r="L120" s="27"/>
      <c r="M120" s="59">
        <v>0</v>
      </c>
      <c r="N120" s="27"/>
      <c r="O120" s="6"/>
    </row>
    <row r="121" spans="1:15" ht="15.75">
      <c r="A121" s="26"/>
      <c r="B121" s="27" t="s">
        <v>81</v>
      </c>
      <c r="C121" s="27"/>
      <c r="D121" s="27"/>
      <c r="E121" s="27"/>
      <c r="F121" s="27"/>
      <c r="G121" s="27"/>
      <c r="H121" s="27"/>
      <c r="I121" s="27"/>
      <c r="J121" s="27"/>
      <c r="K121" s="27"/>
      <c r="L121" s="27"/>
      <c r="M121" s="59">
        <v>0</v>
      </c>
      <c r="N121" s="27"/>
      <c r="O121" s="6"/>
    </row>
    <row r="122" spans="1:15" ht="15.75">
      <c r="A122" s="26"/>
      <c r="B122" s="27" t="s">
        <v>82</v>
      </c>
      <c r="C122" s="27"/>
      <c r="D122" s="27"/>
      <c r="E122" s="27"/>
      <c r="F122" s="27"/>
      <c r="G122" s="27"/>
      <c r="H122" s="27"/>
      <c r="I122" s="27"/>
      <c r="J122" s="27"/>
      <c r="K122" s="27"/>
      <c r="L122" s="27"/>
      <c r="M122" s="59">
        <f>SUM(M115:M121)</f>
        <v>4000</v>
      </c>
      <c r="N122" s="27"/>
      <c r="O122" s="6"/>
    </row>
    <row r="123" spans="1:15" ht="15.75">
      <c r="A123" s="26"/>
      <c r="B123" s="27"/>
      <c r="C123" s="27"/>
      <c r="D123" s="27"/>
      <c r="E123" s="27"/>
      <c r="F123" s="27"/>
      <c r="G123" s="27"/>
      <c r="H123" s="27"/>
      <c r="I123" s="27"/>
      <c r="J123" s="27"/>
      <c r="K123" s="27"/>
      <c r="L123" s="27"/>
      <c r="M123" s="68"/>
      <c r="N123" s="27"/>
      <c r="O123" s="6"/>
    </row>
    <row r="124" spans="1:15" ht="15.75">
      <c r="A124" s="7"/>
      <c r="B124" s="139" t="s">
        <v>43</v>
      </c>
      <c r="C124" s="9"/>
      <c r="D124" s="9"/>
      <c r="E124" s="9"/>
      <c r="F124" s="9"/>
      <c r="G124" s="9"/>
      <c r="H124" s="9"/>
      <c r="I124" s="9"/>
      <c r="J124" s="9"/>
      <c r="K124" s="9"/>
      <c r="L124" s="9"/>
      <c r="M124" s="58"/>
      <c r="N124" s="9"/>
      <c r="O124" s="6"/>
    </row>
    <row r="125" spans="1:15" ht="15.75">
      <c r="A125" s="26"/>
      <c r="B125" s="27" t="s">
        <v>83</v>
      </c>
      <c r="C125" s="27"/>
      <c r="D125" s="27"/>
      <c r="E125" s="69"/>
      <c r="F125" s="27"/>
      <c r="G125" s="27"/>
      <c r="H125" s="27"/>
      <c r="I125" s="27"/>
      <c r="J125" s="27"/>
      <c r="K125" s="27"/>
      <c r="L125" s="27"/>
      <c r="M125" s="70" t="s">
        <v>185</v>
      </c>
      <c r="N125" s="27"/>
      <c r="O125" s="6"/>
    </row>
    <row r="126" spans="1:15" ht="15.75">
      <c r="A126" s="26"/>
      <c r="B126" s="27" t="s">
        <v>84</v>
      </c>
      <c r="C126" s="144"/>
      <c r="D126" s="144"/>
      <c r="E126" s="144"/>
      <c r="F126" s="144"/>
      <c r="G126" s="144"/>
      <c r="H126" s="144"/>
      <c r="I126" s="144"/>
      <c r="J126" s="144"/>
      <c r="K126" s="144"/>
      <c r="L126" s="144"/>
      <c r="M126" s="70" t="s">
        <v>185</v>
      </c>
      <c r="N126" s="27"/>
      <c r="O126" s="6"/>
    </row>
    <row r="127" spans="1:15" ht="15.75">
      <c r="A127" s="26"/>
      <c r="B127" s="27" t="s">
        <v>85</v>
      </c>
      <c r="C127" s="27"/>
      <c r="D127" s="27"/>
      <c r="E127" s="27"/>
      <c r="F127" s="27"/>
      <c r="G127" s="27"/>
      <c r="H127" s="27"/>
      <c r="I127" s="27"/>
      <c r="J127" s="27"/>
      <c r="K127" s="27"/>
      <c r="L127" s="27"/>
      <c r="M127" s="70" t="s">
        <v>185</v>
      </c>
      <c r="N127" s="27"/>
      <c r="O127" s="6"/>
    </row>
    <row r="128" spans="1:15" ht="15.75">
      <c r="A128" s="26"/>
      <c r="B128" s="27" t="s">
        <v>86</v>
      </c>
      <c r="C128" s="27"/>
      <c r="D128" s="27"/>
      <c r="E128" s="27"/>
      <c r="F128" s="27"/>
      <c r="G128" s="27"/>
      <c r="H128" s="27"/>
      <c r="I128" s="27"/>
      <c r="J128" s="27"/>
      <c r="K128" s="27"/>
      <c r="L128" s="27"/>
      <c r="M128" s="70" t="s">
        <v>185</v>
      </c>
      <c r="N128" s="27"/>
      <c r="O128" s="6"/>
    </row>
    <row r="129" spans="1:15" ht="15.75">
      <c r="A129" s="26"/>
      <c r="B129" s="27"/>
      <c r="C129" s="27"/>
      <c r="D129" s="27"/>
      <c r="E129" s="27"/>
      <c r="F129" s="27"/>
      <c r="G129" s="27"/>
      <c r="H129" s="27"/>
      <c r="I129" s="27"/>
      <c r="J129" s="27"/>
      <c r="K129" s="27"/>
      <c r="L129" s="27"/>
      <c r="M129" s="68"/>
      <c r="N129" s="27"/>
      <c r="O129" s="6"/>
    </row>
    <row r="130" spans="1:15" ht="15.75">
      <c r="A130" s="7"/>
      <c r="B130" s="139" t="s">
        <v>87</v>
      </c>
      <c r="C130" s="15"/>
      <c r="D130" s="15"/>
      <c r="E130" s="9"/>
      <c r="F130" s="9"/>
      <c r="G130" s="9"/>
      <c r="H130" s="9"/>
      <c r="I130" s="9"/>
      <c r="J130" s="9"/>
      <c r="K130" s="9"/>
      <c r="L130" s="9"/>
      <c r="M130" s="71"/>
      <c r="N130" s="9"/>
      <c r="O130" s="6"/>
    </row>
    <row r="131" spans="1:15" ht="15.75">
      <c r="A131" s="26"/>
      <c r="B131" s="27" t="s">
        <v>88</v>
      </c>
      <c r="C131" s="27"/>
      <c r="D131" s="27"/>
      <c r="E131" s="27"/>
      <c r="F131" s="27"/>
      <c r="G131" s="27"/>
      <c r="H131" s="27"/>
      <c r="I131" s="27"/>
      <c r="J131" s="27"/>
      <c r="K131" s="27"/>
      <c r="L131" s="27"/>
      <c r="M131" s="59">
        <v>0</v>
      </c>
      <c r="N131" s="27"/>
      <c r="O131" s="6"/>
    </row>
    <row r="132" spans="1:15" ht="15.75">
      <c r="A132" s="26"/>
      <c r="B132" s="27" t="s">
        <v>89</v>
      </c>
      <c r="C132" s="27"/>
      <c r="D132" s="27"/>
      <c r="E132" s="27"/>
      <c r="F132" s="27"/>
      <c r="G132" s="27"/>
      <c r="H132" s="27"/>
      <c r="I132" s="27"/>
      <c r="J132" s="27"/>
      <c r="K132" s="27"/>
      <c r="L132" s="27"/>
      <c r="M132" s="59">
        <v>0</v>
      </c>
      <c r="N132" s="27"/>
      <c r="O132" s="6"/>
    </row>
    <row r="133" spans="1:15" ht="15.75">
      <c r="A133" s="26"/>
      <c r="B133" s="27" t="s">
        <v>90</v>
      </c>
      <c r="C133" s="27"/>
      <c r="D133" s="27"/>
      <c r="E133" s="27"/>
      <c r="F133" s="27"/>
      <c r="G133" s="27"/>
      <c r="H133" s="27"/>
      <c r="I133" s="27"/>
      <c r="J133" s="27"/>
      <c r="K133" s="27"/>
      <c r="L133" s="27"/>
      <c r="M133" s="59">
        <f>M132+M131</f>
        <v>0</v>
      </c>
      <c r="N133" s="27"/>
      <c r="O133" s="6"/>
    </row>
    <row r="134" spans="1:15" ht="15.75">
      <c r="A134" s="26"/>
      <c r="B134" s="27" t="s">
        <v>91</v>
      </c>
      <c r="C134" s="27"/>
      <c r="D134" s="27"/>
      <c r="E134" s="27"/>
      <c r="F134" s="27"/>
      <c r="G134" s="27"/>
      <c r="H134" s="27"/>
      <c r="I134" s="72"/>
      <c r="J134" s="27"/>
      <c r="K134" s="27"/>
      <c r="L134" s="27"/>
      <c r="M134" s="59">
        <f>M95</f>
        <v>0</v>
      </c>
      <c r="N134" s="27"/>
      <c r="O134" s="6"/>
    </row>
    <row r="135" spans="1:15" ht="15.75">
      <c r="A135" s="26"/>
      <c r="B135" s="27" t="s">
        <v>92</v>
      </c>
      <c r="C135" s="27"/>
      <c r="D135" s="27"/>
      <c r="E135" s="27"/>
      <c r="F135" s="27"/>
      <c r="G135" s="27"/>
      <c r="H135" s="27"/>
      <c r="I135" s="27"/>
      <c r="J135" s="27"/>
      <c r="K135" s="27"/>
      <c r="L135" s="27"/>
      <c r="M135" s="59">
        <f>M133+M134</f>
        <v>0</v>
      </c>
      <c r="N135" s="27"/>
      <c r="O135" s="6"/>
    </row>
    <row r="136" spans="1:15" ht="15.75">
      <c r="A136" s="26"/>
      <c r="B136" s="27"/>
      <c r="C136" s="27"/>
      <c r="D136" s="27"/>
      <c r="E136" s="27"/>
      <c r="F136" s="27"/>
      <c r="G136" s="27"/>
      <c r="H136" s="27"/>
      <c r="I136" s="27"/>
      <c r="J136" s="27"/>
      <c r="K136" s="27"/>
      <c r="L136" s="27"/>
      <c r="M136" s="68"/>
      <c r="N136" s="27"/>
      <c r="O136" s="6"/>
    </row>
    <row r="137" spans="1:15" ht="15.75">
      <c r="A137" s="2"/>
      <c r="B137" s="5"/>
      <c r="C137" s="5"/>
      <c r="D137" s="5"/>
      <c r="E137" s="5"/>
      <c r="F137" s="5"/>
      <c r="G137" s="5"/>
      <c r="H137" s="5"/>
      <c r="I137" s="5"/>
      <c r="J137" s="5"/>
      <c r="K137" s="5"/>
      <c r="L137" s="5"/>
      <c r="M137" s="56"/>
      <c r="N137" s="5"/>
      <c r="O137" s="6"/>
    </row>
    <row r="138" spans="1:15" ht="15.75">
      <c r="A138" s="7"/>
      <c r="B138" s="139" t="s">
        <v>93</v>
      </c>
      <c r="C138" s="15"/>
      <c r="D138" s="15"/>
      <c r="E138" s="9"/>
      <c r="F138" s="9"/>
      <c r="G138" s="9"/>
      <c r="H138" s="9"/>
      <c r="I138" s="9"/>
      <c r="J138" s="9"/>
      <c r="K138" s="9"/>
      <c r="L138" s="9"/>
      <c r="M138" s="58"/>
      <c r="N138" s="9"/>
      <c r="O138" s="6"/>
    </row>
    <row r="139" spans="1:15" ht="15.75">
      <c r="A139" s="7"/>
      <c r="B139" s="23"/>
      <c r="C139" s="15"/>
      <c r="D139" s="15"/>
      <c r="E139" s="9"/>
      <c r="F139" s="9"/>
      <c r="G139" s="9"/>
      <c r="H139" s="9"/>
      <c r="I139" s="9"/>
      <c r="J139" s="9"/>
      <c r="K139" s="9"/>
      <c r="L139" s="9"/>
      <c r="M139" s="58"/>
      <c r="N139" s="9"/>
      <c r="O139" s="6"/>
    </row>
    <row r="140" spans="1:15" ht="15.75">
      <c r="A140" s="26"/>
      <c r="B140" s="27" t="s">
        <v>94</v>
      </c>
      <c r="C140" s="73"/>
      <c r="D140" s="73"/>
      <c r="E140" s="27"/>
      <c r="F140" s="27"/>
      <c r="G140" s="27"/>
      <c r="H140" s="27"/>
      <c r="I140" s="27"/>
      <c r="J140" s="27"/>
      <c r="K140" s="27"/>
      <c r="L140" s="27"/>
      <c r="M140" s="59">
        <f>M60</f>
        <v>194558</v>
      </c>
      <c r="N140" s="27"/>
      <c r="O140" s="6"/>
    </row>
    <row r="141" spans="1:15" ht="15.75">
      <c r="A141" s="26"/>
      <c r="B141" s="27" t="s">
        <v>95</v>
      </c>
      <c r="C141" s="73"/>
      <c r="D141" s="73"/>
      <c r="E141" s="27"/>
      <c r="F141" s="27"/>
      <c r="G141" s="27"/>
      <c r="H141" s="27"/>
      <c r="I141" s="27"/>
      <c r="J141" s="27"/>
      <c r="K141" s="27"/>
      <c r="L141" s="27"/>
      <c r="M141" s="59">
        <f>M72</f>
        <v>194558</v>
      </c>
      <c r="N141" s="27"/>
      <c r="O141" s="6"/>
    </row>
    <row r="142" spans="1:15" ht="15.75">
      <c r="A142" s="26"/>
      <c r="B142" s="27"/>
      <c r="C142" s="27"/>
      <c r="D142" s="27"/>
      <c r="E142" s="27"/>
      <c r="F142" s="27"/>
      <c r="G142" s="27"/>
      <c r="H142" s="27"/>
      <c r="I142" s="27"/>
      <c r="J142" s="27"/>
      <c r="K142" s="27"/>
      <c r="L142" s="27"/>
      <c r="M142" s="68"/>
      <c r="N142" s="27"/>
      <c r="O142" s="6"/>
    </row>
    <row r="143" spans="1:15" ht="15.75">
      <c r="A143" s="2"/>
      <c r="B143" s="5"/>
      <c r="C143" s="5"/>
      <c r="D143" s="5"/>
      <c r="E143" s="5"/>
      <c r="F143" s="5"/>
      <c r="G143" s="5"/>
      <c r="H143" s="5"/>
      <c r="I143" s="5"/>
      <c r="J143" s="5"/>
      <c r="K143" s="5"/>
      <c r="L143" s="5"/>
      <c r="M143" s="56"/>
      <c r="N143" s="5"/>
      <c r="O143" s="6"/>
    </row>
    <row r="144" spans="1:15" ht="15.75">
      <c r="A144" s="7"/>
      <c r="B144" s="139" t="s">
        <v>96</v>
      </c>
      <c r="C144" s="129"/>
      <c r="D144" s="129"/>
      <c r="E144" s="137"/>
      <c r="F144" s="137"/>
      <c r="G144" s="137"/>
      <c r="H144" s="137"/>
      <c r="I144" s="140" t="s">
        <v>172</v>
      </c>
      <c r="J144" s="140"/>
      <c r="K144" s="140" t="s">
        <v>181</v>
      </c>
      <c r="L144" s="129"/>
      <c r="M144" s="141" t="s">
        <v>195</v>
      </c>
      <c r="N144" s="11"/>
      <c r="O144" s="6"/>
    </row>
    <row r="145" spans="1:15" ht="15.75">
      <c r="A145" s="26"/>
      <c r="B145" s="27" t="s">
        <v>97</v>
      </c>
      <c r="C145" s="27"/>
      <c r="D145" s="27"/>
      <c r="E145" s="27"/>
      <c r="F145" s="27"/>
      <c r="G145" s="27"/>
      <c r="H145" s="27"/>
      <c r="I145" s="59">
        <v>41000</v>
      </c>
      <c r="J145" s="27"/>
      <c r="K145" s="46"/>
      <c r="L145" s="27"/>
      <c r="M145" s="59"/>
      <c r="N145" s="27"/>
      <c r="O145" s="6"/>
    </row>
    <row r="146" spans="1:15" ht="15.75">
      <c r="A146" s="26"/>
      <c r="B146" s="27" t="s">
        <v>98</v>
      </c>
      <c r="C146" s="27"/>
      <c r="D146" s="27"/>
      <c r="E146" s="27"/>
      <c r="F146" s="27"/>
      <c r="G146" s="27"/>
      <c r="H146" s="27"/>
      <c r="I146" s="59">
        <f>'Aug 05'!I145</f>
        <v>26700</v>
      </c>
      <c r="J146" s="27"/>
      <c r="K146" s="59">
        <f>'Aug 05'!K145</f>
        <v>516</v>
      </c>
      <c r="L146" s="27"/>
      <c r="M146" s="59">
        <f>K146+I146</f>
        <v>27216</v>
      </c>
      <c r="N146" s="27"/>
      <c r="O146" s="6"/>
    </row>
    <row r="147" spans="1:15" ht="15.75">
      <c r="A147" s="26"/>
      <c r="B147" s="27" t="s">
        <v>99</v>
      </c>
      <c r="C147" s="27"/>
      <c r="D147" s="27"/>
      <c r="E147" s="27"/>
      <c r="F147" s="27"/>
      <c r="G147" s="27"/>
      <c r="H147" s="27"/>
      <c r="I147" s="38">
        <f>11+2065</f>
        <v>2076</v>
      </c>
      <c r="J147" s="27"/>
      <c r="K147" s="27">
        <v>0</v>
      </c>
      <c r="L147" s="27"/>
      <c r="M147" s="59">
        <f>K147+I147</f>
        <v>2076</v>
      </c>
      <c r="N147" s="27"/>
      <c r="O147" s="6"/>
    </row>
    <row r="148" spans="1:15" ht="15.75">
      <c r="A148" s="26"/>
      <c r="B148" s="27" t="s">
        <v>100</v>
      </c>
      <c r="C148" s="27"/>
      <c r="D148" s="27"/>
      <c r="E148" s="27"/>
      <c r="F148" s="27"/>
      <c r="G148" s="27"/>
      <c r="H148" s="27"/>
      <c r="I148" s="59">
        <f>I146+I147</f>
        <v>28776</v>
      </c>
      <c r="J148" s="27"/>
      <c r="K148" s="59">
        <f>K147+K146</f>
        <v>516</v>
      </c>
      <c r="L148" s="27"/>
      <c r="M148" s="59">
        <f>K148+I148</f>
        <v>29292</v>
      </c>
      <c r="N148" s="27"/>
      <c r="O148" s="6"/>
    </row>
    <row r="149" spans="1:15" ht="15.75">
      <c r="A149" s="26"/>
      <c r="B149" s="27" t="s">
        <v>101</v>
      </c>
      <c r="C149" s="27"/>
      <c r="D149" s="27"/>
      <c r="E149" s="27"/>
      <c r="F149" s="27"/>
      <c r="G149" s="27"/>
      <c r="H149" s="27"/>
      <c r="I149" s="59">
        <f>I145-I148-K148</f>
        <v>11708</v>
      </c>
      <c r="J149" s="27"/>
      <c r="K149" s="46">
        <v>0</v>
      </c>
      <c r="L149" s="27"/>
      <c r="M149" s="59"/>
      <c r="N149" s="27"/>
      <c r="O149" s="6"/>
    </row>
    <row r="150" spans="1:15" ht="15.75">
      <c r="A150" s="26"/>
      <c r="B150" s="27"/>
      <c r="C150" s="27"/>
      <c r="D150" s="27"/>
      <c r="E150" s="27"/>
      <c r="F150" s="27"/>
      <c r="G150" s="27"/>
      <c r="H150" s="27"/>
      <c r="I150" s="27"/>
      <c r="J150" s="27"/>
      <c r="K150" s="27"/>
      <c r="L150" s="27"/>
      <c r="M150" s="68"/>
      <c r="N150" s="27"/>
      <c r="O150" s="6"/>
    </row>
    <row r="151" spans="1:15" ht="15.75">
      <c r="A151" s="2"/>
      <c r="B151" s="5"/>
      <c r="C151" s="5"/>
      <c r="D151" s="5"/>
      <c r="E151" s="5"/>
      <c r="F151" s="5"/>
      <c r="G151" s="5"/>
      <c r="H151" s="5"/>
      <c r="I151" s="5"/>
      <c r="J151" s="5"/>
      <c r="K151" s="5"/>
      <c r="L151" s="5"/>
      <c r="M151" s="56"/>
      <c r="N151" s="5"/>
      <c r="O151" s="6"/>
    </row>
    <row r="152" spans="1:15" ht="15.75">
      <c r="A152" s="7"/>
      <c r="B152" s="139" t="s">
        <v>102</v>
      </c>
      <c r="C152" s="15"/>
      <c r="D152" s="15"/>
      <c r="E152" s="9"/>
      <c r="F152" s="9"/>
      <c r="G152" s="9"/>
      <c r="H152" s="9"/>
      <c r="I152" s="9"/>
      <c r="J152" s="9"/>
      <c r="K152" s="9"/>
      <c r="L152" s="9"/>
      <c r="M152" s="74"/>
      <c r="N152" s="9"/>
      <c r="O152" s="6"/>
    </row>
    <row r="153" spans="1:15" ht="15.75">
      <c r="A153" s="26"/>
      <c r="B153" s="27" t="s">
        <v>103</v>
      </c>
      <c r="C153" s="27"/>
      <c r="D153" s="27"/>
      <c r="E153" s="27"/>
      <c r="F153" s="27"/>
      <c r="G153" s="27"/>
      <c r="H153" s="27"/>
      <c r="I153" s="27"/>
      <c r="J153" s="27"/>
      <c r="K153" s="27"/>
      <c r="L153" s="27"/>
      <c r="M153" s="65">
        <f>(M85+M87+M88+M89+M90)/-M91</f>
        <v>1.4071490845684393</v>
      </c>
      <c r="N153" s="27" t="s">
        <v>196</v>
      </c>
      <c r="O153" s="6"/>
    </row>
    <row r="154" spans="1:15" ht="15.75">
      <c r="A154" s="26"/>
      <c r="B154" s="27" t="s">
        <v>104</v>
      </c>
      <c r="C154" s="27"/>
      <c r="D154" s="27"/>
      <c r="E154" s="27"/>
      <c r="F154" s="27"/>
      <c r="G154" s="27"/>
      <c r="H154" s="27"/>
      <c r="I154" s="27"/>
      <c r="J154" s="27"/>
      <c r="K154" s="27"/>
      <c r="L154" s="27"/>
      <c r="M154" s="75">
        <v>1.37</v>
      </c>
      <c r="N154" s="27" t="s">
        <v>196</v>
      </c>
      <c r="O154" s="6"/>
    </row>
    <row r="155" spans="1:15" ht="15.75">
      <c r="A155" s="26"/>
      <c r="B155" s="27" t="s">
        <v>105</v>
      </c>
      <c r="C155" s="27"/>
      <c r="D155" s="27"/>
      <c r="E155" s="27"/>
      <c r="F155" s="27"/>
      <c r="G155" s="27"/>
      <c r="H155" s="27"/>
      <c r="I155" s="27"/>
      <c r="J155" s="27"/>
      <c r="K155" s="27"/>
      <c r="L155" s="27"/>
      <c r="M155" s="65">
        <f>(M85+M87+M88+M89+M90+M91)/-M92</f>
        <v>2.653409090909091</v>
      </c>
      <c r="N155" s="27" t="s">
        <v>196</v>
      </c>
      <c r="O155" s="6"/>
    </row>
    <row r="156" spans="1:15" ht="15.75">
      <c r="A156" s="26"/>
      <c r="B156" s="27" t="s">
        <v>106</v>
      </c>
      <c r="C156" s="27"/>
      <c r="D156" s="27"/>
      <c r="E156" s="27"/>
      <c r="F156" s="27"/>
      <c r="G156" s="27"/>
      <c r="H156" s="27"/>
      <c r="I156" s="27"/>
      <c r="J156" s="27"/>
      <c r="K156" s="27"/>
      <c r="L156" s="27"/>
      <c r="M156" s="76">
        <v>2.65</v>
      </c>
      <c r="N156" s="27" t="s">
        <v>196</v>
      </c>
      <c r="O156" s="6"/>
    </row>
    <row r="157" spans="1:15" ht="15.75">
      <c r="A157" s="26"/>
      <c r="B157" s="27"/>
      <c r="C157" s="27"/>
      <c r="D157" s="27"/>
      <c r="E157" s="27"/>
      <c r="F157" s="27"/>
      <c r="G157" s="27"/>
      <c r="H157" s="27"/>
      <c r="I157" s="27"/>
      <c r="J157" s="27"/>
      <c r="K157" s="27"/>
      <c r="L157" s="27"/>
      <c r="M157" s="27"/>
      <c r="N157" s="27"/>
      <c r="O157" s="6"/>
    </row>
    <row r="158" spans="1:15" ht="15.75">
      <c r="A158" s="26"/>
      <c r="B158" s="27"/>
      <c r="C158" s="27"/>
      <c r="D158" s="27"/>
      <c r="E158" s="27"/>
      <c r="F158" s="27"/>
      <c r="G158" s="27"/>
      <c r="H158" s="27"/>
      <c r="I158" s="27"/>
      <c r="J158" s="27"/>
      <c r="K158" s="27"/>
      <c r="L158" s="27"/>
      <c r="M158" s="27"/>
      <c r="N158" s="27"/>
      <c r="O158" s="6"/>
    </row>
    <row r="159" spans="1:15" ht="15.75">
      <c r="A159" s="7"/>
      <c r="B159" s="9"/>
      <c r="C159" s="9"/>
      <c r="D159" s="9"/>
      <c r="E159" s="9"/>
      <c r="F159" s="9"/>
      <c r="G159" s="9"/>
      <c r="H159" s="9"/>
      <c r="I159" s="9"/>
      <c r="J159" s="9"/>
      <c r="K159" s="9"/>
      <c r="L159" s="9"/>
      <c r="M159" s="9"/>
      <c r="N159" s="9"/>
      <c r="O159" s="6"/>
    </row>
    <row r="160" spans="1:15" ht="19.5" thickBot="1">
      <c r="A160" s="117"/>
      <c r="B160" s="118" t="str">
        <f>B110</f>
        <v>PM5 INVESTOR REPORT QUARTER ENDING NOVEMBER 2005</v>
      </c>
      <c r="C160" s="146"/>
      <c r="D160" s="146"/>
      <c r="E160" s="146"/>
      <c r="F160" s="146"/>
      <c r="G160" s="146"/>
      <c r="H160" s="146"/>
      <c r="I160" s="146"/>
      <c r="J160" s="146"/>
      <c r="K160" s="146"/>
      <c r="L160" s="146"/>
      <c r="M160" s="146"/>
      <c r="N160" s="147"/>
      <c r="O160" s="6"/>
    </row>
    <row r="161" spans="1:15" ht="15.75">
      <c r="A161" s="77"/>
      <c r="B161" s="66" t="s">
        <v>107</v>
      </c>
      <c r="C161" s="78"/>
      <c r="D161" s="78"/>
      <c r="E161" s="78"/>
      <c r="F161" s="78"/>
      <c r="G161" s="78"/>
      <c r="H161" s="79"/>
      <c r="I161" s="79"/>
      <c r="J161" s="79"/>
      <c r="K161" s="80">
        <v>38686</v>
      </c>
      <c r="L161" s="5"/>
      <c r="M161" s="5"/>
      <c r="N161" s="5"/>
      <c r="O161" s="6"/>
    </row>
    <row r="162" spans="1:15" ht="15.75">
      <c r="A162" s="81"/>
      <c r="B162" s="82"/>
      <c r="C162" s="83"/>
      <c r="D162" s="83"/>
      <c r="E162" s="83"/>
      <c r="F162" s="83"/>
      <c r="G162" s="83"/>
      <c r="H162" s="84"/>
      <c r="I162" s="84"/>
      <c r="J162" s="84"/>
      <c r="K162" s="84"/>
      <c r="L162" s="9"/>
      <c r="M162" s="9"/>
      <c r="N162" s="9"/>
      <c r="O162" s="6"/>
    </row>
    <row r="163" spans="1:15" ht="15.75">
      <c r="A163" s="85"/>
      <c r="B163" s="86" t="s">
        <v>108</v>
      </c>
      <c r="C163" s="87"/>
      <c r="D163" s="87"/>
      <c r="E163" s="87"/>
      <c r="F163" s="87"/>
      <c r="G163" s="87"/>
      <c r="H163" s="72"/>
      <c r="I163" s="72"/>
      <c r="J163" s="72"/>
      <c r="K163" s="88">
        <v>0.0533</v>
      </c>
      <c r="L163" s="27"/>
      <c r="M163" s="27"/>
      <c r="N163" s="27"/>
      <c r="O163" s="6"/>
    </row>
    <row r="164" spans="1:15" ht="15.75">
      <c r="A164" s="85"/>
      <c r="B164" s="86" t="s">
        <v>109</v>
      </c>
      <c r="C164" s="87"/>
      <c r="D164" s="87"/>
      <c r="E164" s="87"/>
      <c r="F164" s="87"/>
      <c r="G164" s="87"/>
      <c r="H164" s="72"/>
      <c r="I164" s="72"/>
      <c r="J164" s="72"/>
      <c r="K164" s="45">
        <v>0.04050510000000001</v>
      </c>
      <c r="L164" s="27"/>
      <c r="M164" s="27"/>
      <c r="N164" s="27"/>
      <c r="O164" s="6"/>
    </row>
    <row r="165" spans="1:15" ht="15.75">
      <c r="A165" s="85"/>
      <c r="B165" s="86" t="s">
        <v>110</v>
      </c>
      <c r="C165" s="87"/>
      <c r="D165" s="87"/>
      <c r="E165" s="87"/>
      <c r="F165" s="87"/>
      <c r="G165" s="87"/>
      <c r="H165" s="72"/>
      <c r="I165" s="72"/>
      <c r="J165" s="72"/>
      <c r="K165" s="88">
        <f>K163-K164</f>
        <v>0.012794899999999991</v>
      </c>
      <c r="L165" s="27"/>
      <c r="M165" s="27"/>
      <c r="N165" s="27"/>
      <c r="O165" s="6"/>
    </row>
    <row r="166" spans="1:15" ht="15.75">
      <c r="A166" s="85"/>
      <c r="B166" s="86" t="s">
        <v>111</v>
      </c>
      <c r="C166" s="87"/>
      <c r="D166" s="87"/>
      <c r="E166" s="87"/>
      <c r="F166" s="87"/>
      <c r="G166" s="87"/>
      <c r="H166" s="72"/>
      <c r="I166" s="72"/>
      <c r="J166" s="72"/>
      <c r="K166" s="88">
        <v>0.06054</v>
      </c>
      <c r="L166" s="27"/>
      <c r="M166" s="27"/>
      <c r="N166" s="27"/>
      <c r="O166" s="6"/>
    </row>
    <row r="167" spans="1:15" ht="15.75">
      <c r="A167" s="85"/>
      <c r="B167" s="86" t="s">
        <v>112</v>
      </c>
      <c r="C167" s="87"/>
      <c r="D167" s="87"/>
      <c r="E167" s="87"/>
      <c r="F167" s="87"/>
      <c r="G167" s="87"/>
      <c r="H167" s="72"/>
      <c r="I167" s="72"/>
      <c r="J167" s="72"/>
      <c r="K167" s="88">
        <f>+M34</f>
        <v>0.05020363933745238</v>
      </c>
      <c r="L167" s="27"/>
      <c r="M167" s="27"/>
      <c r="N167" s="27"/>
      <c r="O167" s="6"/>
    </row>
    <row r="168" spans="1:15" ht="15.75">
      <c r="A168" s="85"/>
      <c r="B168" s="86" t="s">
        <v>113</v>
      </c>
      <c r="C168" s="87"/>
      <c r="D168" s="87"/>
      <c r="E168" s="87"/>
      <c r="F168" s="87"/>
      <c r="G168" s="87"/>
      <c r="H168" s="72"/>
      <c r="I168" s="72"/>
      <c r="J168" s="72"/>
      <c r="K168" s="88">
        <f>K166-K167</f>
        <v>0.010336360662547617</v>
      </c>
      <c r="L168" s="27"/>
      <c r="M168" s="27"/>
      <c r="N168" s="27"/>
      <c r="O168" s="6"/>
    </row>
    <row r="169" spans="1:15" ht="15.75">
      <c r="A169" s="85"/>
      <c r="B169" s="86" t="s">
        <v>114</v>
      </c>
      <c r="C169" s="87"/>
      <c r="D169" s="87"/>
      <c r="E169" s="87"/>
      <c r="F169" s="87"/>
      <c r="G169" s="87"/>
      <c r="H169" s="72"/>
      <c r="I169" s="72"/>
      <c r="J169" s="72"/>
      <c r="K169" s="89" t="s">
        <v>182</v>
      </c>
      <c r="L169" s="27"/>
      <c r="M169" s="27"/>
      <c r="N169" s="27"/>
      <c r="O169" s="6"/>
    </row>
    <row r="170" spans="1:15" ht="15.75">
      <c r="A170" s="85"/>
      <c r="B170" s="86" t="s">
        <v>115</v>
      </c>
      <c r="C170" s="87"/>
      <c r="D170" s="87"/>
      <c r="E170" s="87"/>
      <c r="F170" s="87"/>
      <c r="G170" s="87"/>
      <c r="H170" s="72"/>
      <c r="I170" s="72"/>
      <c r="J170" s="72"/>
      <c r="K170" s="89" t="s">
        <v>183</v>
      </c>
      <c r="L170" s="27"/>
      <c r="M170" s="27"/>
      <c r="N170" s="27"/>
      <c r="O170" s="6"/>
    </row>
    <row r="171" spans="1:15" ht="15.75">
      <c r="A171" s="85"/>
      <c r="B171" s="86" t="s">
        <v>116</v>
      </c>
      <c r="C171" s="87"/>
      <c r="D171" s="87"/>
      <c r="E171" s="87"/>
      <c r="F171" s="87"/>
      <c r="G171" s="87"/>
      <c r="H171" s="72"/>
      <c r="I171" s="72"/>
      <c r="J171" s="72"/>
      <c r="K171" s="152">
        <v>21.58</v>
      </c>
      <c r="L171" s="27" t="s">
        <v>188</v>
      </c>
      <c r="M171" s="27"/>
      <c r="N171" s="27"/>
      <c r="O171" s="6"/>
    </row>
    <row r="172" spans="1:15" ht="15.75">
      <c r="A172" s="85"/>
      <c r="B172" s="86" t="s">
        <v>117</v>
      </c>
      <c r="C172" s="87"/>
      <c r="D172" s="87"/>
      <c r="E172" s="87"/>
      <c r="F172" s="87"/>
      <c r="G172" s="87"/>
      <c r="H172" s="72"/>
      <c r="I172" s="72"/>
      <c r="J172" s="72"/>
      <c r="K172" s="152">
        <v>19.23</v>
      </c>
      <c r="L172" s="27" t="s">
        <v>188</v>
      </c>
      <c r="M172" s="27"/>
      <c r="N172" s="27"/>
      <c r="O172" s="6"/>
    </row>
    <row r="173" spans="1:15" ht="15.75">
      <c r="A173" s="85"/>
      <c r="B173" s="86" t="s">
        <v>118</v>
      </c>
      <c r="C173" s="87"/>
      <c r="D173" s="87"/>
      <c r="E173" s="87"/>
      <c r="F173" s="87"/>
      <c r="G173" s="87"/>
      <c r="H173" s="72"/>
      <c r="I173" s="72"/>
      <c r="J173" s="72"/>
      <c r="K173" s="88">
        <f>+G57/'Aug 05'!M57</f>
        <v>0.08931680545041636</v>
      </c>
      <c r="L173" s="27"/>
      <c r="M173" s="27"/>
      <c r="N173" s="27"/>
      <c r="O173" s="6"/>
    </row>
    <row r="174" spans="1:15" ht="15.75">
      <c r="A174" s="85"/>
      <c r="B174" s="86" t="s">
        <v>119</v>
      </c>
      <c r="C174" s="87"/>
      <c r="D174" s="87"/>
      <c r="E174" s="87"/>
      <c r="F174" s="87"/>
      <c r="G174" s="87"/>
      <c r="H174" s="72"/>
      <c r="I174" s="72"/>
      <c r="J174" s="72"/>
      <c r="K174" s="88">
        <v>0.141</v>
      </c>
      <c r="L174" s="27"/>
      <c r="M174" s="27"/>
      <c r="N174" s="27"/>
      <c r="O174" s="6"/>
    </row>
    <row r="175" spans="1:15" ht="15.75">
      <c r="A175" s="85"/>
      <c r="B175" s="86"/>
      <c r="C175" s="86"/>
      <c r="D175" s="86"/>
      <c r="E175" s="86"/>
      <c r="F175" s="86"/>
      <c r="G175" s="86"/>
      <c r="H175" s="27"/>
      <c r="I175" s="27"/>
      <c r="J175" s="27"/>
      <c r="K175" s="68"/>
      <c r="L175" s="27"/>
      <c r="M175" s="91"/>
      <c r="N175" s="27"/>
      <c r="O175" s="6"/>
    </row>
    <row r="176" spans="1:15" ht="15.75">
      <c r="A176" s="92"/>
      <c r="B176" s="16" t="s">
        <v>120</v>
      </c>
      <c r="C176" s="93"/>
      <c r="D176" s="93"/>
      <c r="E176" s="94"/>
      <c r="F176" s="93"/>
      <c r="G176" s="94"/>
      <c r="H176" s="93"/>
      <c r="I176" s="94"/>
      <c r="J176" s="19" t="s">
        <v>173</v>
      </c>
      <c r="K176" s="95" t="s">
        <v>184</v>
      </c>
      <c r="L176" s="9"/>
      <c r="M176" s="9"/>
      <c r="N176" s="9"/>
      <c r="O176" s="6"/>
    </row>
    <row r="177" spans="1:15" ht="15.75">
      <c r="A177" s="96"/>
      <c r="B177" s="86" t="s">
        <v>121</v>
      </c>
      <c r="C177" s="60"/>
      <c r="D177" s="60"/>
      <c r="E177" s="60"/>
      <c r="F177" s="60"/>
      <c r="G177" s="27"/>
      <c r="H177" s="27"/>
      <c r="I177" s="27"/>
      <c r="J177" s="34">
        <v>1</v>
      </c>
      <c r="K177" s="97">
        <v>157</v>
      </c>
      <c r="L177" s="27"/>
      <c r="M177" s="91"/>
      <c r="N177" s="98"/>
      <c r="O177" s="6"/>
    </row>
    <row r="178" spans="1:15" ht="15.75">
      <c r="A178" s="96"/>
      <c r="B178" s="86" t="s">
        <v>202</v>
      </c>
      <c r="C178" s="60"/>
      <c r="D178" s="60"/>
      <c r="E178" s="60"/>
      <c r="F178" s="60"/>
      <c r="G178" s="27"/>
      <c r="H178" s="27"/>
      <c r="I178" s="27"/>
      <c r="J178" s="167">
        <v>7</v>
      </c>
      <c r="K178" s="97">
        <v>1042</v>
      </c>
      <c r="L178" s="27"/>
      <c r="M178" s="91"/>
      <c r="N178" s="98"/>
      <c r="O178" s="6"/>
    </row>
    <row r="179" spans="1:15" ht="15.75">
      <c r="A179" s="96"/>
      <c r="B179" s="86" t="s">
        <v>122</v>
      </c>
      <c r="C179" s="60"/>
      <c r="D179" s="60"/>
      <c r="E179" s="60"/>
      <c r="F179" s="60"/>
      <c r="G179" s="27"/>
      <c r="H179" s="27"/>
      <c r="I179" s="27"/>
      <c r="J179" s="167">
        <f>+I233</f>
        <v>0</v>
      </c>
      <c r="K179" s="97">
        <f>+K233</f>
        <v>0</v>
      </c>
      <c r="L179" s="27"/>
      <c r="M179" s="91"/>
      <c r="N179" s="98"/>
      <c r="O179" s="6"/>
    </row>
    <row r="180" spans="1:15" ht="15.75">
      <c r="A180" s="96"/>
      <c r="B180" s="142" t="s">
        <v>123</v>
      </c>
      <c r="C180" s="60"/>
      <c r="D180" s="60"/>
      <c r="E180" s="60"/>
      <c r="F180" s="60"/>
      <c r="G180" s="27"/>
      <c r="H180" s="27"/>
      <c r="I180" s="27"/>
      <c r="J180" s="27"/>
      <c r="K180" s="97">
        <v>0</v>
      </c>
      <c r="L180" s="27"/>
      <c r="M180" s="91"/>
      <c r="N180" s="98"/>
      <c r="O180" s="6"/>
    </row>
    <row r="181" spans="1:15" ht="15.75">
      <c r="A181" s="96"/>
      <c r="B181" s="142" t="s">
        <v>124</v>
      </c>
      <c r="C181" s="60"/>
      <c r="D181" s="60"/>
      <c r="E181" s="60"/>
      <c r="F181" s="60"/>
      <c r="G181" s="27"/>
      <c r="H181" s="27"/>
      <c r="I181" s="27"/>
      <c r="J181" s="27"/>
      <c r="K181" s="70" t="s">
        <v>185</v>
      </c>
      <c r="L181" s="27"/>
      <c r="M181" s="91"/>
      <c r="N181" s="98"/>
      <c r="O181" s="6"/>
    </row>
    <row r="182" spans="1:15" ht="15.75">
      <c r="A182" s="99"/>
      <c r="B182" s="142" t="s">
        <v>125</v>
      </c>
      <c r="C182" s="60"/>
      <c r="D182" s="60"/>
      <c r="E182" s="86"/>
      <c r="F182" s="86"/>
      <c r="G182" s="86"/>
      <c r="H182" s="27"/>
      <c r="I182" s="27"/>
      <c r="J182" s="27"/>
      <c r="K182" s="97"/>
      <c r="L182" s="27"/>
      <c r="M182" s="91"/>
      <c r="N182" s="100"/>
      <c r="O182" s="6"/>
    </row>
    <row r="183" spans="1:15" ht="15.75">
      <c r="A183" s="99"/>
      <c r="B183" s="150" t="s">
        <v>126</v>
      </c>
      <c r="C183" s="60"/>
      <c r="D183" s="60"/>
      <c r="E183" s="86"/>
      <c r="F183" s="86"/>
      <c r="G183" s="86"/>
      <c r="H183" s="27"/>
      <c r="I183" s="27"/>
      <c r="J183" s="34">
        <v>0</v>
      </c>
      <c r="K183" s="97">
        <f>M132</f>
        <v>0</v>
      </c>
      <c r="L183" s="27"/>
      <c r="M183" s="91"/>
      <c r="N183" s="100"/>
      <c r="O183" s="6"/>
    </row>
    <row r="184" spans="1:15" ht="15.75">
      <c r="A184" s="96"/>
      <c r="B184" s="86" t="s">
        <v>127</v>
      </c>
      <c r="C184" s="60"/>
      <c r="D184" s="60"/>
      <c r="E184" s="60"/>
      <c r="F184" s="60"/>
      <c r="G184" s="60"/>
      <c r="H184" s="27"/>
      <c r="I184" s="27"/>
      <c r="J184" s="34">
        <v>0</v>
      </c>
      <c r="K184" s="97">
        <f>+'Aug 05'!K181+K183</f>
        <v>0</v>
      </c>
      <c r="L184" s="27"/>
      <c r="M184" s="91"/>
      <c r="N184" s="100"/>
      <c r="O184" s="6"/>
    </row>
    <row r="185" spans="1:15" ht="15.75">
      <c r="A185" s="96"/>
      <c r="B185" s="86" t="s">
        <v>128</v>
      </c>
      <c r="C185" s="60"/>
      <c r="D185" s="60"/>
      <c r="E185" s="60"/>
      <c r="F185" s="60"/>
      <c r="G185" s="60"/>
      <c r="H185" s="27"/>
      <c r="I185" s="27"/>
      <c r="J185" s="34"/>
      <c r="K185" s="97">
        <v>0</v>
      </c>
      <c r="L185" s="27"/>
      <c r="M185" s="91"/>
      <c r="N185" s="100"/>
      <c r="O185" s="6"/>
    </row>
    <row r="186" spans="1:15" ht="15.75">
      <c r="A186" s="99"/>
      <c r="B186" s="142" t="s">
        <v>230</v>
      </c>
      <c r="C186" s="60"/>
      <c r="D186" s="60"/>
      <c r="E186" s="86"/>
      <c r="F186" s="86"/>
      <c r="G186" s="86"/>
      <c r="H186" s="27"/>
      <c r="I186" s="27"/>
      <c r="J186" s="34"/>
      <c r="K186" s="97"/>
      <c r="L186" s="27"/>
      <c r="M186" s="91"/>
      <c r="N186" s="100"/>
      <c r="O186" s="6"/>
    </row>
    <row r="187" spans="1:15" ht="15.75">
      <c r="A187" s="99"/>
      <c r="B187" s="86" t="s">
        <v>130</v>
      </c>
      <c r="C187" s="60"/>
      <c r="D187" s="60"/>
      <c r="E187" s="86"/>
      <c r="F187" s="86"/>
      <c r="G187" s="86"/>
      <c r="H187" s="27"/>
      <c r="I187" s="27"/>
      <c r="J187" s="34">
        <v>0</v>
      </c>
      <c r="K187" s="97">
        <v>0</v>
      </c>
      <c r="L187" s="27"/>
      <c r="M187" s="91"/>
      <c r="N187" s="100"/>
      <c r="O187" s="6"/>
    </row>
    <row r="188" spans="1:15" ht="15.75">
      <c r="A188" s="96"/>
      <c r="B188" s="86" t="s">
        <v>131</v>
      </c>
      <c r="C188" s="60"/>
      <c r="D188" s="60"/>
      <c r="E188" s="101"/>
      <c r="F188" s="101"/>
      <c r="G188" s="102"/>
      <c r="H188" s="27"/>
      <c r="I188" s="27"/>
      <c r="J188" s="34"/>
      <c r="K188" s="70">
        <v>0</v>
      </c>
      <c r="L188" s="27"/>
      <c r="M188" s="91"/>
      <c r="N188" s="100"/>
      <c r="O188" s="6"/>
    </row>
    <row r="189" spans="1:15" ht="15.75">
      <c r="A189" s="96"/>
      <c r="B189" s="86" t="s">
        <v>132</v>
      </c>
      <c r="C189" s="60"/>
      <c r="D189" s="60"/>
      <c r="E189" s="101"/>
      <c r="F189" s="101"/>
      <c r="G189" s="102"/>
      <c r="H189" s="27"/>
      <c r="I189" s="27"/>
      <c r="J189" s="34"/>
      <c r="K189" s="70">
        <v>0</v>
      </c>
      <c r="L189" s="27"/>
      <c r="M189" s="91"/>
      <c r="N189" s="100"/>
      <c r="O189" s="6"/>
    </row>
    <row r="190" spans="1:15" ht="15.75">
      <c r="A190" s="96"/>
      <c r="B190" s="86" t="s">
        <v>238</v>
      </c>
      <c r="C190" s="60"/>
      <c r="D190" s="60"/>
      <c r="E190" s="103"/>
      <c r="F190" s="101"/>
      <c r="G190" s="102"/>
      <c r="H190" s="27"/>
      <c r="I190" s="27"/>
      <c r="J190" s="34"/>
      <c r="K190" s="104">
        <v>0</v>
      </c>
      <c r="L190" s="27"/>
      <c r="M190" s="91"/>
      <c r="N190" s="100"/>
      <c r="O190" s="6"/>
    </row>
    <row r="191" spans="1:15" ht="15.75">
      <c r="A191" s="96"/>
      <c r="B191" s="142" t="s">
        <v>231</v>
      </c>
      <c r="C191" s="60"/>
      <c r="D191" s="60"/>
      <c r="E191" s="103"/>
      <c r="F191" s="101"/>
      <c r="G191" s="102"/>
      <c r="H191" s="27"/>
      <c r="I191" s="27"/>
      <c r="J191" s="34"/>
      <c r="K191" s="104"/>
      <c r="L191" s="27"/>
      <c r="M191" s="91"/>
      <c r="N191" s="100"/>
      <c r="O191" s="6"/>
    </row>
    <row r="192" spans="1:15" ht="15.75">
      <c r="A192" s="96"/>
      <c r="B192" s="86" t="s">
        <v>130</v>
      </c>
      <c r="C192" s="60"/>
      <c r="D192" s="60"/>
      <c r="E192" s="103"/>
      <c r="F192" s="101"/>
      <c r="G192" s="102"/>
      <c r="H192" s="27"/>
      <c r="I192" s="27"/>
      <c r="J192" s="34">
        <v>22</v>
      </c>
      <c r="K192" s="97">
        <v>4466</v>
      </c>
      <c r="L192" s="27"/>
      <c r="M192" s="91"/>
      <c r="N192" s="100"/>
      <c r="O192" s="6"/>
    </row>
    <row r="193" spans="1:15" ht="15.75">
      <c r="A193" s="96"/>
      <c r="B193" s="86" t="s">
        <v>232</v>
      </c>
      <c r="C193" s="60"/>
      <c r="D193" s="60"/>
      <c r="E193" s="103"/>
      <c r="F193" s="101"/>
      <c r="G193" s="102"/>
      <c r="H193" s="27"/>
      <c r="I193" s="27"/>
      <c r="J193" s="27"/>
      <c r="K193" s="174">
        <v>0.72</v>
      </c>
      <c r="L193" s="27"/>
      <c r="M193" s="91"/>
      <c r="N193" s="100"/>
      <c r="O193" s="6"/>
    </row>
    <row r="194" spans="1:15" ht="15.75">
      <c r="A194" s="96"/>
      <c r="B194" s="86" t="s">
        <v>233</v>
      </c>
      <c r="C194" s="60"/>
      <c r="D194" s="60"/>
      <c r="E194" s="103"/>
      <c r="F194" s="101"/>
      <c r="G194" s="102"/>
      <c r="H194" s="27"/>
      <c r="I194" s="27"/>
      <c r="J194" s="27"/>
      <c r="K194" s="174">
        <v>2.96</v>
      </c>
      <c r="L194" s="27"/>
      <c r="M194" s="91"/>
      <c r="N194" s="100"/>
      <c r="O194" s="6"/>
    </row>
    <row r="195" spans="1:15" ht="15.75">
      <c r="A195" s="96"/>
      <c r="B195" s="86" t="s">
        <v>238</v>
      </c>
      <c r="C195" s="60"/>
      <c r="D195" s="60"/>
      <c r="E195" s="103"/>
      <c r="F195" s="101"/>
      <c r="G195" s="102"/>
      <c r="H195" s="27"/>
      <c r="I195" s="27"/>
      <c r="J195" s="27"/>
      <c r="K195" s="104">
        <v>1.045</v>
      </c>
      <c r="L195" s="27"/>
      <c r="M195" s="91"/>
      <c r="N195" s="100"/>
      <c r="O195" s="6"/>
    </row>
    <row r="196" spans="1:15" ht="15.75">
      <c r="A196" s="96"/>
      <c r="B196" s="86"/>
      <c r="C196" s="60"/>
      <c r="D196" s="60"/>
      <c r="E196" s="103"/>
      <c r="F196" s="101"/>
      <c r="G196" s="102"/>
      <c r="H196" s="27"/>
      <c r="I196" s="27"/>
      <c r="J196" s="27"/>
      <c r="K196" s="104"/>
      <c r="L196" s="27"/>
      <c r="M196" s="91"/>
      <c r="N196" s="100"/>
      <c r="O196" s="6"/>
    </row>
    <row r="197" spans="1:15" ht="18.75">
      <c r="A197" s="96"/>
      <c r="B197" s="169" t="s">
        <v>223</v>
      </c>
      <c r="C197" s="60"/>
      <c r="D197" s="60"/>
      <c r="E197" s="103"/>
      <c r="F197" s="101"/>
      <c r="G197" s="102"/>
      <c r="H197" s="27"/>
      <c r="I197" s="27"/>
      <c r="J197" s="27"/>
      <c r="K197" s="104"/>
      <c r="L197" s="27"/>
      <c r="M197" s="91"/>
      <c r="N197" s="171" t="s">
        <v>224</v>
      </c>
      <c r="O197" s="6"/>
    </row>
    <row r="198" spans="1:15" ht="15.75">
      <c r="A198" s="96"/>
      <c r="B198" s="86"/>
      <c r="C198" s="60"/>
      <c r="D198" s="60"/>
      <c r="E198" s="103"/>
      <c r="F198" s="101"/>
      <c r="G198" s="102"/>
      <c r="H198" s="27"/>
      <c r="I198" s="27"/>
      <c r="J198" s="27"/>
      <c r="K198" s="104"/>
      <c r="L198" s="27"/>
      <c r="M198" s="91"/>
      <c r="N198" s="100"/>
      <c r="O198" s="6"/>
    </row>
    <row r="199" spans="1:15" ht="15.75">
      <c r="A199" s="7"/>
      <c r="B199" s="16" t="s">
        <v>218</v>
      </c>
      <c r="C199" s="93"/>
      <c r="D199" s="93"/>
      <c r="E199" s="94"/>
      <c r="F199" s="93"/>
      <c r="G199" s="94"/>
      <c r="H199" s="93"/>
      <c r="I199" s="95" t="s">
        <v>173</v>
      </c>
      <c r="J199" s="19" t="s">
        <v>174</v>
      </c>
      <c r="K199" s="95" t="s">
        <v>186</v>
      </c>
      <c r="L199" s="19" t="s">
        <v>174</v>
      </c>
      <c r="M199" s="9"/>
      <c r="N199" s="105"/>
      <c r="O199" s="6"/>
    </row>
    <row r="200" spans="1:15" ht="15.75">
      <c r="A200" s="26"/>
      <c r="B200" s="60" t="s">
        <v>135</v>
      </c>
      <c r="C200" s="106"/>
      <c r="D200" s="106"/>
      <c r="E200" s="60"/>
      <c r="F200" s="106"/>
      <c r="G200" s="27"/>
      <c r="H200" s="106"/>
      <c r="I200" s="60">
        <v>1811</v>
      </c>
      <c r="J200" s="108">
        <f>I200/I209</f>
        <v>0.9977961432506887</v>
      </c>
      <c r="K200" s="59">
        <v>193127</v>
      </c>
      <c r="L200" s="151">
        <f>K200/K209</f>
        <v>0.9979898302982699</v>
      </c>
      <c r="M200" s="91"/>
      <c r="N200" s="100"/>
      <c r="O200" s="6"/>
    </row>
    <row r="201" spans="1:15" ht="15.75">
      <c r="A201" s="26"/>
      <c r="B201" s="60" t="s">
        <v>136</v>
      </c>
      <c r="C201" s="106"/>
      <c r="D201" s="106"/>
      <c r="E201" s="60"/>
      <c r="F201" s="106"/>
      <c r="G201" s="27"/>
      <c r="H201" s="108"/>
      <c r="I201" s="60">
        <v>3</v>
      </c>
      <c r="J201" s="108">
        <f>I201/I209</f>
        <v>0.001652892561983471</v>
      </c>
      <c r="K201" s="59">
        <v>313</v>
      </c>
      <c r="L201" s="151">
        <f>K201/K209</f>
        <v>0.0016174373178445194</v>
      </c>
      <c r="M201" s="91"/>
      <c r="N201" s="100"/>
      <c r="O201" s="6"/>
    </row>
    <row r="202" spans="1:15" ht="15.75">
      <c r="A202" s="26"/>
      <c r="B202" s="60" t="s">
        <v>137</v>
      </c>
      <c r="C202" s="106"/>
      <c r="D202" s="106"/>
      <c r="E202" s="60"/>
      <c r="F202" s="106"/>
      <c r="G202" s="27"/>
      <c r="H202" s="108"/>
      <c r="I202" s="60">
        <v>0</v>
      </c>
      <c r="J202" s="108">
        <f>I202/I209</f>
        <v>0</v>
      </c>
      <c r="K202" s="59">
        <v>0</v>
      </c>
      <c r="L202" s="151">
        <f>K202/K209</f>
        <v>0</v>
      </c>
      <c r="M202" s="91"/>
      <c r="N202" s="100"/>
      <c r="O202" s="6"/>
    </row>
    <row r="203" spans="1:15" ht="15.75">
      <c r="A203" s="26"/>
      <c r="B203" s="60" t="s">
        <v>210</v>
      </c>
      <c r="C203" s="106"/>
      <c r="D203" s="106"/>
      <c r="E203" s="60"/>
      <c r="F203" s="106"/>
      <c r="G203" s="27"/>
      <c r="H203" s="108"/>
      <c r="I203" s="60">
        <v>1</v>
      </c>
      <c r="J203" s="108">
        <f>I203/I209</f>
        <v>0.0005509641873278236</v>
      </c>
      <c r="K203" s="59">
        <v>76</v>
      </c>
      <c r="L203" s="151">
        <f>K203/$K$209</f>
        <v>0.00039273238388557016</v>
      </c>
      <c r="M203" s="91"/>
      <c r="N203" s="100"/>
      <c r="O203" s="6"/>
    </row>
    <row r="204" spans="1:15" ht="15.75">
      <c r="A204" s="26"/>
      <c r="B204" s="60" t="s">
        <v>211</v>
      </c>
      <c r="C204" s="106"/>
      <c r="D204" s="106"/>
      <c r="E204" s="60"/>
      <c r="F204" s="106"/>
      <c r="G204" s="27"/>
      <c r="H204" s="108"/>
      <c r="I204" s="60">
        <v>0</v>
      </c>
      <c r="J204" s="108">
        <f>I204/$I$209</f>
        <v>0</v>
      </c>
      <c r="K204" s="59">
        <v>0</v>
      </c>
      <c r="L204" s="151">
        <f>K204/$K$209</f>
        <v>0</v>
      </c>
      <c r="M204" s="91"/>
      <c r="N204" s="100"/>
      <c r="O204" s="6"/>
    </row>
    <row r="205" spans="1:15" ht="15.75">
      <c r="A205" s="26"/>
      <c r="B205" s="60" t="s">
        <v>212</v>
      </c>
      <c r="C205" s="106"/>
      <c r="D205" s="106"/>
      <c r="E205" s="60"/>
      <c r="F205" s="106"/>
      <c r="G205" s="27"/>
      <c r="H205" s="108"/>
      <c r="I205" s="60">
        <v>0</v>
      </c>
      <c r="J205" s="108">
        <f>I205/$I$209</f>
        <v>0</v>
      </c>
      <c r="K205" s="59">
        <v>0</v>
      </c>
      <c r="L205" s="151">
        <f>K205/$K$209</f>
        <v>0</v>
      </c>
      <c r="M205" s="91"/>
      <c r="N205" s="100"/>
      <c r="O205" s="6"/>
    </row>
    <row r="206" spans="1:15" ht="15.75">
      <c r="A206" s="26"/>
      <c r="B206" s="60" t="s">
        <v>213</v>
      </c>
      <c r="C206" s="106"/>
      <c r="D206" s="106"/>
      <c r="E206" s="60"/>
      <c r="F206" s="106"/>
      <c r="G206" s="27"/>
      <c r="H206" s="108"/>
      <c r="I206" s="60">
        <v>0</v>
      </c>
      <c r="J206" s="108">
        <f>I206/$I$209</f>
        <v>0</v>
      </c>
      <c r="K206" s="59">
        <v>0</v>
      </c>
      <c r="L206" s="151">
        <f>K206/$K$209</f>
        <v>0</v>
      </c>
      <c r="M206" s="91"/>
      <c r="N206" s="100"/>
      <c r="O206" s="6"/>
    </row>
    <row r="207" spans="1:15" ht="15.75">
      <c r="A207" s="26"/>
      <c r="B207" s="60" t="s">
        <v>214</v>
      </c>
      <c r="C207" s="106"/>
      <c r="D207" s="106"/>
      <c r="E207" s="60"/>
      <c r="F207" s="106"/>
      <c r="G207" s="27"/>
      <c r="H207" s="108"/>
      <c r="I207" s="60">
        <v>0</v>
      </c>
      <c r="J207" s="108">
        <f>I207/$I$209</f>
        <v>0</v>
      </c>
      <c r="K207" s="59">
        <v>0</v>
      </c>
      <c r="L207" s="151">
        <f>K207/$K$209</f>
        <v>0</v>
      </c>
      <c r="M207" s="91"/>
      <c r="N207" s="100"/>
      <c r="O207" s="6"/>
    </row>
    <row r="208" spans="1:15" ht="15.75">
      <c r="A208" s="26"/>
      <c r="B208" s="60"/>
      <c r="C208" s="106"/>
      <c r="D208" s="106"/>
      <c r="E208" s="60"/>
      <c r="F208" s="106"/>
      <c r="G208" s="27"/>
      <c r="H208" s="108"/>
      <c r="I208" s="60"/>
      <c r="J208" s="108"/>
      <c r="K208" s="59"/>
      <c r="L208" s="151"/>
      <c r="M208" s="91"/>
      <c r="N208" s="100"/>
      <c r="O208" s="6"/>
    </row>
    <row r="209" spans="1:15" ht="15.75">
      <c r="A209" s="26"/>
      <c r="B209" s="27"/>
      <c r="C209" s="27"/>
      <c r="D209" s="27"/>
      <c r="E209" s="27"/>
      <c r="F209" s="27"/>
      <c r="G209" s="27"/>
      <c r="H209" s="27"/>
      <c r="I209" s="38">
        <f>SUM(I200:I208)</f>
        <v>1815</v>
      </c>
      <c r="J209" s="109">
        <f>SUM(J200:J208)</f>
        <v>0.9999999999999999</v>
      </c>
      <c r="K209" s="59">
        <f>SUM(K200:K208)</f>
        <v>193516</v>
      </c>
      <c r="L209" s="109">
        <f>SUM(L200:L208)</f>
        <v>1</v>
      </c>
      <c r="M209" s="27"/>
      <c r="N209" s="27"/>
      <c r="O209" s="6"/>
    </row>
    <row r="210" spans="1:15" ht="15.75">
      <c r="A210" s="26"/>
      <c r="B210" s="27"/>
      <c r="C210" s="27"/>
      <c r="D210" s="27"/>
      <c r="E210" s="27"/>
      <c r="F210" s="27"/>
      <c r="G210" s="27"/>
      <c r="H210" s="27"/>
      <c r="I210" s="38"/>
      <c r="J210" s="109"/>
      <c r="K210" s="59"/>
      <c r="L210" s="109"/>
      <c r="M210" s="27"/>
      <c r="N210" s="27"/>
      <c r="O210" s="6"/>
    </row>
    <row r="211" spans="1:15" ht="15.75">
      <c r="A211" s="153"/>
      <c r="B211" s="16" t="s">
        <v>221</v>
      </c>
      <c r="C211" s="93"/>
      <c r="D211" s="93"/>
      <c r="E211" s="94"/>
      <c r="F211" s="93"/>
      <c r="G211" s="94"/>
      <c r="H211" s="93"/>
      <c r="I211" s="95" t="s">
        <v>173</v>
      </c>
      <c r="J211" s="19" t="s">
        <v>174</v>
      </c>
      <c r="K211" s="95" t="s">
        <v>186</v>
      </c>
      <c r="L211" s="19" t="s">
        <v>174</v>
      </c>
      <c r="M211" s="154"/>
      <c r="N211" s="155"/>
      <c r="O211" s="6"/>
    </row>
    <row r="212" spans="1:15" ht="15.75">
      <c r="A212" s="26"/>
      <c r="B212" s="60" t="s">
        <v>135</v>
      </c>
      <c r="C212" s="106"/>
      <c r="D212" s="106"/>
      <c r="E212" s="60"/>
      <c r="F212" s="106"/>
      <c r="G212" s="27"/>
      <c r="H212" s="106"/>
      <c r="I212" s="60">
        <v>4</v>
      </c>
      <c r="J212" s="108">
        <f>I212/I221</f>
        <v>0.5714285714285714</v>
      </c>
      <c r="K212" s="59">
        <v>401</v>
      </c>
      <c r="L212" s="151">
        <f>K212/K221</f>
        <v>0.3848368522072937</v>
      </c>
      <c r="M212" s="27"/>
      <c r="N212" s="27"/>
      <c r="O212" s="6"/>
    </row>
    <row r="213" spans="1:15" ht="15.75">
      <c r="A213" s="26"/>
      <c r="B213" s="60" t="s">
        <v>136</v>
      </c>
      <c r="C213" s="106"/>
      <c r="D213" s="106"/>
      <c r="E213" s="60"/>
      <c r="F213" s="106"/>
      <c r="G213" s="27"/>
      <c r="H213" s="108"/>
      <c r="I213" s="60">
        <v>0</v>
      </c>
      <c r="J213" s="108">
        <f>I213/I221</f>
        <v>0</v>
      </c>
      <c r="K213" s="59">
        <v>0</v>
      </c>
      <c r="L213" s="151">
        <f>K213/K221</f>
        <v>0</v>
      </c>
      <c r="M213" s="27"/>
      <c r="N213" s="27"/>
      <c r="O213" s="6"/>
    </row>
    <row r="214" spans="1:15" ht="15.75">
      <c r="A214" s="26"/>
      <c r="B214" s="60" t="s">
        <v>137</v>
      </c>
      <c r="C214" s="106"/>
      <c r="D214" s="106"/>
      <c r="E214" s="60"/>
      <c r="F214" s="106"/>
      <c r="G214" s="27"/>
      <c r="H214" s="108"/>
      <c r="I214" s="60">
        <v>1</v>
      </c>
      <c r="J214" s="108">
        <f>I214/I221</f>
        <v>0.14285714285714285</v>
      </c>
      <c r="K214" s="59">
        <v>95</v>
      </c>
      <c r="L214" s="151">
        <f>K214/K221</f>
        <v>0.09117082533589252</v>
      </c>
      <c r="M214" s="27"/>
      <c r="N214" s="27"/>
      <c r="O214" s="6"/>
    </row>
    <row r="215" spans="1:15" ht="15.75">
      <c r="A215" s="26"/>
      <c r="B215" s="60" t="s">
        <v>210</v>
      </c>
      <c r="C215" s="106"/>
      <c r="D215" s="106"/>
      <c r="E215" s="60"/>
      <c r="F215" s="106"/>
      <c r="G215" s="27"/>
      <c r="H215" s="108"/>
      <c r="I215" s="60">
        <v>0</v>
      </c>
      <c r="J215" s="108">
        <f>I215/I221</f>
        <v>0</v>
      </c>
      <c r="K215" s="59">
        <v>0</v>
      </c>
      <c r="L215" s="151">
        <f>K215/$K$221</f>
        <v>0</v>
      </c>
      <c r="M215" s="27"/>
      <c r="N215" s="27"/>
      <c r="O215" s="6"/>
    </row>
    <row r="216" spans="1:15" ht="15.75">
      <c r="A216" s="26"/>
      <c r="B216" s="60" t="s">
        <v>211</v>
      </c>
      <c r="C216" s="106"/>
      <c r="D216" s="106"/>
      <c r="E216" s="60"/>
      <c r="F216" s="106"/>
      <c r="G216" s="27"/>
      <c r="H216" s="108"/>
      <c r="I216" s="60">
        <v>1</v>
      </c>
      <c r="J216" s="108">
        <f>I216/$I$221</f>
        <v>0.14285714285714285</v>
      </c>
      <c r="K216" s="59">
        <v>393</v>
      </c>
      <c r="L216" s="151">
        <f>K216/$K$221</f>
        <v>0.3771593090211132</v>
      </c>
      <c r="M216" s="27"/>
      <c r="N216" s="27"/>
      <c r="O216" s="6"/>
    </row>
    <row r="217" spans="1:15" ht="15.75">
      <c r="A217" s="26"/>
      <c r="B217" s="60" t="s">
        <v>212</v>
      </c>
      <c r="C217" s="106"/>
      <c r="D217" s="106"/>
      <c r="E217" s="60"/>
      <c r="F217" s="106"/>
      <c r="G217" s="27"/>
      <c r="H217" s="108"/>
      <c r="I217" s="60">
        <v>0</v>
      </c>
      <c r="J217" s="108">
        <f>I217/$I$221</f>
        <v>0</v>
      </c>
      <c r="K217" s="59">
        <v>0</v>
      </c>
      <c r="L217" s="151">
        <f>K217/$K$221</f>
        <v>0</v>
      </c>
      <c r="M217" s="27"/>
      <c r="N217" s="27"/>
      <c r="O217" s="6"/>
    </row>
    <row r="218" spans="1:15" ht="15.75">
      <c r="A218" s="26"/>
      <c r="B218" s="60" t="s">
        <v>213</v>
      </c>
      <c r="C218" s="106"/>
      <c r="D218" s="106"/>
      <c r="E218" s="60"/>
      <c r="F218" s="106"/>
      <c r="G218" s="27"/>
      <c r="H218" s="108"/>
      <c r="I218" s="60">
        <v>1</v>
      </c>
      <c r="J218" s="108">
        <f>I218/$I$221</f>
        <v>0.14285714285714285</v>
      </c>
      <c r="K218" s="59">
        <v>153</v>
      </c>
      <c r="L218" s="151">
        <f>K218/$K$221</f>
        <v>0.14683301343570057</v>
      </c>
      <c r="M218" s="27"/>
      <c r="N218" s="27"/>
      <c r="O218" s="6"/>
    </row>
    <row r="219" spans="1:15" ht="15.75">
      <c r="A219" s="26"/>
      <c r="B219" s="60" t="s">
        <v>214</v>
      </c>
      <c r="C219" s="106"/>
      <c r="D219" s="106"/>
      <c r="E219" s="60"/>
      <c r="F219" s="106"/>
      <c r="G219" s="27"/>
      <c r="H219" s="108"/>
      <c r="I219" s="60">
        <v>0</v>
      </c>
      <c r="J219" s="108">
        <f>I219/$I$221</f>
        <v>0</v>
      </c>
      <c r="K219" s="59">
        <v>0</v>
      </c>
      <c r="L219" s="151">
        <f>K219/$K$221</f>
        <v>0</v>
      </c>
      <c r="M219" s="27"/>
      <c r="N219" s="27"/>
      <c r="O219" s="6"/>
    </row>
    <row r="220" spans="1:15" ht="15.75">
      <c r="A220" s="26"/>
      <c r="B220" s="60"/>
      <c r="C220" s="106"/>
      <c r="D220" s="106"/>
      <c r="E220" s="60"/>
      <c r="F220" s="106"/>
      <c r="G220" s="27"/>
      <c r="H220" s="108"/>
      <c r="I220" s="60"/>
      <c r="J220" s="108"/>
      <c r="K220" s="59"/>
      <c r="L220" s="151"/>
      <c r="M220" s="27"/>
      <c r="N220" s="27"/>
      <c r="O220" s="6"/>
    </row>
    <row r="221" spans="1:16" ht="15.75">
      <c r="A221" s="156"/>
      <c r="B221" s="157"/>
      <c r="C221" s="157"/>
      <c r="D221" s="157"/>
      <c r="E221" s="157"/>
      <c r="F221" s="157"/>
      <c r="G221" s="157"/>
      <c r="H221" s="157"/>
      <c r="I221" s="158">
        <f>SUM(I212:I220)</f>
        <v>7</v>
      </c>
      <c r="J221" s="159">
        <f>SUM(J212:J220)</f>
        <v>0.9999999999999998</v>
      </c>
      <c r="K221" s="160">
        <f>SUM(K212:K220)</f>
        <v>1042</v>
      </c>
      <c r="L221" s="159">
        <f>SUM(L212:L220)</f>
        <v>1</v>
      </c>
      <c r="M221" s="157"/>
      <c r="N221" s="161"/>
      <c r="O221" s="6"/>
      <c r="P221" s="125"/>
    </row>
    <row r="222" spans="1:15" ht="15.75">
      <c r="A222" s="162"/>
      <c r="B222" s="163"/>
      <c r="C222" s="163"/>
      <c r="D222" s="163"/>
      <c r="E222" s="163"/>
      <c r="F222" s="163"/>
      <c r="G222" s="163"/>
      <c r="H222" s="163"/>
      <c r="I222" s="164"/>
      <c r="J222" s="165"/>
      <c r="K222" s="166"/>
      <c r="L222" s="165"/>
      <c r="M222" s="163"/>
      <c r="N222" s="163"/>
      <c r="O222" s="6"/>
    </row>
    <row r="223" spans="1:15" ht="15.75">
      <c r="A223" s="153"/>
      <c r="B223" s="16" t="s">
        <v>219</v>
      </c>
      <c r="C223" s="93"/>
      <c r="D223" s="93"/>
      <c r="E223" s="94"/>
      <c r="F223" s="93"/>
      <c r="G223" s="94"/>
      <c r="H223" s="93"/>
      <c r="I223" s="95" t="s">
        <v>173</v>
      </c>
      <c r="J223" s="19" t="s">
        <v>174</v>
      </c>
      <c r="K223" s="95" t="s">
        <v>186</v>
      </c>
      <c r="L223" s="19" t="s">
        <v>174</v>
      </c>
      <c r="M223" s="154"/>
      <c r="N223" s="155"/>
      <c r="O223" s="6"/>
    </row>
    <row r="224" spans="1:15" ht="15.75">
      <c r="A224" s="26"/>
      <c r="B224" s="60" t="s">
        <v>135</v>
      </c>
      <c r="C224" s="106"/>
      <c r="D224" s="106"/>
      <c r="E224" s="60"/>
      <c r="F224" s="106"/>
      <c r="G224" s="27"/>
      <c r="H224" s="106"/>
      <c r="I224" s="60">
        <v>0</v>
      </c>
      <c r="J224" s="108">
        <v>0</v>
      </c>
      <c r="K224" s="59">
        <v>0</v>
      </c>
      <c r="L224" s="151">
        <v>0</v>
      </c>
      <c r="M224" s="27"/>
      <c r="N224" s="27"/>
      <c r="O224" s="6"/>
    </row>
    <row r="225" spans="1:15" ht="15.75">
      <c r="A225" s="26"/>
      <c r="B225" s="60" t="s">
        <v>136</v>
      </c>
      <c r="C225" s="106"/>
      <c r="D225" s="106"/>
      <c r="E225" s="60"/>
      <c r="F225" s="106"/>
      <c r="G225" s="27"/>
      <c r="H225" s="108"/>
      <c r="I225" s="60">
        <v>0</v>
      </c>
      <c r="J225" s="108">
        <v>0</v>
      </c>
      <c r="K225" s="59">
        <v>0</v>
      </c>
      <c r="L225" s="151">
        <v>0</v>
      </c>
      <c r="M225" s="27"/>
      <c r="N225" s="27"/>
      <c r="O225" s="6"/>
    </row>
    <row r="226" spans="1:15" ht="15.75">
      <c r="A226" s="26"/>
      <c r="B226" s="60" t="s">
        <v>137</v>
      </c>
      <c r="C226" s="106"/>
      <c r="D226" s="106"/>
      <c r="E226" s="60"/>
      <c r="F226" s="106"/>
      <c r="G226" s="27"/>
      <c r="H226" s="108"/>
      <c r="I226" s="60">
        <v>0</v>
      </c>
      <c r="J226" s="108">
        <v>0</v>
      </c>
      <c r="K226" s="59">
        <v>0</v>
      </c>
      <c r="L226" s="151">
        <v>0</v>
      </c>
      <c r="M226" s="27"/>
      <c r="N226" s="27"/>
      <c r="O226" s="6"/>
    </row>
    <row r="227" spans="1:15" ht="15.75">
      <c r="A227" s="26"/>
      <c r="B227" s="60" t="s">
        <v>210</v>
      </c>
      <c r="C227" s="106"/>
      <c r="D227" s="106"/>
      <c r="E227" s="60"/>
      <c r="F227" s="106"/>
      <c r="G227" s="27"/>
      <c r="H227" s="108"/>
      <c r="I227" s="60">
        <v>0</v>
      </c>
      <c r="J227" s="108">
        <v>0</v>
      </c>
      <c r="K227" s="59">
        <v>0</v>
      </c>
      <c r="L227" s="151">
        <v>0</v>
      </c>
      <c r="M227" s="27"/>
      <c r="N227" s="27"/>
      <c r="O227" s="6"/>
    </row>
    <row r="228" spans="1:15" ht="15.75">
      <c r="A228" s="26"/>
      <c r="B228" s="60" t="s">
        <v>211</v>
      </c>
      <c r="C228" s="106"/>
      <c r="D228" s="106"/>
      <c r="E228" s="60"/>
      <c r="F228" s="106"/>
      <c r="G228" s="27"/>
      <c r="H228" s="108"/>
      <c r="I228" s="60">
        <v>0</v>
      </c>
      <c r="J228" s="108">
        <v>0</v>
      </c>
      <c r="K228" s="59">
        <v>0</v>
      </c>
      <c r="L228" s="151">
        <v>0</v>
      </c>
      <c r="M228" s="27"/>
      <c r="N228" s="27"/>
      <c r="O228" s="6"/>
    </row>
    <row r="229" spans="1:15" ht="15.75">
      <c r="A229" s="26"/>
      <c r="B229" s="60" t="s">
        <v>212</v>
      </c>
      <c r="C229" s="106"/>
      <c r="D229" s="106"/>
      <c r="E229" s="60"/>
      <c r="F229" s="106"/>
      <c r="G229" s="27"/>
      <c r="H229" s="108"/>
      <c r="I229" s="60">
        <v>0</v>
      </c>
      <c r="J229" s="108">
        <v>0</v>
      </c>
      <c r="K229" s="59">
        <v>0</v>
      </c>
      <c r="L229" s="151">
        <v>0</v>
      </c>
      <c r="M229" s="27"/>
      <c r="N229" s="27"/>
      <c r="O229" s="6"/>
    </row>
    <row r="230" spans="1:15" ht="15.75">
      <c r="A230" s="26"/>
      <c r="B230" s="60" t="s">
        <v>213</v>
      </c>
      <c r="C230" s="106"/>
      <c r="D230" s="106"/>
      <c r="E230" s="60"/>
      <c r="F230" s="106"/>
      <c r="G230" s="27"/>
      <c r="H230" s="108"/>
      <c r="I230" s="60">
        <v>0</v>
      </c>
      <c r="J230" s="108">
        <v>0</v>
      </c>
      <c r="K230" s="59">
        <v>0</v>
      </c>
      <c r="L230" s="151">
        <v>0</v>
      </c>
      <c r="M230" s="27"/>
      <c r="N230" s="27"/>
      <c r="O230" s="6"/>
    </row>
    <row r="231" spans="1:15" ht="15.75">
      <c r="A231" s="26"/>
      <c r="B231" s="60" t="s">
        <v>214</v>
      </c>
      <c r="C231" s="106"/>
      <c r="D231" s="106"/>
      <c r="E231" s="60"/>
      <c r="F231" s="106"/>
      <c r="G231" s="27"/>
      <c r="H231" s="108"/>
      <c r="I231" s="60">
        <v>0</v>
      </c>
      <c r="J231" s="108">
        <v>0</v>
      </c>
      <c r="K231" s="59">
        <v>0</v>
      </c>
      <c r="L231" s="151">
        <v>0</v>
      </c>
      <c r="M231" s="27"/>
      <c r="N231" s="27"/>
      <c r="O231" s="6"/>
    </row>
    <row r="232" spans="1:15" ht="15.75">
      <c r="A232" s="26"/>
      <c r="B232" s="60"/>
      <c r="C232" s="106"/>
      <c r="D232" s="106"/>
      <c r="E232" s="60"/>
      <c r="F232" s="106"/>
      <c r="G232" s="27"/>
      <c r="H232" s="108"/>
      <c r="I232" s="60"/>
      <c r="J232" s="108"/>
      <c r="K232" s="59"/>
      <c r="L232" s="151"/>
      <c r="M232" s="27"/>
      <c r="N232" s="27"/>
      <c r="O232" s="6"/>
    </row>
    <row r="233" spans="1:15" ht="15.75">
      <c r="A233" s="156"/>
      <c r="B233" s="157"/>
      <c r="C233" s="157"/>
      <c r="D233" s="157"/>
      <c r="E233" s="157"/>
      <c r="F233" s="157"/>
      <c r="G233" s="157"/>
      <c r="H233" s="157"/>
      <c r="I233" s="158">
        <f>SUM(I224:I232)</f>
        <v>0</v>
      </c>
      <c r="J233" s="159">
        <f>SUM(J224:J232)</f>
        <v>0</v>
      </c>
      <c r="K233" s="160">
        <f>SUM(K224:K232)</f>
        <v>0</v>
      </c>
      <c r="L233" s="159">
        <f>SUM(L224:L232)</f>
        <v>0</v>
      </c>
      <c r="M233" s="157"/>
      <c r="N233" s="161"/>
      <c r="O233" s="6"/>
    </row>
    <row r="234" spans="1:15" ht="15.75">
      <c r="A234" s="156"/>
      <c r="B234" s="157"/>
      <c r="C234" s="157"/>
      <c r="D234" s="157"/>
      <c r="E234" s="157"/>
      <c r="F234" s="157"/>
      <c r="G234" s="157"/>
      <c r="H234" s="157"/>
      <c r="I234" s="158"/>
      <c r="J234" s="159"/>
      <c r="K234" s="160"/>
      <c r="L234" s="159"/>
      <c r="M234" s="157"/>
      <c r="N234" s="161"/>
      <c r="O234" s="6"/>
    </row>
    <row r="235" spans="1:15" ht="15.75">
      <c r="A235" s="156"/>
      <c r="B235" s="172" t="s">
        <v>195</v>
      </c>
      <c r="C235" s="157"/>
      <c r="D235" s="157"/>
      <c r="E235" s="157"/>
      <c r="F235" s="157"/>
      <c r="G235" s="157"/>
      <c r="H235" s="157"/>
      <c r="I235" s="158">
        <f>+I233+I221+I209</f>
        <v>1822</v>
      </c>
      <c r="J235" s="159"/>
      <c r="K235" s="160">
        <f>+K233+K221+K209</f>
        <v>194558</v>
      </c>
      <c r="L235" s="159"/>
      <c r="M235" s="157"/>
      <c r="N235" s="161"/>
      <c r="O235" s="6"/>
    </row>
    <row r="236" spans="1:15" ht="15.75">
      <c r="A236" s="162"/>
      <c r="B236" s="163"/>
      <c r="C236" s="163"/>
      <c r="D236" s="163"/>
      <c r="E236" s="163"/>
      <c r="F236" s="163"/>
      <c r="G236" s="163"/>
      <c r="H236" s="163"/>
      <c r="I236" s="164"/>
      <c r="J236" s="165"/>
      <c r="K236" s="166"/>
      <c r="L236" s="165"/>
      <c r="M236" s="163"/>
      <c r="N236" s="163"/>
      <c r="O236" s="6"/>
    </row>
    <row r="237" spans="1:15" ht="15.75">
      <c r="A237" s="148"/>
      <c r="B237" s="16" t="s">
        <v>216</v>
      </c>
      <c r="C237" s="113"/>
      <c r="D237" s="113"/>
      <c r="E237" s="19"/>
      <c r="F237" s="17"/>
      <c r="G237" s="16"/>
      <c r="H237" s="143"/>
      <c r="I237" s="143"/>
      <c r="J237" s="143"/>
      <c r="K237" s="143"/>
      <c r="L237" s="143"/>
      <c r="M237" s="143"/>
      <c r="N237" s="143"/>
      <c r="O237" s="6"/>
    </row>
    <row r="238" spans="1:15" ht="15.75">
      <c r="A238" s="148"/>
      <c r="B238" s="143"/>
      <c r="C238" s="143"/>
      <c r="D238" s="143"/>
      <c r="E238" s="9"/>
      <c r="F238" s="9"/>
      <c r="G238" s="9"/>
      <c r="H238" s="143"/>
      <c r="I238" s="143"/>
      <c r="J238" s="143"/>
      <c r="K238" s="143"/>
      <c r="L238" s="143"/>
      <c r="M238" s="143"/>
      <c r="N238" s="143"/>
      <c r="O238" s="6"/>
    </row>
    <row r="239" spans="1:15" ht="15.75">
      <c r="A239" s="148"/>
      <c r="B239" s="15" t="s">
        <v>217</v>
      </c>
      <c r="C239" s="114"/>
      <c r="D239" s="114"/>
      <c r="E239" s="115"/>
      <c r="F239" s="15"/>
      <c r="G239" s="15"/>
      <c r="H239" s="114"/>
      <c r="I239" s="114"/>
      <c r="J239" s="143"/>
      <c r="K239" s="143"/>
      <c r="L239" s="143"/>
      <c r="M239" s="143"/>
      <c r="N239" s="143"/>
      <c r="O239" s="6"/>
    </row>
    <row r="240" spans="1:15" ht="15.75">
      <c r="A240" s="148"/>
      <c r="B240" s="15" t="s">
        <v>215</v>
      </c>
      <c r="C240" s="114"/>
      <c r="D240" s="114"/>
      <c r="E240" s="115"/>
      <c r="F240" s="15"/>
      <c r="G240" s="15"/>
      <c r="H240" s="114"/>
      <c r="I240" s="114"/>
      <c r="J240" s="143"/>
      <c r="K240" s="143"/>
      <c r="L240" s="143"/>
      <c r="M240" s="143"/>
      <c r="N240" s="143"/>
      <c r="O240" s="6"/>
    </row>
    <row r="241" spans="1:15" ht="15.75">
      <c r="A241" s="148"/>
      <c r="B241" s="15"/>
      <c r="C241" s="114"/>
      <c r="D241" s="114"/>
      <c r="E241" s="115"/>
      <c r="F241" s="15"/>
      <c r="G241" s="15"/>
      <c r="H241" s="114"/>
      <c r="I241" s="114"/>
      <c r="J241" s="143"/>
      <c r="K241" s="143"/>
      <c r="L241" s="143"/>
      <c r="M241" s="143"/>
      <c r="N241" s="143"/>
      <c r="O241" s="6"/>
    </row>
    <row r="242" spans="1:15" ht="18.75">
      <c r="A242" s="148"/>
      <c r="B242" s="55" t="str">
        <f>B160</f>
        <v>PM5 INVESTOR REPORT QUARTER ENDING NOVEMBER 2005</v>
      </c>
      <c r="C242" s="114"/>
      <c r="D242" s="114"/>
      <c r="E242" s="115"/>
      <c r="F242" s="15"/>
      <c r="G242" s="15"/>
      <c r="H242" s="114"/>
      <c r="I242" s="114"/>
      <c r="J242" s="143"/>
      <c r="K242" s="143"/>
      <c r="L242" s="143"/>
      <c r="M242" s="143"/>
      <c r="N242" s="143"/>
      <c r="O242" s="6"/>
    </row>
    <row r="243" spans="1:14" ht="15">
      <c r="A243" s="116"/>
      <c r="B243" s="116"/>
      <c r="C243" s="116"/>
      <c r="D243" s="116"/>
      <c r="E243" s="116"/>
      <c r="F243" s="116"/>
      <c r="G243" s="116"/>
      <c r="H243" s="116"/>
      <c r="I243" s="116"/>
      <c r="J243" s="116"/>
      <c r="K243" s="116"/>
      <c r="L243" s="116"/>
      <c r="M243" s="116"/>
      <c r="N243" s="116"/>
    </row>
    <row r="245" ht="15">
      <c r="I245" s="125"/>
    </row>
  </sheetData>
  <hyperlinks>
    <hyperlink ref="N197" r:id="rId1" display="http://www.paragon-group.co.uk"/>
    <hyperlink ref="K10" r:id="rId2" display="http://www.paragon-group.co.uk"/>
  </hyperlinks>
  <printOptions horizontalCentered="1" verticalCentered="1"/>
  <pageMargins left="0.5118110236220472" right="0.5118110236220472" top="0.2755905511811024" bottom="0.2755905511811024" header="0" footer="0"/>
  <pageSetup horizontalDpi="600" verticalDpi="600" orientation="landscape" scale="43" r:id="rId4"/>
  <rowBreaks count="3" manualBreakCount="3">
    <brk id="52" max="14" man="1"/>
    <brk id="110" max="14" man="1"/>
    <brk id="160" max="14" man="1"/>
  </rowBreaks>
  <drawing r:id="rId3"/>
</worksheet>
</file>

<file path=xl/worksheets/sheet11.xml><?xml version="1.0" encoding="utf-8"?>
<worksheet xmlns="http://schemas.openxmlformats.org/spreadsheetml/2006/main" xmlns:r="http://schemas.openxmlformats.org/officeDocument/2006/relationships">
  <sheetPr>
    <tabColor indexed="52"/>
  </sheetPr>
  <dimension ref="A1:P24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7.88671875" style="1" customWidth="1"/>
    <col min="11" max="11" width="17.77734375" style="1" customWidth="1"/>
    <col min="12" max="12" width="6.6640625" style="1" customWidth="1"/>
    <col min="13" max="13" width="11.4453125" style="1" customWidth="1"/>
    <col min="14" max="14" width="31.1054687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8.75">
      <c r="A10" s="7"/>
      <c r="B10" s="168" t="s">
        <v>225</v>
      </c>
      <c r="C10" s="13"/>
      <c r="D10" s="13"/>
      <c r="E10" s="9"/>
      <c r="F10" s="9"/>
      <c r="G10" s="9"/>
      <c r="H10" s="9"/>
      <c r="I10" s="9"/>
      <c r="J10" s="9"/>
      <c r="K10" s="170" t="s">
        <v>224</v>
      </c>
      <c r="L10" s="9"/>
      <c r="M10" s="9"/>
      <c r="N10" s="9"/>
      <c r="O10" s="6"/>
    </row>
    <row r="11" spans="1:15" ht="15.75">
      <c r="A11" s="7"/>
      <c r="B11" s="12"/>
      <c r="C11" s="13"/>
      <c r="D11" s="13"/>
      <c r="E11" s="15"/>
      <c r="F11" s="15"/>
      <c r="G11" s="9"/>
      <c r="H11" s="9"/>
      <c r="I11" s="9"/>
      <c r="J11" s="9"/>
      <c r="K11" s="9"/>
      <c r="L11" s="9"/>
      <c r="M11" s="9"/>
      <c r="N11" s="9"/>
      <c r="O11" s="6"/>
    </row>
    <row r="12" spans="1:15" ht="15.75">
      <c r="A12" s="7"/>
      <c r="B12" s="16" t="s">
        <v>5</v>
      </c>
      <c r="C12" s="15"/>
      <c r="D12" s="15"/>
      <c r="E12" s="9"/>
      <c r="F12" s="9"/>
      <c r="G12" s="9"/>
      <c r="H12" s="9"/>
      <c r="I12" s="9"/>
      <c r="J12" s="9"/>
      <c r="K12" s="9"/>
      <c r="L12" s="9"/>
      <c r="M12" s="9"/>
      <c r="N12" s="9"/>
      <c r="O12" s="6"/>
    </row>
    <row r="13" spans="1:15" ht="15.75">
      <c r="A13" s="7"/>
      <c r="B13" s="15"/>
      <c r="C13" s="15"/>
      <c r="D13" s="15"/>
      <c r="E13" s="9"/>
      <c r="F13" s="9"/>
      <c r="G13" s="9"/>
      <c r="H13" s="9"/>
      <c r="I13" s="9"/>
      <c r="J13" s="9"/>
      <c r="K13" s="9"/>
      <c r="L13" s="9"/>
      <c r="M13" s="9"/>
      <c r="N13" s="9"/>
      <c r="O13" s="6"/>
    </row>
    <row r="14" spans="1:15" ht="15.75">
      <c r="A14" s="2"/>
      <c r="B14" s="5"/>
      <c r="C14" s="5"/>
      <c r="D14" s="5"/>
      <c r="E14" s="5"/>
      <c r="F14" s="5"/>
      <c r="G14" s="5"/>
      <c r="H14" s="5"/>
      <c r="I14" s="5"/>
      <c r="J14" s="5"/>
      <c r="K14" s="5"/>
      <c r="L14" s="5"/>
      <c r="M14" s="5"/>
      <c r="N14" s="5"/>
      <c r="O14" s="6"/>
    </row>
    <row r="15" spans="1:15" ht="15.75">
      <c r="A15" s="7"/>
      <c r="B15" s="16" t="s">
        <v>6</v>
      </c>
      <c r="C15" s="16"/>
      <c r="D15" s="16"/>
      <c r="E15" s="17"/>
      <c r="F15" s="17"/>
      <c r="G15" s="17"/>
      <c r="H15" s="17"/>
      <c r="I15" s="17"/>
      <c r="J15" s="17"/>
      <c r="K15" s="17"/>
      <c r="L15" s="17"/>
      <c r="M15" s="18" t="s">
        <v>190</v>
      </c>
      <c r="N15" s="17"/>
      <c r="O15" s="6"/>
    </row>
    <row r="16" spans="1:15" ht="15.75">
      <c r="A16" s="7"/>
      <c r="B16" s="16" t="s">
        <v>7</v>
      </c>
      <c r="C16" s="16"/>
      <c r="D16" s="16"/>
      <c r="E16" s="17"/>
      <c r="F16" s="17"/>
      <c r="G16" s="17"/>
      <c r="H16" s="17"/>
      <c r="I16" s="19"/>
      <c r="J16" s="20"/>
      <c r="K16" s="19" t="s">
        <v>175</v>
      </c>
      <c r="L16" s="20">
        <v>1</v>
      </c>
      <c r="M16" s="18"/>
      <c r="N16" s="17"/>
      <c r="O16" s="6"/>
    </row>
    <row r="17" spans="1:15" ht="15.75">
      <c r="A17" s="7"/>
      <c r="B17" s="16" t="s">
        <v>8</v>
      </c>
      <c r="C17" s="16"/>
      <c r="D17" s="16"/>
      <c r="E17" s="17"/>
      <c r="F17" s="17"/>
      <c r="G17" s="17"/>
      <c r="H17" s="17"/>
      <c r="I17" s="19"/>
      <c r="J17" s="20"/>
      <c r="K17" s="19" t="s">
        <v>175</v>
      </c>
      <c r="L17" s="20">
        <v>1</v>
      </c>
      <c r="M17" s="18"/>
      <c r="N17" s="17"/>
      <c r="O17" s="6"/>
    </row>
    <row r="18" spans="1:15" ht="15.75">
      <c r="A18" s="7"/>
      <c r="B18" s="16" t="s">
        <v>9</v>
      </c>
      <c r="C18" s="16"/>
      <c r="D18" s="16"/>
      <c r="E18" s="17"/>
      <c r="F18" s="17"/>
      <c r="G18" s="17"/>
      <c r="H18" s="17"/>
      <c r="I18" s="17"/>
      <c r="J18" s="17"/>
      <c r="K18" s="17"/>
      <c r="L18" s="17"/>
      <c r="M18" s="21">
        <v>37798</v>
      </c>
      <c r="N18" s="17"/>
      <c r="O18" s="6"/>
    </row>
    <row r="19" spans="1:15" ht="15.75">
      <c r="A19" s="7"/>
      <c r="B19" s="16" t="s">
        <v>10</v>
      </c>
      <c r="C19" s="16"/>
      <c r="D19" s="16"/>
      <c r="E19" s="17"/>
      <c r="F19" s="17"/>
      <c r="G19" s="17"/>
      <c r="H19" s="17"/>
      <c r="I19" s="17"/>
      <c r="J19" s="17"/>
      <c r="K19" s="17"/>
      <c r="L19" s="17"/>
      <c r="M19" s="21">
        <v>38799</v>
      </c>
      <c r="N19" s="17"/>
      <c r="O19" s="6"/>
    </row>
    <row r="20" spans="1:15" ht="15.75">
      <c r="A20" s="7"/>
      <c r="B20" s="9"/>
      <c r="C20" s="9"/>
      <c r="D20" s="9"/>
      <c r="E20" s="9"/>
      <c r="F20" s="9"/>
      <c r="G20" s="9"/>
      <c r="H20" s="9"/>
      <c r="I20" s="9"/>
      <c r="J20" s="9"/>
      <c r="K20" s="9"/>
      <c r="L20" s="9"/>
      <c r="M20" s="22"/>
      <c r="N20" s="9"/>
      <c r="O20" s="6"/>
    </row>
    <row r="21" spans="1:15" ht="15.75">
      <c r="A21" s="7"/>
      <c r="B21" s="23" t="s">
        <v>11</v>
      </c>
      <c r="C21" s="9"/>
      <c r="D21" s="9"/>
      <c r="E21" s="9"/>
      <c r="F21" s="9"/>
      <c r="G21" s="9"/>
      <c r="H21" s="9"/>
      <c r="I21" s="9"/>
      <c r="J21" s="9"/>
      <c r="K21" s="22" t="s">
        <v>176</v>
      </c>
      <c r="L21" s="9"/>
      <c r="M21" s="143"/>
      <c r="N21" s="9"/>
      <c r="O21" s="6"/>
    </row>
    <row r="22" spans="1:15" ht="15.75">
      <c r="A22" s="7"/>
      <c r="B22" s="9"/>
      <c r="C22" s="9"/>
      <c r="D22" s="9"/>
      <c r="E22" s="9"/>
      <c r="F22" s="9"/>
      <c r="G22" s="9"/>
      <c r="H22" s="9"/>
      <c r="I22" s="9"/>
      <c r="J22" s="9"/>
      <c r="K22" s="9"/>
      <c r="L22" s="9"/>
      <c r="M22" s="24"/>
      <c r="N22" s="9"/>
      <c r="O22" s="6"/>
    </row>
    <row r="23" spans="1:15" ht="15.75">
      <c r="A23" s="7"/>
      <c r="B23" s="9"/>
      <c r="C23" s="130" t="s">
        <v>142</v>
      </c>
      <c r="D23" s="130" t="s">
        <v>146</v>
      </c>
      <c r="E23" s="132" t="s">
        <v>147</v>
      </c>
      <c r="F23" s="132"/>
      <c r="G23" s="132" t="s">
        <v>157</v>
      </c>
      <c r="H23" s="132"/>
      <c r="I23" s="132" t="s">
        <v>165</v>
      </c>
      <c r="J23" s="133"/>
      <c r="K23" s="25"/>
      <c r="L23" s="143"/>
      <c r="M23" s="143"/>
      <c r="N23" s="9"/>
      <c r="O23" s="6"/>
    </row>
    <row r="24" spans="1:15" ht="15.75">
      <c r="A24" s="26"/>
      <c r="B24" s="27" t="s">
        <v>12</v>
      </c>
      <c r="C24" s="131" t="s">
        <v>143</v>
      </c>
      <c r="D24" s="131" t="s">
        <v>143</v>
      </c>
      <c r="E24" s="29" t="s">
        <v>148</v>
      </c>
      <c r="F24" s="29"/>
      <c r="G24" s="29" t="s">
        <v>148</v>
      </c>
      <c r="H24" s="29"/>
      <c r="I24" s="29" t="s">
        <v>166</v>
      </c>
      <c r="J24" s="29"/>
      <c r="K24" s="29"/>
      <c r="L24" s="144"/>
      <c r="M24" s="144"/>
      <c r="N24" s="27"/>
      <c r="O24" s="6"/>
    </row>
    <row r="25" spans="1:15" ht="15.75">
      <c r="A25" s="26"/>
      <c r="B25" s="27" t="s">
        <v>13</v>
      </c>
      <c r="C25" s="28"/>
      <c r="D25" s="28"/>
      <c r="E25" s="29" t="s">
        <v>149</v>
      </c>
      <c r="F25" s="29"/>
      <c r="G25" s="29" t="s">
        <v>149</v>
      </c>
      <c r="H25" s="29"/>
      <c r="I25" s="29" t="s">
        <v>167</v>
      </c>
      <c r="J25" s="29"/>
      <c r="K25" s="29"/>
      <c r="L25" s="144"/>
      <c r="M25" s="144"/>
      <c r="N25" s="27"/>
      <c r="O25" s="6"/>
    </row>
    <row r="26" spans="1:15" ht="15.75">
      <c r="A26" s="31"/>
      <c r="B26" s="32" t="s">
        <v>14</v>
      </c>
      <c r="C26" s="32"/>
      <c r="D26" s="32"/>
      <c r="E26" s="33" t="s">
        <v>148</v>
      </c>
      <c r="F26" s="33"/>
      <c r="G26" s="33" t="s">
        <v>148</v>
      </c>
      <c r="H26" s="33"/>
      <c r="I26" s="33" t="s">
        <v>166</v>
      </c>
      <c r="J26" s="29"/>
      <c r="K26" s="29"/>
      <c r="L26" s="144"/>
      <c r="M26" s="144"/>
      <c r="N26" s="27"/>
      <c r="O26" s="6"/>
    </row>
    <row r="27" spans="1:15" ht="15.75">
      <c r="A27" s="31"/>
      <c r="B27" s="32" t="s">
        <v>15</v>
      </c>
      <c r="C27" s="32"/>
      <c r="D27" s="32"/>
      <c r="E27" s="33" t="s">
        <v>149</v>
      </c>
      <c r="F27" s="33"/>
      <c r="G27" s="33" t="s">
        <v>149</v>
      </c>
      <c r="H27" s="33"/>
      <c r="I27" s="33" t="s">
        <v>167</v>
      </c>
      <c r="J27" s="29"/>
      <c r="K27" s="29"/>
      <c r="L27" s="144"/>
      <c r="M27" s="144"/>
      <c r="N27" s="27"/>
      <c r="O27" s="6"/>
    </row>
    <row r="28" spans="1:15" ht="15.75">
      <c r="A28" s="26"/>
      <c r="B28" s="27" t="s">
        <v>16</v>
      </c>
      <c r="C28" s="27"/>
      <c r="D28" s="27"/>
      <c r="E28" s="34" t="s">
        <v>150</v>
      </c>
      <c r="F28" s="29"/>
      <c r="G28" s="34" t="s">
        <v>158</v>
      </c>
      <c r="H28" s="29"/>
      <c r="I28" s="34" t="s">
        <v>168</v>
      </c>
      <c r="J28" s="29"/>
      <c r="K28" s="34"/>
      <c r="L28" s="144"/>
      <c r="M28" s="144"/>
      <c r="N28" s="27"/>
      <c r="O28" s="6"/>
    </row>
    <row r="29" spans="1:15" ht="15.75">
      <c r="A29" s="26"/>
      <c r="B29" s="27"/>
      <c r="C29" s="27"/>
      <c r="D29" s="27"/>
      <c r="E29" s="27"/>
      <c r="F29" s="29"/>
      <c r="G29" s="29"/>
      <c r="H29" s="29"/>
      <c r="I29" s="29"/>
      <c r="J29" s="29"/>
      <c r="K29" s="29"/>
      <c r="L29" s="144"/>
      <c r="M29" s="144"/>
      <c r="N29" s="27"/>
      <c r="O29" s="6"/>
    </row>
    <row r="30" spans="1:15" ht="15.75">
      <c r="A30" s="26"/>
      <c r="B30" s="27" t="s">
        <v>17</v>
      </c>
      <c r="C30" s="27"/>
      <c r="D30" s="27"/>
      <c r="E30" s="35">
        <v>50000</v>
      </c>
      <c r="F30" s="36"/>
      <c r="G30" s="35">
        <v>176250</v>
      </c>
      <c r="H30" s="35"/>
      <c r="I30" s="35">
        <v>23750</v>
      </c>
      <c r="J30" s="35"/>
      <c r="K30" s="35"/>
      <c r="L30" s="145"/>
      <c r="M30" s="35">
        <f>I30+G30+E30</f>
        <v>250000</v>
      </c>
      <c r="N30" s="38"/>
      <c r="O30" s="6"/>
    </row>
    <row r="31" spans="1:15" ht="15.75">
      <c r="A31" s="26"/>
      <c r="B31" s="27" t="s">
        <v>18</v>
      </c>
      <c r="C31" s="39">
        <v>0</v>
      </c>
      <c r="D31" s="39">
        <v>0.969123</v>
      </c>
      <c r="E31" s="35">
        <f>E30*C31</f>
        <v>0</v>
      </c>
      <c r="F31" s="36"/>
      <c r="G31" s="35">
        <f>G30*D31</f>
        <v>170807.92875</v>
      </c>
      <c r="H31" s="35"/>
      <c r="I31" s="35">
        <v>23750</v>
      </c>
      <c r="J31" s="35"/>
      <c r="K31" s="35"/>
      <c r="L31" s="145"/>
      <c r="M31" s="35">
        <f>I31+G31+E31</f>
        <v>194557.92875</v>
      </c>
      <c r="N31" s="38"/>
      <c r="O31" s="6"/>
    </row>
    <row r="32" spans="1:15" ht="15.75">
      <c r="A32" s="31"/>
      <c r="B32" s="32" t="s">
        <v>19</v>
      </c>
      <c r="C32" s="39">
        <v>0</v>
      </c>
      <c r="D32" s="39">
        <v>0.883867</v>
      </c>
      <c r="E32" s="40">
        <f>E30*C32</f>
        <v>0</v>
      </c>
      <c r="F32" s="41"/>
      <c r="G32" s="40">
        <f>G30*D32</f>
        <v>155781.55875</v>
      </c>
      <c r="H32" s="40"/>
      <c r="I32" s="40">
        <v>23750</v>
      </c>
      <c r="J32" s="40"/>
      <c r="K32" s="40"/>
      <c r="L32" s="42"/>
      <c r="M32" s="40">
        <f>I32+G32+E32</f>
        <v>179531.55875</v>
      </c>
      <c r="N32" s="38"/>
      <c r="O32" s="6"/>
    </row>
    <row r="33" spans="1:15" ht="15.75">
      <c r="A33" s="26"/>
      <c r="B33" s="27" t="s">
        <v>20</v>
      </c>
      <c r="C33" s="43"/>
      <c r="D33" s="43"/>
      <c r="E33" s="34" t="s">
        <v>151</v>
      </c>
      <c r="F33" s="27"/>
      <c r="G33" s="34" t="s">
        <v>159</v>
      </c>
      <c r="H33" s="34"/>
      <c r="I33" s="34" t="s">
        <v>169</v>
      </c>
      <c r="J33" s="34"/>
      <c r="K33" s="34"/>
      <c r="L33" s="144"/>
      <c r="M33" s="144"/>
      <c r="N33" s="27"/>
      <c r="O33" s="6"/>
    </row>
    <row r="34" spans="1:15" ht="15.75">
      <c r="A34" s="26"/>
      <c r="B34" s="27" t="s">
        <v>21</v>
      </c>
      <c r="C34" s="27"/>
      <c r="D34" s="27"/>
      <c r="E34" s="44">
        <v>0</v>
      </c>
      <c r="F34" s="27"/>
      <c r="G34" s="44">
        <v>0.0495188</v>
      </c>
      <c r="H34" s="45"/>
      <c r="I34" s="44">
        <v>0.0598188</v>
      </c>
      <c r="J34" s="45"/>
      <c r="K34" s="44"/>
      <c r="L34" s="144"/>
      <c r="M34" s="45">
        <f>SUMPRODUCT(E34:I34,E31:I31)/M31</f>
        <v>0.05077613760413504</v>
      </c>
      <c r="N34" s="27"/>
      <c r="O34" s="6"/>
    </row>
    <row r="35" spans="1:15" ht="15.75">
      <c r="A35" s="26"/>
      <c r="B35" s="27" t="s">
        <v>22</v>
      </c>
      <c r="C35" s="27"/>
      <c r="D35" s="27"/>
      <c r="E35" s="44">
        <v>0.0481</v>
      </c>
      <c r="F35" s="27"/>
      <c r="G35" s="44">
        <v>0.0491</v>
      </c>
      <c r="H35" s="45"/>
      <c r="I35" s="44">
        <v>0.0594</v>
      </c>
      <c r="J35" s="45"/>
      <c r="K35" s="44"/>
      <c r="L35" s="144"/>
      <c r="M35" s="144"/>
      <c r="N35" s="27"/>
      <c r="O35" s="6"/>
    </row>
    <row r="36" spans="1:15" ht="15.75">
      <c r="A36" s="26"/>
      <c r="B36" s="27" t="s">
        <v>23</v>
      </c>
      <c r="C36" s="27"/>
      <c r="D36" s="27"/>
      <c r="E36" s="126">
        <v>38875</v>
      </c>
      <c r="F36" s="126"/>
      <c r="G36" s="126">
        <v>38875</v>
      </c>
      <c r="H36" s="126"/>
      <c r="I36" s="126">
        <v>38875</v>
      </c>
      <c r="J36" s="34"/>
      <c r="K36" s="34"/>
      <c r="L36" s="144"/>
      <c r="M36" s="144"/>
      <c r="N36" s="27"/>
      <c r="O36" s="6"/>
    </row>
    <row r="37" spans="1:15" ht="15.75">
      <c r="A37" s="26"/>
      <c r="B37" s="27" t="s">
        <v>24</v>
      </c>
      <c r="C37" s="27"/>
      <c r="D37" s="27"/>
      <c r="E37" s="126">
        <v>39240</v>
      </c>
      <c r="F37" s="126"/>
      <c r="G37" s="126">
        <v>39240</v>
      </c>
      <c r="H37" s="126"/>
      <c r="I37" s="126">
        <v>39240</v>
      </c>
      <c r="J37" s="34"/>
      <c r="K37" s="34"/>
      <c r="L37" s="144"/>
      <c r="M37" s="144"/>
      <c r="N37" s="27"/>
      <c r="O37" s="6"/>
    </row>
    <row r="38" spans="1:15" ht="15.75">
      <c r="A38" s="26"/>
      <c r="B38" s="27" t="s">
        <v>25</v>
      </c>
      <c r="C38" s="27"/>
      <c r="D38" s="27"/>
      <c r="E38" s="34" t="s">
        <v>152</v>
      </c>
      <c r="F38" s="27"/>
      <c r="G38" s="34" t="s">
        <v>160</v>
      </c>
      <c r="H38" s="34"/>
      <c r="I38" s="34" t="s">
        <v>170</v>
      </c>
      <c r="J38" s="34"/>
      <c r="K38" s="34"/>
      <c r="L38" s="144"/>
      <c r="M38" s="144"/>
      <c r="N38" s="27"/>
      <c r="O38" s="6"/>
    </row>
    <row r="39" spans="1:15" ht="15.75">
      <c r="A39" s="26"/>
      <c r="B39" s="27"/>
      <c r="C39" s="27"/>
      <c r="D39" s="27"/>
      <c r="E39" s="34"/>
      <c r="F39" s="27"/>
      <c r="G39" s="44"/>
      <c r="H39" s="34"/>
      <c r="I39" s="44"/>
      <c r="J39" s="46"/>
      <c r="K39" s="46"/>
      <c r="L39" s="46"/>
      <c r="M39" s="46"/>
      <c r="N39" s="27"/>
      <c r="O39" s="6"/>
    </row>
    <row r="40" spans="1:15" ht="15.75">
      <c r="A40" s="26"/>
      <c r="B40" s="27" t="s">
        <v>26</v>
      </c>
      <c r="C40" s="27"/>
      <c r="D40" s="27"/>
      <c r="E40" s="27"/>
      <c r="F40" s="27"/>
      <c r="G40" s="44"/>
      <c r="H40" s="27"/>
      <c r="I40" s="44"/>
      <c r="J40" s="27"/>
      <c r="K40" s="27"/>
      <c r="L40" s="27"/>
      <c r="M40" s="45">
        <f>(I30)/(E30+G30)</f>
        <v>0.10497237569060773</v>
      </c>
      <c r="N40" s="27"/>
      <c r="O40" s="6"/>
    </row>
    <row r="41" spans="1:15" ht="15.75">
      <c r="A41" s="26"/>
      <c r="B41" s="27" t="s">
        <v>27</v>
      </c>
      <c r="C41" s="27"/>
      <c r="D41" s="27"/>
      <c r="E41" s="27"/>
      <c r="F41" s="27"/>
      <c r="G41" s="47"/>
      <c r="H41" s="27"/>
      <c r="I41" s="47"/>
      <c r="J41" s="27"/>
      <c r="K41" s="27"/>
      <c r="L41" s="27"/>
      <c r="M41" s="45">
        <f>(I32)/(E32+G32)</f>
        <v>0.15245706995469385</v>
      </c>
      <c r="N41" s="27"/>
      <c r="O41" s="6"/>
    </row>
    <row r="42" spans="1:15" ht="15.75">
      <c r="A42" s="26"/>
      <c r="B42" s="27" t="s">
        <v>28</v>
      </c>
      <c r="C42" s="27"/>
      <c r="D42" s="27"/>
      <c r="E42" s="27"/>
      <c r="F42" s="27"/>
      <c r="G42" s="27"/>
      <c r="H42" s="27"/>
      <c r="I42" s="27"/>
      <c r="J42" s="27"/>
      <c r="K42" s="34" t="s">
        <v>177</v>
      </c>
      <c r="L42" s="34" t="s">
        <v>187</v>
      </c>
      <c r="M42" s="35">
        <f>M30/2-I30</f>
        <v>101250</v>
      </c>
      <c r="N42" s="27"/>
      <c r="O42" s="6"/>
    </row>
    <row r="43" spans="1:15" ht="15.75">
      <c r="A43" s="26"/>
      <c r="B43" s="27"/>
      <c r="C43" s="27"/>
      <c r="D43" s="27"/>
      <c r="E43" s="27"/>
      <c r="F43" s="27"/>
      <c r="G43" s="27"/>
      <c r="H43" s="27"/>
      <c r="I43" s="27"/>
      <c r="J43" s="27"/>
      <c r="K43" s="27" t="s">
        <v>178</v>
      </c>
      <c r="L43" s="27"/>
      <c r="M43" s="48"/>
      <c r="N43" s="27"/>
      <c r="O43" s="6"/>
    </row>
    <row r="44" spans="1:15" ht="15.75">
      <c r="A44" s="26"/>
      <c r="B44" s="27" t="s">
        <v>29</v>
      </c>
      <c r="C44" s="27"/>
      <c r="D44" s="27"/>
      <c r="E44" s="27"/>
      <c r="F44" s="27"/>
      <c r="G44" s="27"/>
      <c r="H44" s="27"/>
      <c r="I44" s="27"/>
      <c r="J44" s="27"/>
      <c r="K44" s="34"/>
      <c r="L44" s="34"/>
      <c r="M44" s="34" t="s">
        <v>191</v>
      </c>
      <c r="N44" s="27"/>
      <c r="O44" s="6"/>
    </row>
    <row r="45" spans="1:15" ht="15.75">
      <c r="A45" s="26"/>
      <c r="B45" s="32" t="s">
        <v>30</v>
      </c>
      <c r="C45" s="32"/>
      <c r="D45" s="32"/>
      <c r="E45" s="32"/>
      <c r="F45" s="32"/>
      <c r="G45" s="32"/>
      <c r="H45" s="32"/>
      <c r="I45" s="32"/>
      <c r="J45" s="32"/>
      <c r="K45" s="49"/>
      <c r="L45" s="49"/>
      <c r="M45" s="50">
        <v>38783</v>
      </c>
      <c r="N45" s="27"/>
      <c r="O45" s="6"/>
    </row>
    <row r="46" spans="1:15" ht="15.75">
      <c r="A46" s="26"/>
      <c r="B46" s="27" t="s">
        <v>31</v>
      </c>
      <c r="C46" s="27"/>
      <c r="D46" s="27"/>
      <c r="E46" s="27"/>
      <c r="F46" s="27"/>
      <c r="G46" s="27"/>
      <c r="H46" s="27"/>
      <c r="I46" s="27"/>
      <c r="J46" s="27">
        <f>M46-K46+1</f>
        <v>91</v>
      </c>
      <c r="K46" s="51">
        <v>38602</v>
      </c>
      <c r="L46" s="52"/>
      <c r="M46" s="51">
        <v>38692</v>
      </c>
      <c r="N46" s="27"/>
      <c r="O46" s="6"/>
    </row>
    <row r="47" spans="1:15" ht="15.75">
      <c r="A47" s="26"/>
      <c r="B47" s="27" t="s">
        <v>32</v>
      </c>
      <c r="C47" s="27"/>
      <c r="D47" s="27"/>
      <c r="E47" s="27"/>
      <c r="F47" s="27"/>
      <c r="G47" s="27"/>
      <c r="H47" s="27"/>
      <c r="I47" s="27"/>
      <c r="J47" s="27">
        <f>M47-K47+1</f>
        <v>90</v>
      </c>
      <c r="K47" s="51">
        <v>38693</v>
      </c>
      <c r="L47" s="52"/>
      <c r="M47" s="51">
        <v>38782</v>
      </c>
      <c r="N47" s="27"/>
      <c r="O47" s="6"/>
    </row>
    <row r="48" spans="1:15" ht="15.75">
      <c r="A48" s="26"/>
      <c r="B48" s="27" t="s">
        <v>33</v>
      </c>
      <c r="C48" s="27"/>
      <c r="D48" s="27"/>
      <c r="E48" s="27"/>
      <c r="F48" s="27"/>
      <c r="G48" s="27"/>
      <c r="H48" s="27"/>
      <c r="I48" s="27"/>
      <c r="J48" s="27"/>
      <c r="K48" s="51"/>
      <c r="L48" s="52"/>
      <c r="M48" s="51" t="s">
        <v>192</v>
      </c>
      <c r="N48" s="27"/>
      <c r="O48" s="6"/>
    </row>
    <row r="49" spans="1:15" ht="15.75">
      <c r="A49" s="26"/>
      <c r="B49" s="27" t="s">
        <v>34</v>
      </c>
      <c r="C49" s="27"/>
      <c r="D49" s="27"/>
      <c r="E49" s="27"/>
      <c r="F49" s="27"/>
      <c r="G49" s="27"/>
      <c r="H49" s="27"/>
      <c r="I49" s="27"/>
      <c r="J49" s="27"/>
      <c r="K49" s="51"/>
      <c r="L49" s="52"/>
      <c r="M49" s="51">
        <v>38777</v>
      </c>
      <c r="N49" s="27"/>
      <c r="O49" s="6"/>
    </row>
    <row r="50" spans="1:15" ht="15.75">
      <c r="A50" s="26"/>
      <c r="B50" s="27"/>
      <c r="C50" s="27"/>
      <c r="D50" s="27"/>
      <c r="E50" s="27"/>
      <c r="F50" s="27"/>
      <c r="G50" s="27"/>
      <c r="H50" s="27"/>
      <c r="I50" s="27"/>
      <c r="J50" s="27"/>
      <c r="K50" s="51"/>
      <c r="L50" s="52"/>
      <c r="M50" s="51"/>
      <c r="N50" s="27"/>
      <c r="O50" s="6"/>
    </row>
    <row r="51" spans="1:15" ht="15.75">
      <c r="A51" s="7"/>
      <c r="B51" s="9"/>
      <c r="C51" s="9"/>
      <c r="D51" s="9"/>
      <c r="E51" s="9"/>
      <c r="F51" s="9"/>
      <c r="G51" s="9"/>
      <c r="H51" s="9"/>
      <c r="I51" s="9"/>
      <c r="J51" s="9"/>
      <c r="K51" s="53"/>
      <c r="L51" s="54"/>
      <c r="M51" s="53"/>
      <c r="N51" s="9"/>
      <c r="O51" s="6"/>
    </row>
    <row r="52" spans="1:15" ht="19.5" thickBot="1">
      <c r="A52" s="117"/>
      <c r="B52" s="118" t="s">
        <v>237</v>
      </c>
      <c r="C52" s="119"/>
      <c r="D52" s="119"/>
      <c r="E52" s="119"/>
      <c r="F52" s="119"/>
      <c r="G52" s="119"/>
      <c r="H52" s="119"/>
      <c r="I52" s="119"/>
      <c r="J52" s="119"/>
      <c r="K52" s="119"/>
      <c r="L52" s="119"/>
      <c r="M52" s="120"/>
      <c r="N52" s="121"/>
      <c r="O52" s="6"/>
    </row>
    <row r="53" spans="1:15" ht="15.75">
      <c r="A53" s="2"/>
      <c r="B53" s="5"/>
      <c r="C53" s="5"/>
      <c r="D53" s="5"/>
      <c r="E53" s="5"/>
      <c r="F53" s="5"/>
      <c r="G53" s="5"/>
      <c r="H53" s="5"/>
      <c r="I53" s="5"/>
      <c r="J53" s="5"/>
      <c r="K53" s="5"/>
      <c r="L53" s="5"/>
      <c r="M53" s="56"/>
      <c r="N53" s="5"/>
      <c r="O53" s="6"/>
    </row>
    <row r="54" spans="1:15" ht="15.75">
      <c r="A54" s="7"/>
      <c r="B54" s="57" t="s">
        <v>36</v>
      </c>
      <c r="C54" s="15"/>
      <c r="D54" s="15"/>
      <c r="E54" s="9"/>
      <c r="F54" s="9"/>
      <c r="G54" s="9"/>
      <c r="H54" s="9"/>
      <c r="I54" s="9"/>
      <c r="J54" s="9"/>
      <c r="K54" s="9"/>
      <c r="L54" s="9"/>
      <c r="M54" s="58"/>
      <c r="N54" s="9"/>
      <c r="O54" s="6"/>
    </row>
    <row r="55" spans="1:15" ht="15.75">
      <c r="A55" s="7"/>
      <c r="B55" s="15"/>
      <c r="C55" s="15"/>
      <c r="D55" s="15"/>
      <c r="E55" s="9"/>
      <c r="F55" s="9"/>
      <c r="G55" s="9"/>
      <c r="H55" s="9"/>
      <c r="I55" s="9"/>
      <c r="J55" s="9"/>
      <c r="K55" s="9"/>
      <c r="L55" s="9"/>
      <c r="M55" s="58"/>
      <c r="N55" s="9"/>
      <c r="O55" s="6"/>
    </row>
    <row r="56" spans="1:15" ht="47.25">
      <c r="A56" s="7"/>
      <c r="B56" s="134" t="s">
        <v>37</v>
      </c>
      <c r="C56" s="135" t="s">
        <v>144</v>
      </c>
      <c r="D56" s="135"/>
      <c r="E56" s="135" t="s">
        <v>153</v>
      </c>
      <c r="F56" s="135"/>
      <c r="G56" s="135" t="s">
        <v>161</v>
      </c>
      <c r="H56" s="135"/>
      <c r="I56" s="135" t="s">
        <v>171</v>
      </c>
      <c r="J56" s="135"/>
      <c r="K56" s="135" t="s">
        <v>179</v>
      </c>
      <c r="L56" s="135"/>
      <c r="M56" s="136" t="s">
        <v>193</v>
      </c>
      <c r="N56" s="137"/>
      <c r="O56" s="6"/>
    </row>
    <row r="57" spans="1:15" ht="15.75">
      <c r="A57" s="26"/>
      <c r="B57" s="27" t="s">
        <v>38</v>
      </c>
      <c r="C57" s="38">
        <v>249994</v>
      </c>
      <c r="D57" s="38"/>
      <c r="E57" s="59">
        <v>194558</v>
      </c>
      <c r="F57" s="38"/>
      <c r="G57" s="38">
        <f>15026+1323</f>
        <v>16349</v>
      </c>
      <c r="H57" s="38"/>
      <c r="I57" s="38">
        <v>1323</v>
      </c>
      <c r="J57" s="38"/>
      <c r="K57" s="38">
        <v>0</v>
      </c>
      <c r="L57" s="38"/>
      <c r="M57" s="59">
        <f>E57-G57+I57-K57</f>
        <v>179532</v>
      </c>
      <c r="N57" s="27"/>
      <c r="O57" s="6"/>
    </row>
    <row r="58" spans="1:15" ht="15.75">
      <c r="A58" s="26"/>
      <c r="B58" s="27" t="s">
        <v>39</v>
      </c>
      <c r="C58" s="38">
        <v>6</v>
      </c>
      <c r="D58" s="38"/>
      <c r="E58" s="59">
        <v>0</v>
      </c>
      <c r="F58" s="38"/>
      <c r="G58" s="38">
        <v>0</v>
      </c>
      <c r="H58" s="38"/>
      <c r="I58" s="38">
        <v>0</v>
      </c>
      <c r="J58" s="38"/>
      <c r="K58" s="38">
        <v>0</v>
      </c>
      <c r="L58" s="38"/>
      <c r="M58" s="59">
        <f>E58-G58</f>
        <v>0</v>
      </c>
      <c r="N58" s="27"/>
      <c r="O58" s="6"/>
    </row>
    <row r="59" spans="1:15" ht="15.75">
      <c r="A59" s="26"/>
      <c r="B59" s="27"/>
      <c r="C59" s="38"/>
      <c r="D59" s="38"/>
      <c r="E59" s="59"/>
      <c r="F59" s="38"/>
      <c r="G59" s="38"/>
      <c r="H59" s="38"/>
      <c r="I59" s="38"/>
      <c r="J59" s="38"/>
      <c r="K59" s="38"/>
      <c r="L59" s="38"/>
      <c r="M59" s="59"/>
      <c r="N59" s="27"/>
      <c r="O59" s="6"/>
    </row>
    <row r="60" spans="1:15" ht="15.75">
      <c r="A60" s="26"/>
      <c r="B60" s="27" t="s">
        <v>40</v>
      </c>
      <c r="C60" s="38">
        <f>SUM(C57:C59)</f>
        <v>250000</v>
      </c>
      <c r="D60" s="38"/>
      <c r="E60" s="60">
        <f>E57+E58</f>
        <v>194558</v>
      </c>
      <c r="F60" s="38"/>
      <c r="G60" s="38">
        <f>SUM(G57:G59)</f>
        <v>16349</v>
      </c>
      <c r="H60" s="38"/>
      <c r="I60" s="38">
        <f>SUM(I57:I59)</f>
        <v>1323</v>
      </c>
      <c r="J60" s="38"/>
      <c r="K60" s="38">
        <f>SUM(K57:K59)</f>
        <v>0</v>
      </c>
      <c r="L60" s="38"/>
      <c r="M60" s="60">
        <f>SUM(M57:M59)</f>
        <v>179532</v>
      </c>
      <c r="N60" s="27"/>
      <c r="O60" s="6"/>
    </row>
    <row r="61" spans="1:15" ht="15.75">
      <c r="A61" s="26"/>
      <c r="B61" s="27"/>
      <c r="C61" s="38"/>
      <c r="D61" s="38"/>
      <c r="E61" s="38"/>
      <c r="F61" s="38"/>
      <c r="G61" s="38"/>
      <c r="H61" s="38"/>
      <c r="I61" s="38"/>
      <c r="J61" s="38"/>
      <c r="K61" s="38"/>
      <c r="L61" s="38"/>
      <c r="M61" s="60"/>
      <c r="N61" s="27"/>
      <c r="O61" s="6"/>
    </row>
    <row r="62" spans="1:15" ht="15.75">
      <c r="A62" s="7"/>
      <c r="B62" s="129" t="s">
        <v>41</v>
      </c>
      <c r="C62" s="61"/>
      <c r="D62" s="61"/>
      <c r="E62" s="61"/>
      <c r="F62" s="61"/>
      <c r="G62" s="61"/>
      <c r="H62" s="61"/>
      <c r="I62" s="61"/>
      <c r="J62" s="61"/>
      <c r="K62" s="61"/>
      <c r="L62" s="61"/>
      <c r="M62" s="62"/>
      <c r="N62" s="9"/>
      <c r="O62" s="6"/>
    </row>
    <row r="63" spans="1:15" ht="15.75">
      <c r="A63" s="7"/>
      <c r="B63" s="9"/>
      <c r="C63" s="61"/>
      <c r="D63" s="61"/>
      <c r="E63" s="61"/>
      <c r="F63" s="61"/>
      <c r="G63" s="61"/>
      <c r="H63" s="61"/>
      <c r="I63" s="61"/>
      <c r="J63" s="61"/>
      <c r="K63" s="61"/>
      <c r="L63" s="61"/>
      <c r="M63" s="62"/>
      <c r="N63" s="9"/>
      <c r="O63" s="6"/>
    </row>
    <row r="64" spans="1:15" ht="15.75">
      <c r="A64" s="26"/>
      <c r="B64" s="27" t="s">
        <v>38</v>
      </c>
      <c r="C64" s="38"/>
      <c r="D64" s="38"/>
      <c r="E64" s="38"/>
      <c r="F64" s="38"/>
      <c r="G64" s="38"/>
      <c r="H64" s="38"/>
      <c r="I64" s="38"/>
      <c r="J64" s="38"/>
      <c r="K64" s="38"/>
      <c r="L64" s="38"/>
      <c r="M64" s="60"/>
      <c r="N64" s="27"/>
      <c r="O64" s="6"/>
    </row>
    <row r="65" spans="1:15" ht="15.75">
      <c r="A65" s="26"/>
      <c r="B65" s="27" t="s">
        <v>39</v>
      </c>
      <c r="C65" s="38"/>
      <c r="D65" s="38"/>
      <c r="E65" s="38"/>
      <c r="F65" s="38"/>
      <c r="G65" s="38"/>
      <c r="H65" s="38"/>
      <c r="I65" s="38"/>
      <c r="J65" s="38"/>
      <c r="K65" s="38"/>
      <c r="L65" s="38"/>
      <c r="M65" s="60"/>
      <c r="N65" s="27"/>
      <c r="O65" s="6"/>
    </row>
    <row r="66" spans="1:15" ht="15.75">
      <c r="A66" s="26"/>
      <c r="B66" s="27"/>
      <c r="C66" s="38"/>
      <c r="D66" s="38"/>
      <c r="E66" s="38"/>
      <c r="F66" s="38"/>
      <c r="G66" s="38"/>
      <c r="H66" s="38"/>
      <c r="I66" s="38"/>
      <c r="J66" s="38"/>
      <c r="K66" s="38"/>
      <c r="L66" s="38"/>
      <c r="M66" s="60"/>
      <c r="N66" s="27"/>
      <c r="O66" s="6"/>
    </row>
    <row r="67" spans="1:15" ht="15.75">
      <c r="A67" s="26"/>
      <c r="B67" s="27" t="s">
        <v>40</v>
      </c>
      <c r="C67" s="38"/>
      <c r="D67" s="38"/>
      <c r="E67" s="38"/>
      <c r="F67" s="38"/>
      <c r="G67" s="38"/>
      <c r="H67" s="38"/>
      <c r="I67" s="38"/>
      <c r="J67" s="38"/>
      <c r="K67" s="38"/>
      <c r="L67" s="38"/>
      <c r="M67" s="38"/>
      <c r="N67" s="27"/>
      <c r="O67" s="6"/>
    </row>
    <row r="68" spans="1:15" ht="15.75">
      <c r="A68" s="26"/>
      <c r="B68" s="27"/>
      <c r="C68" s="38"/>
      <c r="D68" s="38"/>
      <c r="E68" s="38"/>
      <c r="F68" s="38"/>
      <c r="G68" s="38"/>
      <c r="H68" s="38"/>
      <c r="I68" s="38"/>
      <c r="J68" s="38"/>
      <c r="K68" s="38"/>
      <c r="L68" s="38"/>
      <c r="M68" s="38"/>
      <c r="N68" s="27"/>
      <c r="O68" s="6"/>
    </row>
    <row r="69" spans="1:15" ht="15.75">
      <c r="A69" s="26"/>
      <c r="B69" s="27" t="s">
        <v>42</v>
      </c>
      <c r="C69" s="38">
        <v>0</v>
      </c>
      <c r="D69" s="38"/>
      <c r="E69" s="38">
        <v>0</v>
      </c>
      <c r="F69" s="38"/>
      <c r="G69" s="38"/>
      <c r="H69" s="38"/>
      <c r="I69" s="38"/>
      <c r="J69" s="38"/>
      <c r="K69" s="38"/>
      <c r="L69" s="38"/>
      <c r="M69" s="59">
        <f>E69-G69+I69-K69</f>
        <v>0</v>
      </c>
      <c r="N69" s="27"/>
      <c r="O69" s="6"/>
    </row>
    <row r="70" spans="1:15" ht="15.75">
      <c r="A70" s="26"/>
      <c r="B70" s="27" t="s">
        <v>198</v>
      </c>
      <c r="C70" s="38">
        <v>0</v>
      </c>
      <c r="D70" s="38"/>
      <c r="E70" s="38">
        <v>0</v>
      </c>
      <c r="F70" s="38"/>
      <c r="G70" s="38"/>
      <c r="H70" s="38"/>
      <c r="I70" s="38"/>
      <c r="J70" s="38"/>
      <c r="K70" s="38"/>
      <c r="L70" s="38"/>
      <c r="M70" s="60">
        <v>0</v>
      </c>
      <c r="N70" s="27"/>
      <c r="O70" s="6"/>
    </row>
    <row r="71" spans="1:15" ht="15.75">
      <c r="A71" s="26"/>
      <c r="B71" s="27" t="s">
        <v>44</v>
      </c>
      <c r="C71" s="38">
        <v>0</v>
      </c>
      <c r="D71" s="38"/>
      <c r="E71" s="38">
        <v>0</v>
      </c>
      <c r="F71" s="38"/>
      <c r="G71" s="38"/>
      <c r="H71" s="38"/>
      <c r="I71" s="38"/>
      <c r="J71" s="38"/>
      <c r="K71" s="38"/>
      <c r="L71" s="38"/>
      <c r="M71" s="60">
        <v>0</v>
      </c>
      <c r="N71" s="27"/>
      <c r="O71" s="6"/>
    </row>
    <row r="72" spans="1:15" ht="15.75">
      <c r="A72" s="26"/>
      <c r="B72" s="27" t="s">
        <v>45</v>
      </c>
      <c r="C72" s="60">
        <f>SUM(C60:C71)</f>
        <v>250000</v>
      </c>
      <c r="D72" s="60"/>
      <c r="E72" s="60">
        <f>SUM(E60:E71)</f>
        <v>194558</v>
      </c>
      <c r="F72" s="38"/>
      <c r="G72" s="60"/>
      <c r="H72" s="38"/>
      <c r="I72" s="60"/>
      <c r="J72" s="38"/>
      <c r="K72" s="60"/>
      <c r="L72" s="38"/>
      <c r="M72" s="60">
        <f>SUM(M60:M71)</f>
        <v>179532</v>
      </c>
      <c r="N72" s="27"/>
      <c r="O72" s="6"/>
    </row>
    <row r="73" spans="1:15" ht="15.75">
      <c r="A73" s="26"/>
      <c r="B73" s="27"/>
      <c r="C73" s="38"/>
      <c r="D73" s="38"/>
      <c r="E73" s="38"/>
      <c r="F73" s="38"/>
      <c r="G73" s="38"/>
      <c r="H73" s="38"/>
      <c r="I73" s="38"/>
      <c r="J73" s="38"/>
      <c r="K73" s="38"/>
      <c r="L73" s="38"/>
      <c r="M73" s="60"/>
      <c r="N73" s="27"/>
      <c r="O73" s="6"/>
    </row>
    <row r="74" spans="1:15" ht="15.75">
      <c r="A74" s="7"/>
      <c r="B74" s="9"/>
      <c r="C74" s="9"/>
      <c r="D74" s="9"/>
      <c r="E74" s="9"/>
      <c r="F74" s="9"/>
      <c r="G74" s="9"/>
      <c r="H74" s="9"/>
      <c r="I74" s="9"/>
      <c r="J74" s="9"/>
      <c r="K74" s="9"/>
      <c r="L74" s="9"/>
      <c r="M74" s="9"/>
      <c r="N74" s="9"/>
      <c r="O74" s="6"/>
    </row>
    <row r="75" spans="1:15" ht="15.75">
      <c r="A75" s="7"/>
      <c r="B75" s="57" t="s">
        <v>46</v>
      </c>
      <c r="C75" s="16"/>
      <c r="D75" s="16"/>
      <c r="E75" s="16"/>
      <c r="F75" s="16"/>
      <c r="G75" s="16" t="s">
        <v>145</v>
      </c>
      <c r="H75" s="16"/>
      <c r="I75" s="173">
        <f>+K161</f>
        <v>38776</v>
      </c>
      <c r="J75" s="19"/>
      <c r="K75" s="19" t="s">
        <v>180</v>
      </c>
      <c r="L75" s="19"/>
      <c r="M75" s="19" t="s">
        <v>194</v>
      </c>
      <c r="N75" s="9"/>
      <c r="O75" s="6"/>
    </row>
    <row r="76" spans="1:15" ht="15.75">
      <c r="A76" s="26"/>
      <c r="B76" s="27" t="s">
        <v>47</v>
      </c>
      <c r="C76" s="27"/>
      <c r="D76" s="27"/>
      <c r="E76" s="27"/>
      <c r="F76" s="27"/>
      <c r="G76" s="27"/>
      <c r="H76" s="27"/>
      <c r="I76" s="27"/>
      <c r="J76" s="27"/>
      <c r="K76" s="38">
        <v>0</v>
      </c>
      <c r="L76" s="27"/>
      <c r="M76" s="59">
        <v>0</v>
      </c>
      <c r="N76" s="27"/>
      <c r="O76" s="6"/>
    </row>
    <row r="77" spans="1:15" ht="15.75">
      <c r="A77" s="26"/>
      <c r="B77" s="27" t="s">
        <v>48</v>
      </c>
      <c r="C77" s="46"/>
      <c r="D77" s="149"/>
      <c r="E77" s="63"/>
      <c r="F77" s="27"/>
      <c r="G77" s="27"/>
      <c r="H77" s="27"/>
      <c r="I77" s="27"/>
      <c r="J77" s="27"/>
      <c r="K77" s="38">
        <v>16349</v>
      </c>
      <c r="L77" s="27"/>
      <c r="M77" s="59"/>
      <c r="N77" s="27"/>
      <c r="O77" s="6"/>
    </row>
    <row r="78" spans="1:15" ht="15.75">
      <c r="A78" s="26"/>
      <c r="B78" s="27" t="s">
        <v>236</v>
      </c>
      <c r="C78" s="46"/>
      <c r="D78" s="149"/>
      <c r="E78" s="63"/>
      <c r="F78" s="27"/>
      <c r="G78" s="27"/>
      <c r="H78" s="27"/>
      <c r="I78" s="27"/>
      <c r="J78" s="27"/>
      <c r="K78" s="38"/>
      <c r="L78" s="27"/>
      <c r="M78" s="59">
        <f>1185+1167+1050-700</f>
        <v>2702</v>
      </c>
      <c r="N78" s="27"/>
      <c r="O78" s="6"/>
    </row>
    <row r="79" spans="1:15" ht="15.75">
      <c r="A79" s="26"/>
      <c r="B79" s="27" t="s">
        <v>228</v>
      </c>
      <c r="C79" s="46"/>
      <c r="D79" s="149"/>
      <c r="E79" s="63"/>
      <c r="F79" s="27"/>
      <c r="G79" s="27"/>
      <c r="H79" s="27"/>
      <c r="I79" s="27"/>
      <c r="J79" s="27"/>
      <c r="K79" s="38"/>
      <c r="L79" s="27"/>
      <c r="M79" s="59">
        <f>33+49+41</f>
        <v>123</v>
      </c>
      <c r="N79" s="27"/>
      <c r="O79" s="6"/>
    </row>
    <row r="80" spans="1:15" ht="15.75">
      <c r="A80" s="26"/>
      <c r="B80" s="27" t="s">
        <v>227</v>
      </c>
      <c r="C80" s="46"/>
      <c r="D80" s="149"/>
      <c r="E80" s="63"/>
      <c r="F80" s="27"/>
      <c r="G80" s="27"/>
      <c r="H80" s="27"/>
      <c r="I80" s="27"/>
      <c r="J80" s="27"/>
      <c r="K80" s="38"/>
      <c r="L80" s="27"/>
      <c r="M80" s="59">
        <f>80+43+59</f>
        <v>182</v>
      </c>
      <c r="N80" s="27"/>
      <c r="O80" s="6"/>
    </row>
    <row r="81" spans="1:15" ht="15.75">
      <c r="A81" s="26"/>
      <c r="B81" s="27" t="s">
        <v>235</v>
      </c>
      <c r="C81" s="46"/>
      <c r="D81" s="149"/>
      <c r="E81" s="63"/>
      <c r="F81" s="27"/>
      <c r="G81" s="27"/>
      <c r="H81" s="27"/>
      <c r="I81" s="27"/>
      <c r="J81" s="27"/>
      <c r="K81" s="38"/>
      <c r="L81" s="27"/>
      <c r="M81" s="59">
        <v>0</v>
      </c>
      <c r="N81" s="27"/>
      <c r="O81" s="6"/>
    </row>
    <row r="82" spans="1:15" ht="15.75">
      <c r="A82" s="26"/>
      <c r="B82" s="27" t="s">
        <v>229</v>
      </c>
      <c r="C82" s="27"/>
      <c r="D82" s="27"/>
      <c r="E82" s="27"/>
      <c r="F82" s="27"/>
      <c r="G82" s="27"/>
      <c r="H82" s="27"/>
      <c r="I82" s="27"/>
      <c r="J82" s="27"/>
      <c r="K82" s="38"/>
      <c r="L82" s="27"/>
      <c r="M82" s="59">
        <v>0</v>
      </c>
      <c r="N82" s="27"/>
      <c r="O82" s="6"/>
    </row>
    <row r="83" spans="1:15" ht="15.75">
      <c r="A83" s="26"/>
      <c r="B83" s="27" t="s">
        <v>51</v>
      </c>
      <c r="C83" s="27"/>
      <c r="D83" s="27"/>
      <c r="E83" s="27"/>
      <c r="F83" s="27"/>
      <c r="G83" s="27"/>
      <c r="H83" s="27"/>
      <c r="I83" s="27"/>
      <c r="J83" s="27"/>
      <c r="K83" s="38">
        <f>SUM(K76:K82)</f>
        <v>16349</v>
      </c>
      <c r="L83" s="27"/>
      <c r="M83" s="60">
        <f>SUM(M76:M82)</f>
        <v>3007</v>
      </c>
      <c r="N83" s="27"/>
      <c r="O83" s="6"/>
    </row>
    <row r="84" spans="1:15" ht="15.75">
      <c r="A84" s="26"/>
      <c r="B84" s="27" t="s">
        <v>52</v>
      </c>
      <c r="C84" s="27"/>
      <c r="D84" s="27"/>
      <c r="E84" s="27"/>
      <c r="F84" s="27"/>
      <c r="G84" s="27"/>
      <c r="H84" s="27"/>
      <c r="I84" s="27"/>
      <c r="J84" s="27"/>
      <c r="K84" s="38">
        <v>0</v>
      </c>
      <c r="L84" s="27"/>
      <c r="M84" s="59">
        <v>0</v>
      </c>
      <c r="N84" s="27"/>
      <c r="O84" s="6"/>
    </row>
    <row r="85" spans="1:15" ht="15.75">
      <c r="A85" s="26"/>
      <c r="B85" s="27" t="s">
        <v>53</v>
      </c>
      <c r="C85" s="27"/>
      <c r="D85" s="27"/>
      <c r="E85" s="27"/>
      <c r="F85" s="27"/>
      <c r="G85" s="27"/>
      <c r="H85" s="27"/>
      <c r="I85" s="27"/>
      <c r="J85" s="27"/>
      <c r="K85" s="38">
        <f>K83+K84</f>
        <v>16349</v>
      </c>
      <c r="L85" s="27"/>
      <c r="M85" s="60">
        <f>M83+M84</f>
        <v>3007</v>
      </c>
      <c r="N85" s="27"/>
      <c r="O85" s="6"/>
    </row>
    <row r="86" spans="1:15" ht="15.75">
      <c r="A86" s="26"/>
      <c r="B86" s="138" t="s">
        <v>54</v>
      </c>
      <c r="C86" s="64"/>
      <c r="D86" s="64"/>
      <c r="E86" s="27"/>
      <c r="F86" s="27"/>
      <c r="G86" s="27"/>
      <c r="H86" s="27"/>
      <c r="I86" s="27"/>
      <c r="J86" s="27"/>
      <c r="K86" s="38"/>
      <c r="L86" s="27"/>
      <c r="M86" s="59"/>
      <c r="N86" s="27"/>
      <c r="O86" s="6"/>
    </row>
    <row r="87" spans="1:15" ht="15.75">
      <c r="A87" s="26">
        <v>1</v>
      </c>
      <c r="B87" s="27" t="s">
        <v>55</v>
      </c>
      <c r="C87" s="27"/>
      <c r="D87" s="27"/>
      <c r="E87" s="27"/>
      <c r="F87" s="27"/>
      <c r="G87" s="27"/>
      <c r="H87" s="27"/>
      <c r="I87" s="27"/>
      <c r="J87" s="27"/>
      <c r="K87" s="27"/>
      <c r="L87" s="27"/>
      <c r="M87" s="59">
        <v>0</v>
      </c>
      <c r="N87" s="27"/>
      <c r="O87" s="6"/>
    </row>
    <row r="88" spans="1:15" ht="15.75">
      <c r="A88" s="26">
        <v>2</v>
      </c>
      <c r="B88" s="27" t="s">
        <v>56</v>
      </c>
      <c r="C88" s="27"/>
      <c r="D88" s="27"/>
      <c r="E88" s="27"/>
      <c r="F88" s="27"/>
      <c r="G88" s="27"/>
      <c r="H88" s="27"/>
      <c r="I88" s="27"/>
      <c r="J88" s="27"/>
      <c r="K88" s="27"/>
      <c r="L88" s="27"/>
      <c r="M88" s="59">
        <v>-2</v>
      </c>
      <c r="N88" s="27"/>
      <c r="O88" s="6"/>
    </row>
    <row r="89" spans="1:15" ht="15.75">
      <c r="A89" s="26">
        <v>3</v>
      </c>
      <c r="B89" s="27" t="s">
        <v>57</v>
      </c>
      <c r="C89" s="27"/>
      <c r="D89" s="27"/>
      <c r="E89" s="27"/>
      <c r="F89" s="27"/>
      <c r="G89" s="27"/>
      <c r="H89" s="27"/>
      <c r="I89" s="27"/>
      <c r="J89" s="27"/>
      <c r="K89" s="27"/>
      <c r="L89" s="27"/>
      <c r="M89" s="59">
        <f>-144-8-4</f>
        <v>-156</v>
      </c>
      <c r="N89" s="27"/>
      <c r="O89" s="6"/>
    </row>
    <row r="90" spans="1:15" ht="15.75">
      <c r="A90" s="26">
        <v>4</v>
      </c>
      <c r="B90" s="27" t="s">
        <v>197</v>
      </c>
      <c r="C90" s="27"/>
      <c r="D90" s="27"/>
      <c r="E90" s="27"/>
      <c r="F90" s="27"/>
      <c r="G90" s="27"/>
      <c r="H90" s="27"/>
      <c r="I90" s="27"/>
      <c r="J90" s="27"/>
      <c r="K90" s="27"/>
      <c r="L90" s="27"/>
      <c r="M90" s="59">
        <v>-20</v>
      </c>
      <c r="N90" s="27"/>
      <c r="O90" s="6"/>
    </row>
    <row r="91" spans="1:15" ht="15.75">
      <c r="A91" s="26">
        <v>5</v>
      </c>
      <c r="B91" s="27" t="s">
        <v>58</v>
      </c>
      <c r="C91" s="27"/>
      <c r="D91" s="27"/>
      <c r="E91" s="27"/>
      <c r="F91" s="27"/>
      <c r="G91" s="27"/>
      <c r="H91" s="27"/>
      <c r="I91" s="27"/>
      <c r="J91" s="27"/>
      <c r="K91" s="27"/>
      <c r="L91" s="27"/>
      <c r="M91" s="59">
        <v>-2086</v>
      </c>
      <c r="N91" s="27"/>
      <c r="O91" s="6"/>
    </row>
    <row r="92" spans="1:15" ht="15.75">
      <c r="A92" s="26">
        <v>6</v>
      </c>
      <c r="B92" s="27" t="s">
        <v>59</v>
      </c>
      <c r="C92" s="27"/>
      <c r="D92" s="27"/>
      <c r="E92" s="27"/>
      <c r="F92" s="27"/>
      <c r="G92" s="27"/>
      <c r="H92" s="27"/>
      <c r="I92" s="27"/>
      <c r="J92" s="27"/>
      <c r="K92" s="27"/>
      <c r="L92" s="27"/>
      <c r="M92" s="59">
        <v>-350</v>
      </c>
      <c r="N92" s="27"/>
      <c r="O92" s="6"/>
    </row>
    <row r="93" spans="1:15" ht="15.75">
      <c r="A93" s="26">
        <v>7</v>
      </c>
      <c r="B93" s="27" t="s">
        <v>60</v>
      </c>
      <c r="C93" s="27"/>
      <c r="D93" s="27"/>
      <c r="E93" s="27"/>
      <c r="F93" s="27"/>
      <c r="G93" s="27"/>
      <c r="H93" s="27"/>
      <c r="I93" s="27"/>
      <c r="J93" s="27"/>
      <c r="K93" s="27"/>
      <c r="L93" s="27"/>
      <c r="M93" s="59">
        <v>-5</v>
      </c>
      <c r="N93" s="27"/>
      <c r="O93" s="6"/>
    </row>
    <row r="94" spans="1:15" ht="15.75">
      <c r="A94" s="26">
        <v>8</v>
      </c>
      <c r="B94" s="27" t="s">
        <v>81</v>
      </c>
      <c r="C94" s="27"/>
      <c r="D94" s="27"/>
      <c r="E94" s="27"/>
      <c r="F94" s="27"/>
      <c r="G94" s="27"/>
      <c r="H94" s="27"/>
      <c r="I94" s="27"/>
      <c r="J94" s="27"/>
      <c r="K94" s="27"/>
      <c r="L94" s="27"/>
      <c r="M94" s="59">
        <v>0</v>
      </c>
      <c r="N94" s="27"/>
      <c r="O94" s="6"/>
    </row>
    <row r="95" spans="1:15" ht="15.75">
      <c r="A95" s="26">
        <v>9</v>
      </c>
      <c r="B95" s="27" t="s">
        <v>61</v>
      </c>
      <c r="C95" s="27"/>
      <c r="D95" s="27"/>
      <c r="E95" s="27"/>
      <c r="F95" s="27"/>
      <c r="G95" s="27"/>
      <c r="H95" s="27"/>
      <c r="I95" s="27"/>
      <c r="J95" s="27"/>
      <c r="K95" s="27"/>
      <c r="L95" s="27"/>
      <c r="M95" s="59">
        <v>0</v>
      </c>
      <c r="N95" s="27"/>
      <c r="O95" s="6"/>
    </row>
    <row r="96" spans="1:15" ht="15.75">
      <c r="A96" s="26">
        <v>10</v>
      </c>
      <c r="B96" s="27" t="s">
        <v>62</v>
      </c>
      <c r="C96" s="27"/>
      <c r="D96" s="27"/>
      <c r="E96" s="27"/>
      <c r="F96" s="27"/>
      <c r="G96" s="27"/>
      <c r="H96" s="27"/>
      <c r="I96" s="27"/>
      <c r="J96" s="27"/>
      <c r="K96" s="27"/>
      <c r="L96" s="27"/>
      <c r="M96" s="59">
        <v>0</v>
      </c>
      <c r="N96" s="27"/>
      <c r="O96" s="6"/>
    </row>
    <row r="97" spans="1:15" ht="15.75">
      <c r="A97" s="26">
        <v>11</v>
      </c>
      <c r="B97" s="27" t="s">
        <v>63</v>
      </c>
      <c r="C97" s="27"/>
      <c r="D97" s="27"/>
      <c r="E97" s="27"/>
      <c r="F97" s="27"/>
      <c r="G97" s="27"/>
      <c r="H97" s="27"/>
      <c r="I97" s="27"/>
      <c r="J97" s="27"/>
      <c r="K97" s="27"/>
      <c r="L97" s="27"/>
      <c r="M97" s="59">
        <v>0</v>
      </c>
      <c r="N97" s="27"/>
      <c r="O97" s="6"/>
    </row>
    <row r="98" spans="1:15" ht="15.75">
      <c r="A98" s="26">
        <v>12</v>
      </c>
      <c r="B98" s="27" t="s">
        <v>64</v>
      </c>
      <c r="C98" s="27"/>
      <c r="D98" s="27"/>
      <c r="E98" s="27"/>
      <c r="F98" s="27"/>
      <c r="G98" s="27"/>
      <c r="H98" s="27"/>
      <c r="I98" s="27"/>
      <c r="J98" s="27"/>
      <c r="K98" s="27"/>
      <c r="L98" s="27"/>
      <c r="M98" s="59">
        <f>-19-143</f>
        <v>-162</v>
      </c>
      <c r="N98" s="27"/>
      <c r="O98" s="6"/>
    </row>
    <row r="99" spans="1:15" ht="15.75">
      <c r="A99" s="26">
        <v>13</v>
      </c>
      <c r="B99" s="27" t="s">
        <v>65</v>
      </c>
      <c r="C99" s="27"/>
      <c r="D99" s="27"/>
      <c r="E99" s="27"/>
      <c r="F99" s="27"/>
      <c r="G99" s="27"/>
      <c r="H99" s="27"/>
      <c r="I99" s="27"/>
      <c r="J99" s="27"/>
      <c r="K99" s="27"/>
      <c r="L99" s="27"/>
      <c r="M99" s="59">
        <f>-M85-SUM(M87:M98)</f>
        <v>-226</v>
      </c>
      <c r="N99" s="27"/>
      <c r="O99" s="6"/>
    </row>
    <row r="100" spans="1:15" ht="15.75">
      <c r="A100" s="26"/>
      <c r="B100" s="138" t="s">
        <v>66</v>
      </c>
      <c r="C100" s="64"/>
      <c r="D100" s="64"/>
      <c r="E100" s="27"/>
      <c r="F100" s="27"/>
      <c r="G100" s="27"/>
      <c r="H100" s="27"/>
      <c r="I100" s="27"/>
      <c r="J100" s="27"/>
      <c r="K100" s="27"/>
      <c r="L100" s="27"/>
      <c r="M100" s="65"/>
      <c r="N100" s="27"/>
      <c r="O100" s="6"/>
    </row>
    <row r="101" spans="1:15" ht="15.75">
      <c r="A101" s="26"/>
      <c r="B101" s="27" t="s">
        <v>67</v>
      </c>
      <c r="C101" s="64"/>
      <c r="D101" s="64"/>
      <c r="E101" s="27"/>
      <c r="F101" s="27"/>
      <c r="G101" s="27"/>
      <c r="H101" s="27"/>
      <c r="I101" s="27"/>
      <c r="J101" s="27"/>
      <c r="K101" s="38">
        <f>-K147</f>
        <v>-79</v>
      </c>
      <c r="L101" s="38"/>
      <c r="M101" s="59"/>
      <c r="N101" s="27"/>
      <c r="O101" s="6"/>
    </row>
    <row r="102" spans="1:15" ht="15.75">
      <c r="A102" s="26"/>
      <c r="B102" s="27" t="s">
        <v>68</v>
      </c>
      <c r="C102" s="27"/>
      <c r="D102" s="27"/>
      <c r="E102" s="27"/>
      <c r="F102" s="27"/>
      <c r="G102" s="27"/>
      <c r="H102" s="27"/>
      <c r="I102" s="27"/>
      <c r="J102" s="27"/>
      <c r="K102" s="38">
        <f>-I147</f>
        <v>-1244</v>
      </c>
      <c r="L102" s="38"/>
      <c r="M102" s="59"/>
      <c r="N102" s="27"/>
      <c r="O102" s="6"/>
    </row>
    <row r="103" spans="1:15" ht="15.75">
      <c r="A103" s="26"/>
      <c r="B103" s="27" t="s">
        <v>69</v>
      </c>
      <c r="C103" s="27"/>
      <c r="D103" s="27"/>
      <c r="E103" s="27"/>
      <c r="F103" s="27"/>
      <c r="G103" s="27"/>
      <c r="H103" s="27"/>
      <c r="I103" s="27"/>
      <c r="J103" s="27"/>
      <c r="K103" s="38">
        <v>0</v>
      </c>
      <c r="L103" s="38"/>
      <c r="M103" s="59"/>
      <c r="N103" s="27"/>
      <c r="O103" s="6"/>
    </row>
    <row r="104" spans="1:15" ht="15.75">
      <c r="A104" s="26"/>
      <c r="B104" s="27" t="s">
        <v>70</v>
      </c>
      <c r="C104" s="27"/>
      <c r="D104" s="27"/>
      <c r="E104" s="27"/>
      <c r="F104" s="27"/>
      <c r="G104" s="27"/>
      <c r="H104" s="27"/>
      <c r="I104" s="27"/>
      <c r="J104" s="27"/>
      <c r="K104" s="38">
        <v>-15026</v>
      </c>
      <c r="L104" s="38"/>
      <c r="M104" s="59"/>
      <c r="N104" s="27"/>
      <c r="O104" s="6"/>
    </row>
    <row r="105" spans="1:15" ht="15.75">
      <c r="A105" s="26"/>
      <c r="B105" s="27" t="s">
        <v>71</v>
      </c>
      <c r="C105" s="27"/>
      <c r="D105" s="27"/>
      <c r="E105" s="27"/>
      <c r="F105" s="27"/>
      <c r="G105" s="27"/>
      <c r="H105" s="27"/>
      <c r="I105" s="27"/>
      <c r="J105" s="27"/>
      <c r="K105" s="38">
        <v>0</v>
      </c>
      <c r="L105" s="38"/>
      <c r="M105" s="59"/>
      <c r="N105" s="27"/>
      <c r="O105" s="6"/>
    </row>
    <row r="106" spans="1:15" ht="15.75">
      <c r="A106" s="26"/>
      <c r="B106" s="27" t="s">
        <v>72</v>
      </c>
      <c r="C106" s="27"/>
      <c r="D106" s="27"/>
      <c r="E106" s="27"/>
      <c r="F106" s="27"/>
      <c r="G106" s="27"/>
      <c r="H106" s="27"/>
      <c r="I106" s="27"/>
      <c r="J106" s="27"/>
      <c r="K106" s="38">
        <f>SUM(K86:K105)</f>
        <v>-16349</v>
      </c>
      <c r="L106" s="38"/>
      <c r="M106" s="38">
        <f>SUM(M86:M105)</f>
        <v>-3007</v>
      </c>
      <c r="N106" s="27"/>
      <c r="O106" s="6"/>
    </row>
    <row r="107" spans="1:15" ht="15.75">
      <c r="A107" s="26"/>
      <c r="B107" s="27" t="s">
        <v>73</v>
      </c>
      <c r="C107" s="27"/>
      <c r="D107" s="27"/>
      <c r="E107" s="27"/>
      <c r="F107" s="27"/>
      <c r="G107" s="27"/>
      <c r="H107" s="27"/>
      <c r="I107" s="27"/>
      <c r="J107" s="27"/>
      <c r="K107" s="38">
        <f>K85+K106</f>
        <v>0</v>
      </c>
      <c r="L107" s="38"/>
      <c r="M107" s="38">
        <f>M85+M106</f>
        <v>0</v>
      </c>
      <c r="N107" s="27"/>
      <c r="O107" s="6"/>
    </row>
    <row r="108" spans="1:15" ht="15.75">
      <c r="A108" s="26"/>
      <c r="B108" s="27"/>
      <c r="C108" s="27"/>
      <c r="D108" s="27"/>
      <c r="E108" s="27"/>
      <c r="F108" s="27"/>
      <c r="G108" s="27"/>
      <c r="H108" s="27"/>
      <c r="I108" s="27"/>
      <c r="J108" s="27"/>
      <c r="K108" s="38"/>
      <c r="L108" s="38"/>
      <c r="M108" s="38"/>
      <c r="N108" s="27"/>
      <c r="O108" s="6"/>
    </row>
    <row r="109" spans="1:15" ht="15.75">
      <c r="A109" s="7"/>
      <c r="B109" s="9"/>
      <c r="C109" s="9"/>
      <c r="D109" s="9"/>
      <c r="E109" s="9"/>
      <c r="F109" s="9"/>
      <c r="G109" s="9"/>
      <c r="H109" s="9"/>
      <c r="I109" s="9"/>
      <c r="J109" s="9"/>
      <c r="K109" s="9"/>
      <c r="L109" s="9"/>
      <c r="M109" s="58"/>
      <c r="N109" s="9"/>
      <c r="O109" s="6"/>
    </row>
    <row r="110" spans="1:15" ht="19.5" thickBot="1">
      <c r="A110" s="117"/>
      <c r="B110" s="118" t="str">
        <f>B52</f>
        <v>PM5 INVESTOR REPORT QUARTER ENDING FEBRUARY 2006</v>
      </c>
      <c r="C110" s="119"/>
      <c r="D110" s="119"/>
      <c r="E110" s="119"/>
      <c r="F110" s="119"/>
      <c r="G110" s="119"/>
      <c r="H110" s="119"/>
      <c r="I110" s="119"/>
      <c r="J110" s="119"/>
      <c r="K110" s="119"/>
      <c r="L110" s="119"/>
      <c r="M110" s="122"/>
      <c r="N110" s="121"/>
      <c r="O110" s="6"/>
    </row>
    <row r="111" spans="1:15" ht="15.75">
      <c r="A111" s="2"/>
      <c r="B111" s="66" t="s">
        <v>74</v>
      </c>
      <c r="C111" s="67"/>
      <c r="D111" s="67"/>
      <c r="E111" s="5"/>
      <c r="F111" s="5"/>
      <c r="G111" s="5"/>
      <c r="H111" s="5"/>
      <c r="I111" s="5"/>
      <c r="J111" s="5"/>
      <c r="K111" s="5"/>
      <c r="L111" s="5"/>
      <c r="M111" s="56"/>
      <c r="N111" s="5"/>
      <c r="O111" s="6"/>
    </row>
    <row r="112" spans="1:15" ht="15.75">
      <c r="A112" s="7"/>
      <c r="B112" s="23"/>
      <c r="C112" s="15"/>
      <c r="D112" s="15"/>
      <c r="E112" s="9"/>
      <c r="F112" s="9"/>
      <c r="G112" s="9"/>
      <c r="H112" s="9"/>
      <c r="I112" s="9"/>
      <c r="J112" s="9"/>
      <c r="K112" s="9"/>
      <c r="L112" s="9"/>
      <c r="M112" s="58"/>
      <c r="N112" s="9"/>
      <c r="O112" s="6"/>
    </row>
    <row r="113" spans="1:15" ht="15.75">
      <c r="A113" s="7"/>
      <c r="B113" s="139" t="s">
        <v>75</v>
      </c>
      <c r="C113" s="15"/>
      <c r="D113" s="15"/>
      <c r="E113" s="9"/>
      <c r="F113" s="9"/>
      <c r="G113" s="9"/>
      <c r="H113" s="9"/>
      <c r="I113" s="9"/>
      <c r="J113" s="9"/>
      <c r="K113" s="9"/>
      <c r="L113" s="9"/>
      <c r="M113" s="58"/>
      <c r="N113" s="9"/>
      <c r="O113" s="6"/>
    </row>
    <row r="114" spans="1:15" ht="15.75">
      <c r="A114" s="26"/>
      <c r="B114" s="27" t="s">
        <v>76</v>
      </c>
      <c r="C114" s="27"/>
      <c r="D114" s="27"/>
      <c r="E114" s="27"/>
      <c r="F114" s="27"/>
      <c r="G114" s="27"/>
      <c r="H114" s="27"/>
      <c r="I114" s="27"/>
      <c r="J114" s="27"/>
      <c r="K114" s="27"/>
      <c r="L114" s="27"/>
      <c r="M114" s="59">
        <v>4000</v>
      </c>
      <c r="N114" s="27"/>
      <c r="O114" s="6"/>
    </row>
    <row r="115" spans="1:15" ht="15.75">
      <c r="A115" s="26"/>
      <c r="B115" s="27" t="s">
        <v>77</v>
      </c>
      <c r="C115" s="27"/>
      <c r="D115" s="27"/>
      <c r="E115" s="27"/>
      <c r="F115" s="27"/>
      <c r="G115" s="27"/>
      <c r="H115" s="27"/>
      <c r="I115" s="27"/>
      <c r="J115" s="27"/>
      <c r="K115" s="27"/>
      <c r="L115" s="27"/>
      <c r="M115" s="59">
        <v>4000</v>
      </c>
      <c r="N115" s="27"/>
      <c r="O115" s="6"/>
    </row>
    <row r="116" spans="1:15" ht="15.75">
      <c r="A116" s="26"/>
      <c r="B116" s="27" t="s">
        <v>78</v>
      </c>
      <c r="C116" s="27"/>
      <c r="D116" s="27"/>
      <c r="E116" s="27"/>
      <c r="F116" s="27"/>
      <c r="G116" s="27"/>
      <c r="H116" s="27"/>
      <c r="I116" s="27"/>
      <c r="J116" s="27"/>
      <c r="K116" s="27"/>
      <c r="L116" s="27"/>
      <c r="M116" s="59">
        <v>0</v>
      </c>
      <c r="N116" s="27"/>
      <c r="O116" s="6"/>
    </row>
    <row r="117" spans="1:15" ht="15.75">
      <c r="A117" s="26"/>
      <c r="B117" s="27" t="s">
        <v>79</v>
      </c>
      <c r="C117" s="27"/>
      <c r="D117" s="27"/>
      <c r="E117" s="27"/>
      <c r="F117" s="27"/>
      <c r="G117" s="27"/>
      <c r="H117" s="27"/>
      <c r="I117" s="27"/>
      <c r="J117" s="27"/>
      <c r="K117" s="27"/>
      <c r="L117" s="27"/>
      <c r="M117" s="59">
        <v>0</v>
      </c>
      <c r="N117" s="27"/>
      <c r="O117" s="6"/>
    </row>
    <row r="118" spans="1:15" ht="15.75">
      <c r="A118" s="26"/>
      <c r="B118" s="27" t="s">
        <v>80</v>
      </c>
      <c r="C118" s="27"/>
      <c r="D118" s="27"/>
      <c r="E118" s="27"/>
      <c r="F118" s="27"/>
      <c r="G118" s="27"/>
      <c r="H118" s="27"/>
      <c r="I118" s="27"/>
      <c r="J118" s="27"/>
      <c r="K118" s="27"/>
      <c r="L118" s="27"/>
      <c r="M118" s="59">
        <v>0</v>
      </c>
      <c r="N118" s="27"/>
      <c r="O118" s="6"/>
    </row>
    <row r="119" spans="1:15" ht="15.75">
      <c r="A119" s="26"/>
      <c r="B119" s="27" t="s">
        <v>58</v>
      </c>
      <c r="C119" s="27"/>
      <c r="D119" s="27"/>
      <c r="E119" s="27"/>
      <c r="F119" s="27"/>
      <c r="G119" s="27"/>
      <c r="H119" s="27"/>
      <c r="I119" s="27"/>
      <c r="J119" s="27"/>
      <c r="K119" s="27"/>
      <c r="L119" s="27"/>
      <c r="M119" s="59">
        <v>0</v>
      </c>
      <c r="N119" s="27"/>
      <c r="O119" s="6"/>
    </row>
    <row r="120" spans="1:15" ht="15.75">
      <c r="A120" s="26"/>
      <c r="B120" s="27" t="s">
        <v>59</v>
      </c>
      <c r="C120" s="27"/>
      <c r="D120" s="27"/>
      <c r="E120" s="27"/>
      <c r="F120" s="27"/>
      <c r="G120" s="27"/>
      <c r="H120" s="27"/>
      <c r="I120" s="27"/>
      <c r="J120" s="27"/>
      <c r="K120" s="27"/>
      <c r="L120" s="27"/>
      <c r="M120" s="59">
        <v>0</v>
      </c>
      <c r="N120" s="27"/>
      <c r="O120" s="6"/>
    </row>
    <row r="121" spans="1:15" ht="15.75">
      <c r="A121" s="26"/>
      <c r="B121" s="27" t="s">
        <v>81</v>
      </c>
      <c r="C121" s="27"/>
      <c r="D121" s="27"/>
      <c r="E121" s="27"/>
      <c r="F121" s="27"/>
      <c r="G121" s="27"/>
      <c r="H121" s="27"/>
      <c r="I121" s="27"/>
      <c r="J121" s="27"/>
      <c r="K121" s="27"/>
      <c r="L121" s="27"/>
      <c r="M121" s="59">
        <v>0</v>
      </c>
      <c r="N121" s="27"/>
      <c r="O121" s="6"/>
    </row>
    <row r="122" spans="1:15" ht="15.75">
      <c r="A122" s="26"/>
      <c r="B122" s="27" t="s">
        <v>82</v>
      </c>
      <c r="C122" s="27"/>
      <c r="D122" s="27"/>
      <c r="E122" s="27"/>
      <c r="F122" s="27"/>
      <c r="G122" s="27"/>
      <c r="H122" s="27"/>
      <c r="I122" s="27"/>
      <c r="J122" s="27"/>
      <c r="K122" s="27"/>
      <c r="L122" s="27"/>
      <c r="M122" s="59">
        <f>SUM(M115:M121)</f>
        <v>4000</v>
      </c>
      <c r="N122" s="27"/>
      <c r="O122" s="6"/>
    </row>
    <row r="123" spans="1:15" ht="15.75">
      <c r="A123" s="26"/>
      <c r="B123" s="27"/>
      <c r="C123" s="27"/>
      <c r="D123" s="27"/>
      <c r="E123" s="27"/>
      <c r="F123" s="27"/>
      <c r="G123" s="27"/>
      <c r="H123" s="27"/>
      <c r="I123" s="27"/>
      <c r="J123" s="27"/>
      <c r="K123" s="27"/>
      <c r="L123" s="27"/>
      <c r="M123" s="68"/>
      <c r="N123" s="27"/>
      <c r="O123" s="6"/>
    </row>
    <row r="124" spans="1:15" ht="15.75">
      <c r="A124" s="7"/>
      <c r="B124" s="139" t="s">
        <v>43</v>
      </c>
      <c r="C124" s="9"/>
      <c r="D124" s="9"/>
      <c r="E124" s="9"/>
      <c r="F124" s="9"/>
      <c r="G124" s="9"/>
      <c r="H124" s="9"/>
      <c r="I124" s="9"/>
      <c r="J124" s="9"/>
      <c r="K124" s="9"/>
      <c r="L124" s="9"/>
      <c r="M124" s="58"/>
      <c r="N124" s="9"/>
      <c r="O124" s="6"/>
    </row>
    <row r="125" spans="1:15" ht="15.75">
      <c r="A125" s="26"/>
      <c r="B125" s="27" t="s">
        <v>83</v>
      </c>
      <c r="C125" s="27"/>
      <c r="D125" s="27"/>
      <c r="E125" s="69"/>
      <c r="F125" s="27"/>
      <c r="G125" s="27"/>
      <c r="H125" s="27"/>
      <c r="I125" s="27"/>
      <c r="J125" s="27"/>
      <c r="K125" s="27"/>
      <c r="L125" s="27"/>
      <c r="M125" s="70" t="s">
        <v>185</v>
      </c>
      <c r="N125" s="27"/>
      <c r="O125" s="6"/>
    </row>
    <row r="126" spans="1:15" ht="15.75">
      <c r="A126" s="26"/>
      <c r="B126" s="27" t="s">
        <v>84</v>
      </c>
      <c r="C126" s="144"/>
      <c r="D126" s="144"/>
      <c r="E126" s="144"/>
      <c r="F126" s="144"/>
      <c r="G126" s="144"/>
      <c r="H126" s="144"/>
      <c r="I126" s="144"/>
      <c r="J126" s="144"/>
      <c r="K126" s="144"/>
      <c r="L126" s="144"/>
      <c r="M126" s="70" t="s">
        <v>185</v>
      </c>
      <c r="N126" s="27"/>
      <c r="O126" s="6"/>
    </row>
    <row r="127" spans="1:15" ht="15.75">
      <c r="A127" s="26"/>
      <c r="B127" s="27" t="s">
        <v>85</v>
      </c>
      <c r="C127" s="27"/>
      <c r="D127" s="27"/>
      <c r="E127" s="27"/>
      <c r="F127" s="27"/>
      <c r="G127" s="27"/>
      <c r="H127" s="27"/>
      <c r="I127" s="27"/>
      <c r="J127" s="27"/>
      <c r="K127" s="27"/>
      <c r="L127" s="27"/>
      <c r="M127" s="70" t="s">
        <v>185</v>
      </c>
      <c r="N127" s="27"/>
      <c r="O127" s="6"/>
    </row>
    <row r="128" spans="1:15" ht="15.75">
      <c r="A128" s="26"/>
      <c r="B128" s="27" t="s">
        <v>86</v>
      </c>
      <c r="C128" s="27"/>
      <c r="D128" s="27"/>
      <c r="E128" s="27"/>
      <c r="F128" s="27"/>
      <c r="G128" s="27"/>
      <c r="H128" s="27"/>
      <c r="I128" s="27"/>
      <c r="J128" s="27"/>
      <c r="K128" s="27"/>
      <c r="L128" s="27"/>
      <c r="M128" s="70" t="s">
        <v>185</v>
      </c>
      <c r="N128" s="27"/>
      <c r="O128" s="6"/>
    </row>
    <row r="129" spans="1:15" ht="15.75">
      <c r="A129" s="26"/>
      <c r="B129" s="27"/>
      <c r="C129" s="27"/>
      <c r="D129" s="27"/>
      <c r="E129" s="27"/>
      <c r="F129" s="27"/>
      <c r="G129" s="27"/>
      <c r="H129" s="27"/>
      <c r="I129" s="27"/>
      <c r="J129" s="27"/>
      <c r="K129" s="27"/>
      <c r="L129" s="27"/>
      <c r="M129" s="68"/>
      <c r="N129" s="27"/>
      <c r="O129" s="6"/>
    </row>
    <row r="130" spans="1:15" ht="15.75">
      <c r="A130" s="7"/>
      <c r="B130" s="139" t="s">
        <v>87</v>
      </c>
      <c r="C130" s="15"/>
      <c r="D130" s="15"/>
      <c r="E130" s="9"/>
      <c r="F130" s="9"/>
      <c r="G130" s="9"/>
      <c r="H130" s="9"/>
      <c r="I130" s="9"/>
      <c r="J130" s="9"/>
      <c r="K130" s="9"/>
      <c r="L130" s="9"/>
      <c r="M130" s="71"/>
      <c r="N130" s="9"/>
      <c r="O130" s="6"/>
    </row>
    <row r="131" spans="1:15" ht="15.75">
      <c r="A131" s="26"/>
      <c r="B131" s="27" t="s">
        <v>88</v>
      </c>
      <c r="C131" s="27"/>
      <c r="D131" s="27"/>
      <c r="E131" s="27"/>
      <c r="F131" s="27"/>
      <c r="G131" s="27"/>
      <c r="H131" s="27"/>
      <c r="I131" s="27"/>
      <c r="J131" s="27"/>
      <c r="K131" s="27"/>
      <c r="L131" s="27"/>
      <c r="M131" s="59">
        <v>0</v>
      </c>
      <c r="N131" s="27"/>
      <c r="O131" s="6"/>
    </row>
    <row r="132" spans="1:15" ht="15.75">
      <c r="A132" s="26"/>
      <c r="B132" s="27" t="s">
        <v>89</v>
      </c>
      <c r="C132" s="27"/>
      <c r="D132" s="27"/>
      <c r="E132" s="27"/>
      <c r="F132" s="27"/>
      <c r="G132" s="27"/>
      <c r="H132" s="27"/>
      <c r="I132" s="27"/>
      <c r="J132" s="27"/>
      <c r="K132" s="27"/>
      <c r="L132" s="27"/>
      <c r="M132" s="59">
        <v>0</v>
      </c>
      <c r="N132" s="27"/>
      <c r="O132" s="6"/>
    </row>
    <row r="133" spans="1:15" ht="15.75">
      <c r="A133" s="26"/>
      <c r="B133" s="27" t="s">
        <v>90</v>
      </c>
      <c r="C133" s="27"/>
      <c r="D133" s="27"/>
      <c r="E133" s="27"/>
      <c r="F133" s="27"/>
      <c r="G133" s="27"/>
      <c r="H133" s="27"/>
      <c r="I133" s="27"/>
      <c r="J133" s="27"/>
      <c r="K133" s="27"/>
      <c r="L133" s="27"/>
      <c r="M133" s="59">
        <f>M132+M131</f>
        <v>0</v>
      </c>
      <c r="N133" s="27"/>
      <c r="O133" s="6"/>
    </row>
    <row r="134" spans="1:15" ht="15.75">
      <c r="A134" s="26"/>
      <c r="B134" s="27" t="s">
        <v>91</v>
      </c>
      <c r="C134" s="27"/>
      <c r="D134" s="27"/>
      <c r="E134" s="27"/>
      <c r="F134" s="27"/>
      <c r="G134" s="27"/>
      <c r="H134" s="27"/>
      <c r="I134" s="72"/>
      <c r="J134" s="27"/>
      <c r="K134" s="27"/>
      <c r="L134" s="27"/>
      <c r="M134" s="59">
        <f>M95</f>
        <v>0</v>
      </c>
      <c r="N134" s="27"/>
      <c r="O134" s="6"/>
    </row>
    <row r="135" spans="1:15" ht="15.75">
      <c r="A135" s="26"/>
      <c r="B135" s="27" t="s">
        <v>92</v>
      </c>
      <c r="C135" s="27"/>
      <c r="D135" s="27"/>
      <c r="E135" s="27"/>
      <c r="F135" s="27"/>
      <c r="G135" s="27"/>
      <c r="H135" s="27"/>
      <c r="I135" s="27"/>
      <c r="J135" s="27"/>
      <c r="K135" s="27"/>
      <c r="L135" s="27"/>
      <c r="M135" s="59">
        <f>M133+M134</f>
        <v>0</v>
      </c>
      <c r="N135" s="27"/>
      <c r="O135" s="6"/>
    </row>
    <row r="136" spans="1:15" ht="15.75">
      <c r="A136" s="26"/>
      <c r="B136" s="27"/>
      <c r="C136" s="27"/>
      <c r="D136" s="27"/>
      <c r="E136" s="27"/>
      <c r="F136" s="27"/>
      <c r="G136" s="27"/>
      <c r="H136" s="27"/>
      <c r="I136" s="27"/>
      <c r="J136" s="27"/>
      <c r="K136" s="27"/>
      <c r="L136" s="27"/>
      <c r="M136" s="68"/>
      <c r="N136" s="27"/>
      <c r="O136" s="6"/>
    </row>
    <row r="137" spans="1:15" ht="15.75">
      <c r="A137" s="2"/>
      <c r="B137" s="5"/>
      <c r="C137" s="5"/>
      <c r="D137" s="5"/>
      <c r="E137" s="5"/>
      <c r="F137" s="5"/>
      <c r="G137" s="5"/>
      <c r="H137" s="5"/>
      <c r="I137" s="5"/>
      <c r="J137" s="5"/>
      <c r="K137" s="5"/>
      <c r="L137" s="5"/>
      <c r="M137" s="56"/>
      <c r="N137" s="5"/>
      <c r="O137" s="6"/>
    </row>
    <row r="138" spans="1:15" ht="15.75">
      <c r="A138" s="7"/>
      <c r="B138" s="139" t="s">
        <v>93</v>
      </c>
      <c r="C138" s="15"/>
      <c r="D138" s="15"/>
      <c r="E138" s="9"/>
      <c r="F138" s="9"/>
      <c r="G138" s="9"/>
      <c r="H138" s="9"/>
      <c r="I138" s="9"/>
      <c r="J138" s="9"/>
      <c r="K138" s="9"/>
      <c r="L138" s="9"/>
      <c r="M138" s="58"/>
      <c r="N138" s="9"/>
      <c r="O138" s="6"/>
    </row>
    <row r="139" spans="1:15" ht="15.75">
      <c r="A139" s="7"/>
      <c r="B139" s="23"/>
      <c r="C139" s="15"/>
      <c r="D139" s="15"/>
      <c r="E139" s="9"/>
      <c r="F139" s="9"/>
      <c r="G139" s="9"/>
      <c r="H139" s="9"/>
      <c r="I139" s="9"/>
      <c r="J139" s="9"/>
      <c r="K139" s="9"/>
      <c r="L139" s="9"/>
      <c r="M139" s="58"/>
      <c r="N139" s="9"/>
      <c r="O139" s="6"/>
    </row>
    <row r="140" spans="1:15" ht="15.75">
      <c r="A140" s="26"/>
      <c r="B140" s="27" t="s">
        <v>94</v>
      </c>
      <c r="C140" s="73"/>
      <c r="D140" s="73"/>
      <c r="E140" s="27"/>
      <c r="F140" s="27"/>
      <c r="G140" s="27"/>
      <c r="H140" s="27"/>
      <c r="I140" s="27"/>
      <c r="J140" s="27"/>
      <c r="K140" s="27"/>
      <c r="L140" s="27"/>
      <c r="M140" s="59">
        <f>M60</f>
        <v>179532</v>
      </c>
      <c r="N140" s="27"/>
      <c r="O140" s="6"/>
    </row>
    <row r="141" spans="1:15" ht="15.75">
      <c r="A141" s="26"/>
      <c r="B141" s="27" t="s">
        <v>95</v>
      </c>
      <c r="C141" s="73"/>
      <c r="D141" s="73"/>
      <c r="E141" s="27"/>
      <c r="F141" s="27"/>
      <c r="G141" s="27"/>
      <c r="H141" s="27"/>
      <c r="I141" s="27"/>
      <c r="J141" s="27"/>
      <c r="K141" s="27"/>
      <c r="L141" s="27"/>
      <c r="M141" s="59">
        <f>M72</f>
        <v>179532</v>
      </c>
      <c r="N141" s="27"/>
      <c r="O141" s="6"/>
    </row>
    <row r="142" spans="1:15" ht="15.75">
      <c r="A142" s="26"/>
      <c r="B142" s="27"/>
      <c r="C142" s="27"/>
      <c r="D142" s="27"/>
      <c r="E142" s="27"/>
      <c r="F142" s="27"/>
      <c r="G142" s="27"/>
      <c r="H142" s="27"/>
      <c r="I142" s="27"/>
      <c r="J142" s="27"/>
      <c r="K142" s="27"/>
      <c r="L142" s="27"/>
      <c r="M142" s="68"/>
      <c r="N142" s="27"/>
      <c r="O142" s="6"/>
    </row>
    <row r="143" spans="1:15" ht="15.75">
      <c r="A143" s="2"/>
      <c r="B143" s="5"/>
      <c r="C143" s="5"/>
      <c r="D143" s="5"/>
      <c r="E143" s="5"/>
      <c r="F143" s="5"/>
      <c r="G143" s="5"/>
      <c r="H143" s="5"/>
      <c r="I143" s="5"/>
      <c r="J143" s="5"/>
      <c r="K143" s="5"/>
      <c r="L143" s="5"/>
      <c r="M143" s="56"/>
      <c r="N143" s="5"/>
      <c r="O143" s="6"/>
    </row>
    <row r="144" spans="1:15" ht="15.75">
      <c r="A144" s="7"/>
      <c r="B144" s="139" t="s">
        <v>96</v>
      </c>
      <c r="C144" s="129"/>
      <c r="D144" s="129"/>
      <c r="E144" s="137"/>
      <c r="F144" s="137"/>
      <c r="G144" s="137"/>
      <c r="H144" s="137"/>
      <c r="I144" s="140" t="s">
        <v>172</v>
      </c>
      <c r="J144" s="140"/>
      <c r="K144" s="140" t="s">
        <v>181</v>
      </c>
      <c r="L144" s="129"/>
      <c r="M144" s="141" t="s">
        <v>195</v>
      </c>
      <c r="N144" s="11"/>
      <c r="O144" s="6"/>
    </row>
    <row r="145" spans="1:15" ht="15.75">
      <c r="A145" s="26"/>
      <c r="B145" s="27" t="s">
        <v>97</v>
      </c>
      <c r="C145" s="27"/>
      <c r="D145" s="27"/>
      <c r="E145" s="27"/>
      <c r="F145" s="27"/>
      <c r="G145" s="27"/>
      <c r="H145" s="27"/>
      <c r="I145" s="59">
        <v>41000</v>
      </c>
      <c r="J145" s="27"/>
      <c r="K145" s="46"/>
      <c r="L145" s="27"/>
      <c r="M145" s="59"/>
      <c r="N145" s="27"/>
      <c r="O145" s="6"/>
    </row>
    <row r="146" spans="1:15" ht="15.75">
      <c r="A146" s="26"/>
      <c r="B146" s="27" t="s">
        <v>98</v>
      </c>
      <c r="C146" s="27"/>
      <c r="D146" s="27"/>
      <c r="E146" s="27"/>
      <c r="F146" s="27"/>
      <c r="G146" s="27"/>
      <c r="H146" s="27"/>
      <c r="I146" s="59">
        <f>'Nov 05'!I148</f>
        <v>28776</v>
      </c>
      <c r="J146" s="27"/>
      <c r="K146" s="59">
        <f>'Nov 05'!K148</f>
        <v>516</v>
      </c>
      <c r="L146" s="27"/>
      <c r="M146" s="59">
        <f>K146+I146</f>
        <v>29292</v>
      </c>
      <c r="N146" s="27"/>
      <c r="O146" s="6"/>
    </row>
    <row r="147" spans="1:15" ht="15.75">
      <c r="A147" s="26"/>
      <c r="B147" s="27" t="s">
        <v>99</v>
      </c>
      <c r="C147" s="27"/>
      <c r="D147" s="27"/>
      <c r="E147" s="27"/>
      <c r="F147" s="27"/>
      <c r="G147" s="27"/>
      <c r="H147" s="27"/>
      <c r="I147" s="38">
        <f>1238+6</f>
        <v>1244</v>
      </c>
      <c r="J147" s="27"/>
      <c r="K147" s="27">
        <v>79</v>
      </c>
      <c r="L147" s="27"/>
      <c r="M147" s="59">
        <f>K147+I147</f>
        <v>1323</v>
      </c>
      <c r="N147" s="27"/>
      <c r="O147" s="6"/>
    </row>
    <row r="148" spans="1:15" ht="15.75">
      <c r="A148" s="26"/>
      <c r="B148" s="27" t="s">
        <v>100</v>
      </c>
      <c r="C148" s="27"/>
      <c r="D148" s="27"/>
      <c r="E148" s="27"/>
      <c r="F148" s="27"/>
      <c r="G148" s="27"/>
      <c r="H148" s="27"/>
      <c r="I148" s="59">
        <f>I146+I147</f>
        <v>30020</v>
      </c>
      <c r="J148" s="27"/>
      <c r="K148" s="59">
        <f>K147+K146</f>
        <v>595</v>
      </c>
      <c r="L148" s="27"/>
      <c r="M148" s="59">
        <f>K148+I148</f>
        <v>30615</v>
      </c>
      <c r="N148" s="27"/>
      <c r="O148" s="6"/>
    </row>
    <row r="149" spans="1:15" ht="15.75">
      <c r="A149" s="26"/>
      <c r="B149" s="27" t="s">
        <v>101</v>
      </c>
      <c r="C149" s="27"/>
      <c r="D149" s="27"/>
      <c r="E149" s="27"/>
      <c r="F149" s="27"/>
      <c r="G149" s="27"/>
      <c r="H149" s="27"/>
      <c r="I149" s="59">
        <f>I145-I148-K148</f>
        <v>10385</v>
      </c>
      <c r="J149" s="27"/>
      <c r="K149" s="46">
        <v>0</v>
      </c>
      <c r="L149" s="27"/>
      <c r="M149" s="59"/>
      <c r="N149" s="27"/>
      <c r="O149" s="6"/>
    </row>
    <row r="150" spans="1:15" ht="15.75">
      <c r="A150" s="26"/>
      <c r="B150" s="27"/>
      <c r="C150" s="27"/>
      <c r="D150" s="27"/>
      <c r="E150" s="27"/>
      <c r="F150" s="27"/>
      <c r="G150" s="27"/>
      <c r="H150" s="27"/>
      <c r="I150" s="27"/>
      <c r="J150" s="27"/>
      <c r="K150" s="27"/>
      <c r="L150" s="27"/>
      <c r="M150" s="68"/>
      <c r="N150" s="27"/>
      <c r="O150" s="6"/>
    </row>
    <row r="151" spans="1:15" ht="15.75">
      <c r="A151" s="2"/>
      <c r="B151" s="5"/>
      <c r="C151" s="5"/>
      <c r="D151" s="5"/>
      <c r="E151" s="5"/>
      <c r="F151" s="5"/>
      <c r="G151" s="5"/>
      <c r="H151" s="5"/>
      <c r="I151" s="5"/>
      <c r="J151" s="5"/>
      <c r="K151" s="5"/>
      <c r="L151" s="5"/>
      <c r="M151" s="56"/>
      <c r="N151" s="5"/>
      <c r="O151" s="6"/>
    </row>
    <row r="152" spans="1:15" ht="15.75">
      <c r="A152" s="7"/>
      <c r="B152" s="139" t="s">
        <v>102</v>
      </c>
      <c r="C152" s="15"/>
      <c r="D152" s="15"/>
      <c r="E152" s="9"/>
      <c r="F152" s="9"/>
      <c r="G152" s="9"/>
      <c r="H152" s="9"/>
      <c r="I152" s="9"/>
      <c r="J152" s="9"/>
      <c r="K152" s="9"/>
      <c r="L152" s="9"/>
      <c r="M152" s="74"/>
      <c r="N152" s="9"/>
      <c r="O152" s="6"/>
    </row>
    <row r="153" spans="1:15" ht="15.75">
      <c r="A153" s="26"/>
      <c r="B153" s="27" t="s">
        <v>103</v>
      </c>
      <c r="C153" s="27"/>
      <c r="D153" s="27"/>
      <c r="E153" s="27"/>
      <c r="F153" s="27"/>
      <c r="G153" s="27"/>
      <c r="H153" s="27"/>
      <c r="I153" s="27"/>
      <c r="J153" s="27"/>
      <c r="K153" s="27"/>
      <c r="L153" s="27"/>
      <c r="M153" s="65">
        <f>(M85+M87+M88+M89+M90)/-M91</f>
        <v>1.3561840843720039</v>
      </c>
      <c r="N153" s="27" t="s">
        <v>196</v>
      </c>
      <c r="O153" s="6"/>
    </row>
    <row r="154" spans="1:15" ht="15.75">
      <c r="A154" s="26"/>
      <c r="B154" s="27" t="s">
        <v>104</v>
      </c>
      <c r="C154" s="27"/>
      <c r="D154" s="27"/>
      <c r="E154" s="27"/>
      <c r="F154" s="27"/>
      <c r="G154" s="27"/>
      <c r="H154" s="27"/>
      <c r="I154" s="27"/>
      <c r="J154" s="27"/>
      <c r="K154" s="27"/>
      <c r="L154" s="27"/>
      <c r="M154" s="75">
        <v>1.36</v>
      </c>
      <c r="N154" s="27" t="s">
        <v>196</v>
      </c>
      <c r="O154" s="6"/>
    </row>
    <row r="155" spans="1:15" ht="15.75">
      <c r="A155" s="26"/>
      <c r="B155" s="27" t="s">
        <v>105</v>
      </c>
      <c r="C155" s="27"/>
      <c r="D155" s="27"/>
      <c r="E155" s="27"/>
      <c r="F155" s="27"/>
      <c r="G155" s="27"/>
      <c r="H155" s="27"/>
      <c r="I155" s="27"/>
      <c r="J155" s="27"/>
      <c r="K155" s="27"/>
      <c r="L155" s="27"/>
      <c r="M155" s="65">
        <f>(M85+M87+M88+M89+M90+M91)/-M92</f>
        <v>2.1228571428571428</v>
      </c>
      <c r="N155" s="27" t="s">
        <v>196</v>
      </c>
      <c r="O155" s="6"/>
    </row>
    <row r="156" spans="1:15" ht="15.75">
      <c r="A156" s="26"/>
      <c r="B156" s="27" t="s">
        <v>106</v>
      </c>
      <c r="C156" s="27"/>
      <c r="D156" s="27"/>
      <c r="E156" s="27"/>
      <c r="F156" s="27"/>
      <c r="G156" s="27"/>
      <c r="H156" s="27"/>
      <c r="I156" s="27"/>
      <c r="J156" s="27"/>
      <c r="K156" s="27"/>
      <c r="L156" s="27"/>
      <c r="M156" s="76">
        <v>2.6</v>
      </c>
      <c r="N156" s="27" t="s">
        <v>196</v>
      </c>
      <c r="O156" s="6"/>
    </row>
    <row r="157" spans="1:15" ht="15.75">
      <c r="A157" s="26"/>
      <c r="B157" s="27"/>
      <c r="C157" s="27"/>
      <c r="D157" s="27"/>
      <c r="E157" s="27"/>
      <c r="F157" s="27"/>
      <c r="G157" s="27"/>
      <c r="H157" s="27"/>
      <c r="I157" s="27"/>
      <c r="J157" s="27"/>
      <c r="K157" s="27"/>
      <c r="L157" s="27"/>
      <c r="M157" s="27"/>
      <c r="N157" s="27"/>
      <c r="O157" s="6"/>
    </row>
    <row r="158" spans="1:15" ht="15.75">
      <c r="A158" s="26"/>
      <c r="B158" s="27"/>
      <c r="C158" s="27"/>
      <c r="D158" s="27"/>
      <c r="E158" s="27"/>
      <c r="F158" s="27"/>
      <c r="G158" s="27"/>
      <c r="H158" s="27"/>
      <c r="I158" s="27"/>
      <c r="J158" s="27"/>
      <c r="K158" s="27"/>
      <c r="L158" s="27"/>
      <c r="M158" s="27"/>
      <c r="N158" s="27"/>
      <c r="O158" s="6"/>
    </row>
    <row r="159" spans="1:15" ht="15.75">
      <c r="A159" s="7"/>
      <c r="B159" s="9"/>
      <c r="C159" s="9"/>
      <c r="D159" s="9"/>
      <c r="E159" s="9"/>
      <c r="F159" s="9"/>
      <c r="G159" s="9"/>
      <c r="H159" s="9"/>
      <c r="I159" s="9"/>
      <c r="J159" s="9"/>
      <c r="K159" s="9"/>
      <c r="L159" s="9"/>
      <c r="M159" s="9"/>
      <c r="N159" s="9"/>
      <c r="O159" s="6"/>
    </row>
    <row r="160" spans="1:15" ht="19.5" thickBot="1">
      <c r="A160" s="117"/>
      <c r="B160" s="118" t="str">
        <f>B110</f>
        <v>PM5 INVESTOR REPORT QUARTER ENDING FEBRUARY 2006</v>
      </c>
      <c r="C160" s="146"/>
      <c r="D160" s="146"/>
      <c r="E160" s="146"/>
      <c r="F160" s="146"/>
      <c r="G160" s="146"/>
      <c r="H160" s="146"/>
      <c r="I160" s="146"/>
      <c r="J160" s="146"/>
      <c r="K160" s="146"/>
      <c r="L160" s="146"/>
      <c r="M160" s="146"/>
      <c r="N160" s="147"/>
      <c r="O160" s="6"/>
    </row>
    <row r="161" spans="1:15" ht="15.75">
      <c r="A161" s="77"/>
      <c r="B161" s="66" t="s">
        <v>107</v>
      </c>
      <c r="C161" s="78"/>
      <c r="D161" s="78"/>
      <c r="E161" s="78"/>
      <c r="F161" s="78"/>
      <c r="G161" s="78"/>
      <c r="H161" s="79"/>
      <c r="I161" s="79"/>
      <c r="J161" s="79"/>
      <c r="K161" s="80">
        <v>38776</v>
      </c>
      <c r="L161" s="5"/>
      <c r="M161" s="5"/>
      <c r="N161" s="5"/>
      <c r="O161" s="6"/>
    </row>
    <row r="162" spans="1:15" ht="15.75">
      <c r="A162" s="81"/>
      <c r="B162" s="82"/>
      <c r="C162" s="83"/>
      <c r="D162" s="83"/>
      <c r="E162" s="83"/>
      <c r="F162" s="83"/>
      <c r="G162" s="83"/>
      <c r="H162" s="84"/>
      <c r="I162" s="84"/>
      <c r="J162" s="84"/>
      <c r="K162" s="84"/>
      <c r="L162" s="9"/>
      <c r="M162" s="9"/>
      <c r="N162" s="9"/>
      <c r="O162" s="6"/>
    </row>
    <row r="163" spans="1:15" ht="15.75">
      <c r="A163" s="85"/>
      <c r="B163" s="86" t="s">
        <v>108</v>
      </c>
      <c r="C163" s="87"/>
      <c r="D163" s="87"/>
      <c r="E163" s="87"/>
      <c r="F163" s="87"/>
      <c r="G163" s="87"/>
      <c r="H163" s="72"/>
      <c r="I163" s="72"/>
      <c r="J163" s="72"/>
      <c r="K163" s="88">
        <v>0.0533</v>
      </c>
      <c r="L163" s="27"/>
      <c r="M163" s="27"/>
      <c r="N163" s="27"/>
      <c r="O163" s="6"/>
    </row>
    <row r="164" spans="1:15" ht="15.75">
      <c r="A164" s="85"/>
      <c r="B164" s="86" t="s">
        <v>109</v>
      </c>
      <c r="C164" s="87"/>
      <c r="D164" s="87"/>
      <c r="E164" s="87"/>
      <c r="F164" s="87"/>
      <c r="G164" s="87"/>
      <c r="H164" s="72"/>
      <c r="I164" s="72"/>
      <c r="J164" s="72"/>
      <c r="K164" s="45">
        <v>0.04050510000000001</v>
      </c>
      <c r="L164" s="27"/>
      <c r="M164" s="27"/>
      <c r="N164" s="27"/>
      <c r="O164" s="6"/>
    </row>
    <row r="165" spans="1:15" ht="15.75">
      <c r="A165" s="85"/>
      <c r="B165" s="86" t="s">
        <v>110</v>
      </c>
      <c r="C165" s="87"/>
      <c r="D165" s="87"/>
      <c r="E165" s="87"/>
      <c r="F165" s="87"/>
      <c r="G165" s="87"/>
      <c r="H165" s="72"/>
      <c r="I165" s="72"/>
      <c r="J165" s="72"/>
      <c r="K165" s="88">
        <f>K163-K164</f>
        <v>0.012794899999999991</v>
      </c>
      <c r="L165" s="27"/>
      <c r="M165" s="27"/>
      <c r="N165" s="27"/>
      <c r="O165" s="6"/>
    </row>
    <row r="166" spans="1:15" ht="15.75">
      <c r="A166" s="85"/>
      <c r="B166" s="86" t="s">
        <v>111</v>
      </c>
      <c r="C166" s="87"/>
      <c r="D166" s="87"/>
      <c r="E166" s="87"/>
      <c r="F166" s="87"/>
      <c r="G166" s="87"/>
      <c r="H166" s="72"/>
      <c r="I166" s="72"/>
      <c r="J166" s="72"/>
      <c r="K166" s="88">
        <v>0.06064</v>
      </c>
      <c r="L166" s="27"/>
      <c r="M166" s="27"/>
      <c r="N166" s="27"/>
      <c r="O166" s="6"/>
    </row>
    <row r="167" spans="1:15" ht="15.75">
      <c r="A167" s="85"/>
      <c r="B167" s="86" t="s">
        <v>112</v>
      </c>
      <c r="C167" s="87"/>
      <c r="D167" s="87"/>
      <c r="E167" s="87"/>
      <c r="F167" s="87"/>
      <c r="G167" s="87"/>
      <c r="H167" s="72"/>
      <c r="I167" s="72"/>
      <c r="J167" s="72"/>
      <c r="K167" s="88">
        <f>+M34</f>
        <v>0.05077613760413504</v>
      </c>
      <c r="L167" s="27"/>
      <c r="M167" s="27"/>
      <c r="N167" s="27"/>
      <c r="O167" s="6"/>
    </row>
    <row r="168" spans="1:15" ht="15.75">
      <c r="A168" s="85"/>
      <c r="B168" s="86" t="s">
        <v>113</v>
      </c>
      <c r="C168" s="87"/>
      <c r="D168" s="87"/>
      <c r="E168" s="87"/>
      <c r="F168" s="87"/>
      <c r="G168" s="87"/>
      <c r="H168" s="72"/>
      <c r="I168" s="72"/>
      <c r="J168" s="72"/>
      <c r="K168" s="88">
        <f>K166-K167</f>
        <v>0.00986386239586496</v>
      </c>
      <c r="L168" s="27"/>
      <c r="M168" s="27"/>
      <c r="N168" s="27"/>
      <c r="O168" s="6"/>
    </row>
    <row r="169" spans="1:15" ht="15.75">
      <c r="A169" s="85"/>
      <c r="B169" s="86" t="s">
        <v>114</v>
      </c>
      <c r="C169" s="87"/>
      <c r="D169" s="87"/>
      <c r="E169" s="87"/>
      <c r="F169" s="87"/>
      <c r="G169" s="87"/>
      <c r="H169" s="72"/>
      <c r="I169" s="72"/>
      <c r="J169" s="72"/>
      <c r="K169" s="89" t="s">
        <v>182</v>
      </c>
      <c r="L169" s="27"/>
      <c r="M169" s="27"/>
      <c r="N169" s="27"/>
      <c r="O169" s="6"/>
    </row>
    <row r="170" spans="1:15" ht="15.75">
      <c r="A170" s="85"/>
      <c r="B170" s="86" t="s">
        <v>115</v>
      </c>
      <c r="C170" s="87"/>
      <c r="D170" s="87"/>
      <c r="E170" s="87"/>
      <c r="F170" s="87"/>
      <c r="G170" s="87"/>
      <c r="H170" s="72"/>
      <c r="I170" s="72"/>
      <c r="J170" s="72"/>
      <c r="K170" s="89" t="s">
        <v>183</v>
      </c>
      <c r="L170" s="27"/>
      <c r="M170" s="27"/>
      <c r="N170" s="27"/>
      <c r="O170" s="6"/>
    </row>
    <row r="171" spans="1:15" ht="15.75">
      <c r="A171" s="85"/>
      <c r="B171" s="86" t="s">
        <v>116</v>
      </c>
      <c r="C171" s="87"/>
      <c r="D171" s="87"/>
      <c r="E171" s="87"/>
      <c r="F171" s="87"/>
      <c r="G171" s="87"/>
      <c r="H171" s="72"/>
      <c r="I171" s="72"/>
      <c r="J171" s="72"/>
      <c r="K171" s="152">
        <v>21.58</v>
      </c>
      <c r="L171" s="27" t="s">
        <v>188</v>
      </c>
      <c r="M171" s="27"/>
      <c r="N171" s="27"/>
      <c r="O171" s="6"/>
    </row>
    <row r="172" spans="1:15" ht="15.75">
      <c r="A172" s="85"/>
      <c r="B172" s="86" t="s">
        <v>117</v>
      </c>
      <c r="C172" s="87"/>
      <c r="D172" s="87"/>
      <c r="E172" s="87"/>
      <c r="F172" s="87"/>
      <c r="G172" s="87"/>
      <c r="H172" s="72"/>
      <c r="I172" s="72"/>
      <c r="J172" s="72"/>
      <c r="K172" s="152">
        <v>18.89</v>
      </c>
      <c r="L172" s="27" t="s">
        <v>188</v>
      </c>
      <c r="M172" s="27"/>
      <c r="N172" s="27"/>
      <c r="O172" s="6"/>
    </row>
    <row r="173" spans="1:15" ht="15.75">
      <c r="A173" s="85"/>
      <c r="B173" s="86" t="s">
        <v>118</v>
      </c>
      <c r="C173" s="87"/>
      <c r="D173" s="87"/>
      <c r="E173" s="87"/>
      <c r="F173" s="87"/>
      <c r="G173" s="87"/>
      <c r="H173" s="72"/>
      <c r="I173" s="72"/>
      <c r="J173" s="72"/>
      <c r="K173" s="88">
        <f>+G57/'Nov 05'!M57</f>
        <v>0.08403149703430339</v>
      </c>
      <c r="L173" s="27"/>
      <c r="M173" s="27"/>
      <c r="N173" s="27"/>
      <c r="O173" s="6"/>
    </row>
    <row r="174" spans="1:15" ht="15.75">
      <c r="A174" s="85"/>
      <c r="B174" s="86" t="s">
        <v>119</v>
      </c>
      <c r="C174" s="87"/>
      <c r="D174" s="87"/>
      <c r="E174" s="87"/>
      <c r="F174" s="87"/>
      <c r="G174" s="87"/>
      <c r="H174" s="72"/>
      <c r="I174" s="72"/>
      <c r="J174" s="72"/>
      <c r="K174" s="88">
        <v>0.1564</v>
      </c>
      <c r="L174" s="27"/>
      <c r="M174" s="27"/>
      <c r="N174" s="27"/>
      <c r="O174" s="6"/>
    </row>
    <row r="175" spans="1:15" ht="15.75">
      <c r="A175" s="85"/>
      <c r="B175" s="86"/>
      <c r="C175" s="86"/>
      <c r="D175" s="86"/>
      <c r="E175" s="86"/>
      <c r="F175" s="86"/>
      <c r="G175" s="86"/>
      <c r="H175" s="27"/>
      <c r="I175" s="27"/>
      <c r="J175" s="27"/>
      <c r="K175" s="68"/>
      <c r="L175" s="27"/>
      <c r="M175" s="91"/>
      <c r="N175" s="27"/>
      <c r="O175" s="6"/>
    </row>
    <row r="176" spans="1:15" ht="15.75">
      <c r="A176" s="92"/>
      <c r="B176" s="16" t="s">
        <v>120</v>
      </c>
      <c r="C176" s="93"/>
      <c r="D176" s="93"/>
      <c r="E176" s="94"/>
      <c r="F176" s="93"/>
      <c r="G176" s="94"/>
      <c r="H176" s="93"/>
      <c r="I176" s="94"/>
      <c r="J176" s="19" t="s">
        <v>173</v>
      </c>
      <c r="K176" s="95" t="s">
        <v>184</v>
      </c>
      <c r="L176" s="9"/>
      <c r="M176" s="9"/>
      <c r="N176" s="9"/>
      <c r="O176" s="6"/>
    </row>
    <row r="177" spans="1:15" ht="15.75">
      <c r="A177" s="96"/>
      <c r="B177" s="86" t="s">
        <v>121</v>
      </c>
      <c r="C177" s="60"/>
      <c r="D177" s="60"/>
      <c r="E177" s="60"/>
      <c r="F177" s="60"/>
      <c r="G177" s="27"/>
      <c r="H177" s="27"/>
      <c r="I177" s="27"/>
      <c r="J177" s="34">
        <v>1</v>
      </c>
      <c r="K177" s="97">
        <v>157</v>
      </c>
      <c r="L177" s="27"/>
      <c r="M177" s="91"/>
      <c r="N177" s="98"/>
      <c r="O177" s="6"/>
    </row>
    <row r="178" spans="1:15" ht="15.75">
      <c r="A178" s="96"/>
      <c r="B178" s="86" t="s">
        <v>202</v>
      </c>
      <c r="C178" s="60"/>
      <c r="D178" s="60"/>
      <c r="E178" s="60"/>
      <c r="F178" s="60"/>
      <c r="G178" s="27"/>
      <c r="H178" s="27"/>
      <c r="I178" s="27"/>
      <c r="J178" s="167">
        <f>+I221</f>
        <v>5</v>
      </c>
      <c r="K178" s="97">
        <f>+K221</f>
        <v>464</v>
      </c>
      <c r="L178" s="27"/>
      <c r="M178" s="91"/>
      <c r="N178" s="98"/>
      <c r="O178" s="6"/>
    </row>
    <row r="179" spans="1:15" ht="15.75">
      <c r="A179" s="96"/>
      <c r="B179" s="86" t="s">
        <v>122</v>
      </c>
      <c r="C179" s="60"/>
      <c r="D179" s="60"/>
      <c r="E179" s="60"/>
      <c r="F179" s="60"/>
      <c r="G179" s="27"/>
      <c r="H179" s="27"/>
      <c r="I179" s="27"/>
      <c r="J179" s="167">
        <f>+I233</f>
        <v>0</v>
      </c>
      <c r="K179" s="97">
        <f>+K233</f>
        <v>0</v>
      </c>
      <c r="L179" s="27"/>
      <c r="M179" s="91"/>
      <c r="N179" s="98"/>
      <c r="O179" s="6"/>
    </row>
    <row r="180" spans="1:15" ht="15.75">
      <c r="A180" s="96"/>
      <c r="B180" s="142" t="s">
        <v>123</v>
      </c>
      <c r="C180" s="60"/>
      <c r="D180" s="60"/>
      <c r="E180" s="60"/>
      <c r="F180" s="60"/>
      <c r="G180" s="27"/>
      <c r="H180" s="27"/>
      <c r="I180" s="27"/>
      <c r="J180" s="27"/>
      <c r="K180" s="97">
        <v>0</v>
      </c>
      <c r="L180" s="27"/>
      <c r="M180" s="91"/>
      <c r="N180" s="98"/>
      <c r="O180" s="6"/>
    </row>
    <row r="181" spans="1:15" ht="15.75">
      <c r="A181" s="96"/>
      <c r="B181" s="142" t="s">
        <v>124</v>
      </c>
      <c r="C181" s="60"/>
      <c r="D181" s="60"/>
      <c r="E181" s="60"/>
      <c r="F181" s="60"/>
      <c r="G181" s="27"/>
      <c r="H181" s="27"/>
      <c r="I181" s="27"/>
      <c r="J181" s="27"/>
      <c r="K181" s="70" t="s">
        <v>185</v>
      </c>
      <c r="L181" s="27"/>
      <c r="M181" s="91"/>
      <c r="N181" s="98"/>
      <c r="O181" s="6"/>
    </row>
    <row r="182" spans="1:15" ht="15.75">
      <c r="A182" s="99"/>
      <c r="B182" s="142" t="s">
        <v>125</v>
      </c>
      <c r="C182" s="60"/>
      <c r="D182" s="60"/>
      <c r="E182" s="86"/>
      <c r="F182" s="86"/>
      <c r="G182" s="86"/>
      <c r="H182" s="27"/>
      <c r="I182" s="27"/>
      <c r="J182" s="27"/>
      <c r="K182" s="97"/>
      <c r="L182" s="27"/>
      <c r="M182" s="91"/>
      <c r="N182" s="100"/>
      <c r="O182" s="6"/>
    </row>
    <row r="183" spans="1:15" ht="15.75">
      <c r="A183" s="99"/>
      <c r="B183" s="150" t="s">
        <v>126</v>
      </c>
      <c r="C183" s="60"/>
      <c r="D183" s="60"/>
      <c r="E183" s="86"/>
      <c r="F183" s="86"/>
      <c r="G183" s="86"/>
      <c r="H183" s="27"/>
      <c r="I183" s="27"/>
      <c r="J183" s="34">
        <v>0</v>
      </c>
      <c r="K183" s="97">
        <f>M132</f>
        <v>0</v>
      </c>
      <c r="L183" s="27"/>
      <c r="M183" s="91"/>
      <c r="N183" s="100"/>
      <c r="O183" s="6"/>
    </row>
    <row r="184" spans="1:15" ht="15.75">
      <c r="A184" s="96"/>
      <c r="B184" s="86" t="s">
        <v>127</v>
      </c>
      <c r="C184" s="60"/>
      <c r="D184" s="60"/>
      <c r="E184" s="60"/>
      <c r="F184" s="60"/>
      <c r="G184" s="60"/>
      <c r="H184" s="27"/>
      <c r="I184" s="27"/>
      <c r="J184" s="34">
        <v>0</v>
      </c>
      <c r="K184" s="97">
        <f>+'Nov 05'!K184+K183</f>
        <v>0</v>
      </c>
      <c r="L184" s="27"/>
      <c r="M184" s="91"/>
      <c r="N184" s="100"/>
      <c r="O184" s="6"/>
    </row>
    <row r="185" spans="1:15" ht="15.75">
      <c r="A185" s="96"/>
      <c r="B185" s="86" t="s">
        <v>128</v>
      </c>
      <c r="C185" s="60"/>
      <c r="D185" s="60"/>
      <c r="E185" s="60"/>
      <c r="F185" s="60"/>
      <c r="G185" s="60"/>
      <c r="H185" s="27"/>
      <c r="I185" s="27"/>
      <c r="J185" s="34"/>
      <c r="K185" s="97">
        <v>0</v>
      </c>
      <c r="L185" s="27"/>
      <c r="M185" s="91"/>
      <c r="N185" s="100"/>
      <c r="O185" s="6"/>
    </row>
    <row r="186" spans="1:15" ht="15.75">
      <c r="A186" s="99"/>
      <c r="B186" s="142" t="s">
        <v>230</v>
      </c>
      <c r="C186" s="60"/>
      <c r="D186" s="60"/>
      <c r="E186" s="86"/>
      <c r="F186" s="86"/>
      <c r="G186" s="86"/>
      <c r="H186" s="27"/>
      <c r="I186" s="27"/>
      <c r="J186" s="34"/>
      <c r="K186" s="97"/>
      <c r="L186" s="27"/>
      <c r="M186" s="91"/>
      <c r="N186" s="100"/>
      <c r="O186" s="6"/>
    </row>
    <row r="187" spans="1:15" ht="15.75">
      <c r="A187" s="99"/>
      <c r="B187" s="86" t="s">
        <v>130</v>
      </c>
      <c r="C187" s="60"/>
      <c r="D187" s="60"/>
      <c r="E187" s="86"/>
      <c r="F187" s="86"/>
      <c r="G187" s="86"/>
      <c r="H187" s="27"/>
      <c r="I187" s="27"/>
      <c r="J187" s="34">
        <v>0</v>
      </c>
      <c r="K187" s="97">
        <v>0</v>
      </c>
      <c r="L187" s="27"/>
      <c r="M187" s="91"/>
      <c r="N187" s="100"/>
      <c r="O187" s="6"/>
    </row>
    <row r="188" spans="1:15" ht="15.75">
      <c r="A188" s="96"/>
      <c r="B188" s="86" t="s">
        <v>131</v>
      </c>
      <c r="C188" s="60"/>
      <c r="D188" s="60"/>
      <c r="E188" s="101"/>
      <c r="F188" s="101"/>
      <c r="G188" s="102"/>
      <c r="H188" s="27"/>
      <c r="I188" s="27"/>
      <c r="J188" s="34"/>
      <c r="K188" s="70">
        <v>0</v>
      </c>
      <c r="L188" s="27"/>
      <c r="M188" s="91"/>
      <c r="N188" s="100"/>
      <c r="O188" s="6"/>
    </row>
    <row r="189" spans="1:15" ht="15.75">
      <c r="A189" s="96"/>
      <c r="B189" s="86" t="s">
        <v>132</v>
      </c>
      <c r="C189" s="60"/>
      <c r="D189" s="60"/>
      <c r="E189" s="101"/>
      <c r="F189" s="101"/>
      <c r="G189" s="102"/>
      <c r="H189" s="27"/>
      <c r="I189" s="27"/>
      <c r="J189" s="34"/>
      <c r="K189" s="70">
        <v>0</v>
      </c>
      <c r="L189" s="27"/>
      <c r="M189" s="91"/>
      <c r="N189" s="100"/>
      <c r="O189" s="6"/>
    </row>
    <row r="190" spans="1:15" ht="15.75">
      <c r="A190" s="96"/>
      <c r="B190" s="86" t="s">
        <v>238</v>
      </c>
      <c r="C190" s="60"/>
      <c r="D190" s="60"/>
      <c r="E190" s="103"/>
      <c r="F190" s="101"/>
      <c r="G190" s="102"/>
      <c r="H190" s="27"/>
      <c r="I190" s="27"/>
      <c r="J190" s="34"/>
      <c r="K190" s="104">
        <v>0</v>
      </c>
      <c r="L190" s="27"/>
      <c r="M190" s="91"/>
      <c r="N190" s="100"/>
      <c r="O190" s="6"/>
    </row>
    <row r="191" spans="1:15" ht="15.75">
      <c r="A191" s="96"/>
      <c r="B191" s="142" t="s">
        <v>231</v>
      </c>
      <c r="C191" s="60"/>
      <c r="D191" s="60"/>
      <c r="E191" s="103"/>
      <c r="F191" s="101"/>
      <c r="G191" s="102"/>
      <c r="H191" s="27"/>
      <c r="I191" s="27"/>
      <c r="J191" s="34"/>
      <c r="K191" s="104"/>
      <c r="L191" s="27"/>
      <c r="M191" s="91"/>
      <c r="N191" s="100"/>
      <c r="O191" s="6"/>
    </row>
    <row r="192" spans="1:15" ht="15.75">
      <c r="A192" s="96"/>
      <c r="B192" s="86" t="s">
        <v>130</v>
      </c>
      <c r="C192" s="60"/>
      <c r="D192" s="60"/>
      <c r="E192" s="103"/>
      <c r="F192" s="101"/>
      <c r="G192" s="102"/>
      <c r="H192" s="27"/>
      <c r="I192" s="27"/>
      <c r="J192" s="34">
        <v>2</v>
      </c>
      <c r="K192" s="97">
        <v>387</v>
      </c>
      <c r="L192" s="27"/>
      <c r="M192" s="91"/>
      <c r="N192" s="100"/>
      <c r="O192" s="6"/>
    </row>
    <row r="193" spans="1:15" ht="15.75">
      <c r="A193" s="96"/>
      <c r="B193" s="86" t="s">
        <v>232</v>
      </c>
      <c r="C193" s="60"/>
      <c r="D193" s="60"/>
      <c r="E193" s="103"/>
      <c r="F193" s="101"/>
      <c r="G193" s="102"/>
      <c r="H193" s="27"/>
      <c r="I193" s="27"/>
      <c r="J193" s="27"/>
      <c r="K193" s="174">
        <v>1</v>
      </c>
      <c r="L193" s="27"/>
      <c r="M193" s="91"/>
      <c r="N193" s="100"/>
      <c r="O193" s="6"/>
    </row>
    <row r="194" spans="1:15" ht="15.75">
      <c r="A194" s="96"/>
      <c r="B194" s="86" t="s">
        <v>233</v>
      </c>
      <c r="C194" s="60"/>
      <c r="D194" s="60"/>
      <c r="E194" s="103"/>
      <c r="F194" s="101"/>
      <c r="G194" s="102"/>
      <c r="H194" s="27"/>
      <c r="I194" s="27"/>
      <c r="J194" s="27"/>
      <c r="K194" s="174">
        <v>6.85</v>
      </c>
      <c r="L194" s="27"/>
      <c r="M194" s="91"/>
      <c r="N194" s="100"/>
      <c r="O194" s="6"/>
    </row>
    <row r="195" spans="1:15" ht="15.75">
      <c r="A195" s="96"/>
      <c r="B195" s="86" t="s">
        <v>238</v>
      </c>
      <c r="C195" s="60"/>
      <c r="D195" s="60"/>
      <c r="E195" s="103"/>
      <c r="F195" s="101"/>
      <c r="G195" s="102"/>
      <c r="H195" s="27"/>
      <c r="I195" s="27"/>
      <c r="J195" s="27"/>
      <c r="K195" s="104">
        <v>1.0204</v>
      </c>
      <c r="L195" s="27"/>
      <c r="M195" s="91"/>
      <c r="N195" s="100"/>
      <c r="O195" s="6"/>
    </row>
    <row r="196" spans="1:15" ht="15.75">
      <c r="A196" s="96"/>
      <c r="B196" s="86"/>
      <c r="C196" s="60"/>
      <c r="D196" s="60"/>
      <c r="E196" s="103"/>
      <c r="F196" s="101"/>
      <c r="G196" s="102"/>
      <c r="H196" s="27"/>
      <c r="I196" s="27"/>
      <c r="J196" s="27"/>
      <c r="K196" s="104"/>
      <c r="L196" s="27"/>
      <c r="M196" s="91"/>
      <c r="N196" s="100"/>
      <c r="O196" s="6"/>
    </row>
    <row r="197" spans="1:15" ht="18.75">
      <c r="A197" s="96"/>
      <c r="B197" s="169" t="s">
        <v>223</v>
      </c>
      <c r="C197" s="60"/>
      <c r="D197" s="60"/>
      <c r="E197" s="103"/>
      <c r="F197" s="101"/>
      <c r="G197" s="102"/>
      <c r="H197" s="27"/>
      <c r="I197" s="27"/>
      <c r="J197" s="27"/>
      <c r="K197" s="104"/>
      <c r="L197" s="27"/>
      <c r="M197" s="91"/>
      <c r="N197" s="171" t="s">
        <v>224</v>
      </c>
      <c r="O197" s="6"/>
    </row>
    <row r="198" spans="1:15" ht="15.75">
      <c r="A198" s="96"/>
      <c r="B198" s="86"/>
      <c r="C198" s="60"/>
      <c r="D198" s="60"/>
      <c r="E198" s="103"/>
      <c r="F198" s="101"/>
      <c r="G198" s="102"/>
      <c r="H198" s="27"/>
      <c r="I198" s="27"/>
      <c r="J198" s="27"/>
      <c r="K198" s="104"/>
      <c r="L198" s="27"/>
      <c r="M198" s="91"/>
      <c r="N198" s="100"/>
      <c r="O198" s="6"/>
    </row>
    <row r="199" spans="1:15" ht="15.75">
      <c r="A199" s="7"/>
      <c r="B199" s="16" t="s">
        <v>218</v>
      </c>
      <c r="C199" s="93"/>
      <c r="D199" s="93"/>
      <c r="E199" s="94"/>
      <c r="F199" s="93"/>
      <c r="G199" s="94"/>
      <c r="H199" s="93"/>
      <c r="I199" s="95" t="s">
        <v>173</v>
      </c>
      <c r="J199" s="19" t="s">
        <v>174</v>
      </c>
      <c r="K199" s="95" t="s">
        <v>186</v>
      </c>
      <c r="L199" s="19" t="s">
        <v>174</v>
      </c>
      <c r="M199" s="9"/>
      <c r="N199" s="105"/>
      <c r="O199" s="6"/>
    </row>
    <row r="200" spans="1:15" ht="15.75">
      <c r="A200" s="26"/>
      <c r="B200" s="60" t="s">
        <v>135</v>
      </c>
      <c r="C200" s="106"/>
      <c r="D200" s="106"/>
      <c r="E200" s="60"/>
      <c r="F200" s="106"/>
      <c r="G200" s="27"/>
      <c r="H200" s="106"/>
      <c r="I200" s="60">
        <v>1688</v>
      </c>
      <c r="J200" s="108">
        <f>I200/I209</f>
        <v>0.9958702064896755</v>
      </c>
      <c r="K200" s="59">
        <v>177894</v>
      </c>
      <c r="L200" s="151">
        <f>K200/K209</f>
        <v>0.9934438313936605</v>
      </c>
      <c r="M200" s="91"/>
      <c r="N200" s="100"/>
      <c r="O200" s="6"/>
    </row>
    <row r="201" spans="1:15" ht="15.75">
      <c r="A201" s="26"/>
      <c r="B201" s="60" t="s">
        <v>136</v>
      </c>
      <c r="C201" s="106"/>
      <c r="D201" s="106"/>
      <c r="E201" s="60"/>
      <c r="F201" s="106"/>
      <c r="G201" s="27"/>
      <c r="H201" s="108"/>
      <c r="I201" s="60">
        <v>6</v>
      </c>
      <c r="J201" s="108">
        <f>I201/I209</f>
        <v>0.0035398230088495575</v>
      </c>
      <c r="K201" s="59">
        <v>840</v>
      </c>
      <c r="L201" s="151">
        <f>K201/K209</f>
        <v>0.004690955391248018</v>
      </c>
      <c r="M201" s="91"/>
      <c r="N201" s="100"/>
      <c r="O201" s="6"/>
    </row>
    <row r="202" spans="1:15" ht="15.75">
      <c r="A202" s="26"/>
      <c r="B202" s="60" t="s">
        <v>137</v>
      </c>
      <c r="C202" s="106"/>
      <c r="D202" s="106"/>
      <c r="E202" s="60"/>
      <c r="F202" s="106"/>
      <c r="G202" s="27"/>
      <c r="H202" s="108"/>
      <c r="I202" s="60">
        <v>1</v>
      </c>
      <c r="J202" s="108">
        <f>I202/I209</f>
        <v>0.0005899705014749262</v>
      </c>
      <c r="K202" s="59">
        <v>334</v>
      </c>
      <c r="L202" s="151">
        <f>K202/K209</f>
        <v>0.0018652132150914736</v>
      </c>
      <c r="M202" s="91"/>
      <c r="N202" s="100"/>
      <c r="O202" s="6"/>
    </row>
    <row r="203" spans="1:15" ht="15.75">
      <c r="A203" s="26"/>
      <c r="B203" s="60" t="s">
        <v>210</v>
      </c>
      <c r="C203" s="106"/>
      <c r="D203" s="106"/>
      <c r="E203" s="60"/>
      <c r="F203" s="106"/>
      <c r="G203" s="27"/>
      <c r="H203" s="108"/>
      <c r="I203" s="60">
        <v>0</v>
      </c>
      <c r="J203" s="108">
        <f>I203/I209</f>
        <v>0</v>
      </c>
      <c r="K203" s="59">
        <v>0</v>
      </c>
      <c r="L203" s="151">
        <f>K203/$K$209</f>
        <v>0</v>
      </c>
      <c r="M203" s="91"/>
      <c r="N203" s="100"/>
      <c r="O203" s="6"/>
    </row>
    <row r="204" spans="1:15" ht="15.75">
      <c r="A204" s="26"/>
      <c r="B204" s="60" t="s">
        <v>211</v>
      </c>
      <c r="C204" s="106"/>
      <c r="D204" s="106"/>
      <c r="E204" s="60"/>
      <c r="F204" s="106"/>
      <c r="G204" s="27"/>
      <c r="H204" s="108"/>
      <c r="I204" s="60">
        <v>0</v>
      </c>
      <c r="J204" s="108">
        <f>I204/$I$209</f>
        <v>0</v>
      </c>
      <c r="K204" s="59">
        <v>0</v>
      </c>
      <c r="L204" s="151">
        <f>K204/$K$209</f>
        <v>0</v>
      </c>
      <c r="M204" s="91"/>
      <c r="N204" s="100"/>
      <c r="O204" s="6"/>
    </row>
    <row r="205" spans="1:15" ht="15.75">
      <c r="A205" s="26"/>
      <c r="B205" s="60" t="s">
        <v>212</v>
      </c>
      <c r="C205" s="106"/>
      <c r="D205" s="106"/>
      <c r="E205" s="60"/>
      <c r="F205" s="106"/>
      <c r="G205" s="27"/>
      <c r="H205" s="108"/>
      <c r="I205" s="60">
        <v>0</v>
      </c>
      <c r="J205" s="108">
        <f>I205/$I$209</f>
        <v>0</v>
      </c>
      <c r="K205" s="59">
        <v>0</v>
      </c>
      <c r="L205" s="151">
        <f>K205/$K$209</f>
        <v>0</v>
      </c>
      <c r="M205" s="91"/>
      <c r="N205" s="100"/>
      <c r="O205" s="6"/>
    </row>
    <row r="206" spans="1:15" ht="15.75">
      <c r="A206" s="26"/>
      <c r="B206" s="60" t="s">
        <v>213</v>
      </c>
      <c r="C206" s="106"/>
      <c r="D206" s="106"/>
      <c r="E206" s="60"/>
      <c r="F206" s="106"/>
      <c r="G206" s="27"/>
      <c r="H206" s="108"/>
      <c r="I206" s="60">
        <v>0</v>
      </c>
      <c r="J206" s="108">
        <f>I206/$I$209</f>
        <v>0</v>
      </c>
      <c r="K206" s="59">
        <v>0</v>
      </c>
      <c r="L206" s="151">
        <f>K206/$K$209</f>
        <v>0</v>
      </c>
      <c r="M206" s="91"/>
      <c r="N206" s="100"/>
      <c r="O206" s="6"/>
    </row>
    <row r="207" spans="1:15" ht="15.75">
      <c r="A207" s="26"/>
      <c r="B207" s="60" t="s">
        <v>214</v>
      </c>
      <c r="C207" s="106"/>
      <c r="D207" s="106"/>
      <c r="E207" s="60"/>
      <c r="F207" s="106"/>
      <c r="G207" s="27"/>
      <c r="H207" s="108"/>
      <c r="I207" s="60">
        <v>0</v>
      </c>
      <c r="J207" s="108">
        <f>I207/$I$209</f>
        <v>0</v>
      </c>
      <c r="K207" s="59">
        <v>0</v>
      </c>
      <c r="L207" s="151">
        <f>K207/$K$209</f>
        <v>0</v>
      </c>
      <c r="M207" s="91"/>
      <c r="N207" s="100"/>
      <c r="O207" s="6"/>
    </row>
    <row r="208" spans="1:15" ht="15.75">
      <c r="A208" s="26"/>
      <c r="B208" s="60"/>
      <c r="C208" s="106"/>
      <c r="D208" s="106"/>
      <c r="E208" s="60"/>
      <c r="F208" s="106"/>
      <c r="G208" s="27"/>
      <c r="H208" s="108"/>
      <c r="I208" s="60"/>
      <c r="J208" s="108"/>
      <c r="K208" s="59"/>
      <c r="L208" s="151"/>
      <c r="M208" s="91"/>
      <c r="N208" s="100"/>
      <c r="O208" s="6"/>
    </row>
    <row r="209" spans="1:15" ht="15.75">
      <c r="A209" s="26"/>
      <c r="B209" s="27"/>
      <c r="C209" s="27"/>
      <c r="D209" s="27"/>
      <c r="E209" s="27"/>
      <c r="F209" s="27"/>
      <c r="G209" s="27"/>
      <c r="H209" s="27"/>
      <c r="I209" s="38">
        <f>SUM(I200:I208)</f>
        <v>1695</v>
      </c>
      <c r="J209" s="109">
        <f>SUM(J200:J208)</f>
        <v>1</v>
      </c>
      <c r="K209" s="59">
        <f>SUM(K200:K208)</f>
        <v>179068</v>
      </c>
      <c r="L209" s="109">
        <f>SUM(L200:L208)</f>
        <v>1</v>
      </c>
      <c r="M209" s="27"/>
      <c r="N209" s="27"/>
      <c r="O209" s="6"/>
    </row>
    <row r="210" spans="1:15" ht="15.75">
      <c r="A210" s="26"/>
      <c r="B210" s="27"/>
      <c r="C210" s="27"/>
      <c r="D210" s="27"/>
      <c r="E210" s="27"/>
      <c r="F210" s="27"/>
      <c r="G210" s="27"/>
      <c r="H210" s="27"/>
      <c r="I210" s="38"/>
      <c r="J210" s="109"/>
      <c r="K210" s="59"/>
      <c r="L210" s="109"/>
      <c r="M210" s="27"/>
      <c r="N210" s="27"/>
      <c r="O210" s="6"/>
    </row>
    <row r="211" spans="1:15" ht="15.75">
      <c r="A211" s="153"/>
      <c r="B211" s="16" t="s">
        <v>221</v>
      </c>
      <c r="C211" s="93"/>
      <c r="D211" s="93"/>
      <c r="E211" s="94"/>
      <c r="F211" s="93"/>
      <c r="G211" s="94"/>
      <c r="H211" s="93"/>
      <c r="I211" s="95" t="s">
        <v>173</v>
      </c>
      <c r="J211" s="19" t="s">
        <v>174</v>
      </c>
      <c r="K211" s="95" t="s">
        <v>186</v>
      </c>
      <c r="L211" s="19" t="s">
        <v>174</v>
      </c>
      <c r="M211" s="154"/>
      <c r="N211" s="155"/>
      <c r="O211" s="6"/>
    </row>
    <row r="212" spans="1:15" ht="15.75">
      <c r="A212" s="26"/>
      <c r="B212" s="60" t="s">
        <v>135</v>
      </c>
      <c r="C212" s="106"/>
      <c r="D212" s="106"/>
      <c r="E212" s="60"/>
      <c r="F212" s="106"/>
      <c r="G212" s="27"/>
      <c r="H212" s="106"/>
      <c r="I212" s="60">
        <v>3</v>
      </c>
      <c r="J212" s="108">
        <f>I212/I221</f>
        <v>0.6</v>
      </c>
      <c r="K212" s="59">
        <v>216</v>
      </c>
      <c r="L212" s="151">
        <f>K212/K221</f>
        <v>0.46551724137931033</v>
      </c>
      <c r="M212" s="27"/>
      <c r="N212" s="27"/>
      <c r="O212" s="6"/>
    </row>
    <row r="213" spans="1:15" ht="15.75">
      <c r="A213" s="26"/>
      <c r="B213" s="60" t="s">
        <v>136</v>
      </c>
      <c r="C213" s="106"/>
      <c r="D213" s="106"/>
      <c r="E213" s="60"/>
      <c r="F213" s="106"/>
      <c r="G213" s="27"/>
      <c r="H213" s="108"/>
      <c r="I213" s="60">
        <v>0</v>
      </c>
      <c r="J213" s="108">
        <f>I213/I221</f>
        <v>0</v>
      </c>
      <c r="K213" s="59">
        <v>0</v>
      </c>
      <c r="L213" s="151">
        <f>K213/K221</f>
        <v>0</v>
      </c>
      <c r="M213" s="27"/>
      <c r="N213" s="27"/>
      <c r="O213" s="6"/>
    </row>
    <row r="214" spans="1:15" ht="15.75">
      <c r="A214" s="26"/>
      <c r="B214" s="60" t="s">
        <v>137</v>
      </c>
      <c r="C214" s="106"/>
      <c r="D214" s="106"/>
      <c r="E214" s="60"/>
      <c r="F214" s="106"/>
      <c r="G214" s="27"/>
      <c r="H214" s="108"/>
      <c r="I214" s="60">
        <v>0</v>
      </c>
      <c r="J214" s="108">
        <f>I214/I221</f>
        <v>0</v>
      </c>
      <c r="K214" s="59">
        <v>0</v>
      </c>
      <c r="L214" s="151">
        <f>K214/K221</f>
        <v>0</v>
      </c>
      <c r="M214" s="27"/>
      <c r="N214" s="27"/>
      <c r="O214" s="6"/>
    </row>
    <row r="215" spans="1:15" ht="15.75">
      <c r="A215" s="26"/>
      <c r="B215" s="60" t="s">
        <v>210</v>
      </c>
      <c r="C215" s="106"/>
      <c r="D215" s="106"/>
      <c r="E215" s="60"/>
      <c r="F215" s="106"/>
      <c r="G215" s="27"/>
      <c r="H215" s="108"/>
      <c r="I215" s="60">
        <v>0</v>
      </c>
      <c r="J215" s="108">
        <f>I215/I221</f>
        <v>0</v>
      </c>
      <c r="K215" s="59">
        <v>0</v>
      </c>
      <c r="L215" s="151">
        <f>K215/$K$221</f>
        <v>0</v>
      </c>
      <c r="M215" s="27"/>
      <c r="N215" s="27"/>
      <c r="O215" s="6"/>
    </row>
    <row r="216" spans="1:15" ht="15.75">
      <c r="A216" s="26"/>
      <c r="B216" s="60" t="s">
        <v>211</v>
      </c>
      <c r="C216" s="106"/>
      <c r="D216" s="106"/>
      <c r="E216" s="60"/>
      <c r="F216" s="106"/>
      <c r="G216" s="27"/>
      <c r="H216" s="108"/>
      <c r="I216" s="60">
        <v>0</v>
      </c>
      <c r="J216" s="108">
        <f>I216/$I$221</f>
        <v>0</v>
      </c>
      <c r="K216" s="59">
        <v>0</v>
      </c>
      <c r="L216" s="151">
        <f>K216/$K$221</f>
        <v>0</v>
      </c>
      <c r="M216" s="27"/>
      <c r="N216" s="27"/>
      <c r="O216" s="6"/>
    </row>
    <row r="217" spans="1:15" ht="15.75">
      <c r="A217" s="26"/>
      <c r="B217" s="60" t="s">
        <v>212</v>
      </c>
      <c r="C217" s="106"/>
      <c r="D217" s="106"/>
      <c r="E217" s="60"/>
      <c r="F217" s="106"/>
      <c r="G217" s="27"/>
      <c r="H217" s="108"/>
      <c r="I217" s="60">
        <v>1</v>
      </c>
      <c r="J217" s="108">
        <f>I217/$I$221</f>
        <v>0.2</v>
      </c>
      <c r="K217" s="59">
        <v>95</v>
      </c>
      <c r="L217" s="151">
        <f>K217/$K$221</f>
        <v>0.20474137931034483</v>
      </c>
      <c r="M217" s="27"/>
      <c r="N217" s="27"/>
      <c r="O217" s="6"/>
    </row>
    <row r="218" spans="1:15" ht="15.75">
      <c r="A218" s="26"/>
      <c r="B218" s="60" t="s">
        <v>213</v>
      </c>
      <c r="C218" s="106"/>
      <c r="D218" s="106"/>
      <c r="E218" s="60"/>
      <c r="F218" s="106"/>
      <c r="G218" s="27"/>
      <c r="H218" s="108"/>
      <c r="I218" s="60">
        <v>0</v>
      </c>
      <c r="J218" s="108">
        <f>I218/$I$221</f>
        <v>0</v>
      </c>
      <c r="K218" s="59">
        <v>0</v>
      </c>
      <c r="L218" s="151">
        <f>K218/$K$221</f>
        <v>0</v>
      </c>
      <c r="M218" s="27"/>
      <c r="N218" s="27"/>
      <c r="O218" s="6"/>
    </row>
    <row r="219" spans="1:15" ht="15.75">
      <c r="A219" s="26"/>
      <c r="B219" s="60" t="s">
        <v>214</v>
      </c>
      <c r="C219" s="106"/>
      <c r="D219" s="106"/>
      <c r="E219" s="60"/>
      <c r="F219" s="106"/>
      <c r="G219" s="27"/>
      <c r="H219" s="108"/>
      <c r="I219" s="60">
        <v>1</v>
      </c>
      <c r="J219" s="108">
        <f>I219/$I$221</f>
        <v>0.2</v>
      </c>
      <c r="K219" s="59">
        <v>153</v>
      </c>
      <c r="L219" s="151">
        <f>K219/$K$221</f>
        <v>0.3297413793103448</v>
      </c>
      <c r="M219" s="27"/>
      <c r="N219" s="27"/>
      <c r="O219" s="6"/>
    </row>
    <row r="220" spans="1:15" ht="15.75">
      <c r="A220" s="26"/>
      <c r="B220" s="60"/>
      <c r="C220" s="106"/>
      <c r="D220" s="106"/>
      <c r="E220" s="60"/>
      <c r="F220" s="106"/>
      <c r="G220" s="27"/>
      <c r="H220" s="108"/>
      <c r="I220" s="60"/>
      <c r="J220" s="108"/>
      <c r="K220" s="59"/>
      <c r="L220" s="151"/>
      <c r="M220" s="27"/>
      <c r="N220" s="27"/>
      <c r="O220" s="6"/>
    </row>
    <row r="221" spans="1:16" ht="15.75">
      <c r="A221" s="156"/>
      <c r="B221" s="157"/>
      <c r="C221" s="157"/>
      <c r="D221" s="157"/>
      <c r="E221" s="157"/>
      <c r="F221" s="157"/>
      <c r="G221" s="157"/>
      <c r="H221" s="157"/>
      <c r="I221" s="158">
        <f>SUM(I212:I220)</f>
        <v>5</v>
      </c>
      <c r="J221" s="159">
        <f>SUM(J212:J220)</f>
        <v>1</v>
      </c>
      <c r="K221" s="160">
        <f>SUM(K212:K220)</f>
        <v>464</v>
      </c>
      <c r="L221" s="159">
        <f>SUM(L212:L220)</f>
        <v>1</v>
      </c>
      <c r="M221" s="157"/>
      <c r="N221" s="161"/>
      <c r="O221" s="6"/>
      <c r="P221" s="125"/>
    </row>
    <row r="222" spans="1:15" ht="15.75">
      <c r="A222" s="162"/>
      <c r="B222" s="163"/>
      <c r="C222" s="163"/>
      <c r="D222" s="163"/>
      <c r="E222" s="163"/>
      <c r="F222" s="163"/>
      <c r="G222" s="163"/>
      <c r="H222" s="163"/>
      <c r="I222" s="164"/>
      <c r="J222" s="165"/>
      <c r="K222" s="166"/>
      <c r="L222" s="165"/>
      <c r="M222" s="163"/>
      <c r="N222" s="163"/>
      <c r="O222" s="6"/>
    </row>
    <row r="223" spans="1:15" ht="15.75">
      <c r="A223" s="153"/>
      <c r="B223" s="16" t="s">
        <v>219</v>
      </c>
      <c r="C223" s="93"/>
      <c r="D223" s="93"/>
      <c r="E223" s="94"/>
      <c r="F223" s="93"/>
      <c r="G223" s="94"/>
      <c r="H223" s="93"/>
      <c r="I223" s="95" t="s">
        <v>173</v>
      </c>
      <c r="J223" s="19" t="s">
        <v>174</v>
      </c>
      <c r="K223" s="95" t="s">
        <v>186</v>
      </c>
      <c r="L223" s="19" t="s">
        <v>174</v>
      </c>
      <c r="M223" s="154"/>
      <c r="N223" s="155"/>
      <c r="O223" s="6"/>
    </row>
    <row r="224" spans="1:15" ht="15.75">
      <c r="A224" s="26"/>
      <c r="B224" s="60" t="s">
        <v>135</v>
      </c>
      <c r="C224" s="106"/>
      <c r="D224" s="106"/>
      <c r="E224" s="60"/>
      <c r="F224" s="106"/>
      <c r="G224" s="27"/>
      <c r="H224" s="106"/>
      <c r="I224" s="60">
        <v>0</v>
      </c>
      <c r="J224" s="108">
        <v>0</v>
      </c>
      <c r="K224" s="59">
        <v>0</v>
      </c>
      <c r="L224" s="151">
        <v>0</v>
      </c>
      <c r="M224" s="27"/>
      <c r="N224" s="27"/>
      <c r="O224" s="6"/>
    </row>
    <row r="225" spans="1:15" ht="15.75">
      <c r="A225" s="26"/>
      <c r="B225" s="60" t="s">
        <v>136</v>
      </c>
      <c r="C225" s="106"/>
      <c r="D225" s="106"/>
      <c r="E225" s="60"/>
      <c r="F225" s="106"/>
      <c r="G225" s="27"/>
      <c r="H225" s="108"/>
      <c r="I225" s="60">
        <v>0</v>
      </c>
      <c r="J225" s="108">
        <v>0</v>
      </c>
      <c r="K225" s="59">
        <v>0</v>
      </c>
      <c r="L225" s="151">
        <v>0</v>
      </c>
      <c r="M225" s="27"/>
      <c r="N225" s="27"/>
      <c r="O225" s="6"/>
    </row>
    <row r="226" spans="1:15" ht="15.75">
      <c r="A226" s="26"/>
      <c r="B226" s="60" t="s">
        <v>137</v>
      </c>
      <c r="C226" s="106"/>
      <c r="D226" s="106"/>
      <c r="E226" s="60"/>
      <c r="F226" s="106"/>
      <c r="G226" s="27"/>
      <c r="H226" s="108"/>
      <c r="I226" s="60">
        <v>0</v>
      </c>
      <c r="J226" s="108">
        <v>0</v>
      </c>
      <c r="K226" s="59">
        <v>0</v>
      </c>
      <c r="L226" s="151">
        <v>0</v>
      </c>
      <c r="M226" s="27"/>
      <c r="N226" s="27"/>
      <c r="O226" s="6"/>
    </row>
    <row r="227" spans="1:15" ht="15.75">
      <c r="A227" s="26"/>
      <c r="B227" s="60" t="s">
        <v>210</v>
      </c>
      <c r="C227" s="106"/>
      <c r="D227" s="106"/>
      <c r="E227" s="60"/>
      <c r="F227" s="106"/>
      <c r="G227" s="27"/>
      <c r="H227" s="108"/>
      <c r="I227" s="60">
        <v>0</v>
      </c>
      <c r="J227" s="108">
        <v>0</v>
      </c>
      <c r="K227" s="59">
        <v>0</v>
      </c>
      <c r="L227" s="151">
        <v>0</v>
      </c>
      <c r="M227" s="27"/>
      <c r="N227" s="27"/>
      <c r="O227" s="6"/>
    </row>
    <row r="228" spans="1:15" ht="15.75">
      <c r="A228" s="26"/>
      <c r="B228" s="60" t="s">
        <v>211</v>
      </c>
      <c r="C228" s="106"/>
      <c r="D228" s="106"/>
      <c r="E228" s="60"/>
      <c r="F228" s="106"/>
      <c r="G228" s="27"/>
      <c r="H228" s="108"/>
      <c r="I228" s="60">
        <v>0</v>
      </c>
      <c r="J228" s="108">
        <v>0</v>
      </c>
      <c r="K228" s="59">
        <v>0</v>
      </c>
      <c r="L228" s="151">
        <v>0</v>
      </c>
      <c r="M228" s="27"/>
      <c r="N228" s="27"/>
      <c r="O228" s="6"/>
    </row>
    <row r="229" spans="1:15" ht="15.75">
      <c r="A229" s="26"/>
      <c r="B229" s="60" t="s">
        <v>212</v>
      </c>
      <c r="C229" s="106"/>
      <c r="D229" s="106"/>
      <c r="E229" s="60"/>
      <c r="F229" s="106"/>
      <c r="G229" s="27"/>
      <c r="H229" s="108"/>
      <c r="I229" s="60">
        <v>0</v>
      </c>
      <c r="J229" s="108">
        <v>0</v>
      </c>
      <c r="K229" s="59">
        <v>0</v>
      </c>
      <c r="L229" s="151">
        <v>0</v>
      </c>
      <c r="M229" s="27"/>
      <c r="N229" s="27"/>
      <c r="O229" s="6"/>
    </row>
    <row r="230" spans="1:15" ht="15.75">
      <c r="A230" s="26"/>
      <c r="B230" s="60" t="s">
        <v>213</v>
      </c>
      <c r="C230" s="106"/>
      <c r="D230" s="106"/>
      <c r="E230" s="60"/>
      <c r="F230" s="106"/>
      <c r="G230" s="27"/>
      <c r="H230" s="108"/>
      <c r="I230" s="60">
        <v>0</v>
      </c>
      <c r="J230" s="108">
        <v>0</v>
      </c>
      <c r="K230" s="59">
        <v>0</v>
      </c>
      <c r="L230" s="151">
        <v>0</v>
      </c>
      <c r="M230" s="27"/>
      <c r="N230" s="27"/>
      <c r="O230" s="6"/>
    </row>
    <row r="231" spans="1:15" ht="15.75">
      <c r="A231" s="26"/>
      <c r="B231" s="60" t="s">
        <v>214</v>
      </c>
      <c r="C231" s="106"/>
      <c r="D231" s="106"/>
      <c r="E231" s="60"/>
      <c r="F231" s="106"/>
      <c r="G231" s="27"/>
      <c r="H231" s="108"/>
      <c r="I231" s="60">
        <v>0</v>
      </c>
      <c r="J231" s="108">
        <v>0</v>
      </c>
      <c r="K231" s="59">
        <v>0</v>
      </c>
      <c r="L231" s="151">
        <v>0</v>
      </c>
      <c r="M231" s="27"/>
      <c r="N231" s="27"/>
      <c r="O231" s="6"/>
    </row>
    <row r="232" spans="1:15" ht="15.75">
      <c r="A232" s="26"/>
      <c r="B232" s="60"/>
      <c r="C232" s="106"/>
      <c r="D232" s="106"/>
      <c r="E232" s="60"/>
      <c r="F232" s="106"/>
      <c r="G232" s="27"/>
      <c r="H232" s="108"/>
      <c r="I232" s="60"/>
      <c r="J232" s="108"/>
      <c r="K232" s="59"/>
      <c r="L232" s="151"/>
      <c r="M232" s="27"/>
      <c r="N232" s="27"/>
      <c r="O232" s="6"/>
    </row>
    <row r="233" spans="1:15" ht="15.75">
      <c r="A233" s="156"/>
      <c r="B233" s="157"/>
      <c r="C233" s="157"/>
      <c r="D233" s="157"/>
      <c r="E233" s="157"/>
      <c r="F233" s="157"/>
      <c r="G233" s="157"/>
      <c r="H233" s="157"/>
      <c r="I233" s="158">
        <f>SUM(I224:I232)</f>
        <v>0</v>
      </c>
      <c r="J233" s="159">
        <f>SUM(J224:J232)</f>
        <v>0</v>
      </c>
      <c r="K233" s="160">
        <f>SUM(K224:K232)</f>
        <v>0</v>
      </c>
      <c r="L233" s="159">
        <f>SUM(L224:L232)</f>
        <v>0</v>
      </c>
      <c r="M233" s="157"/>
      <c r="N233" s="161"/>
      <c r="O233" s="6"/>
    </row>
    <row r="234" spans="1:15" ht="15.75">
      <c r="A234" s="156"/>
      <c r="B234" s="157"/>
      <c r="C234" s="157"/>
      <c r="D234" s="157"/>
      <c r="E234" s="157"/>
      <c r="F234" s="157"/>
      <c r="G234" s="157"/>
      <c r="H234" s="157"/>
      <c r="I234" s="158"/>
      <c r="J234" s="159"/>
      <c r="K234" s="160"/>
      <c r="L234" s="159"/>
      <c r="M234" s="157"/>
      <c r="N234" s="161"/>
      <c r="O234" s="6"/>
    </row>
    <row r="235" spans="1:15" ht="15.75">
      <c r="A235" s="156"/>
      <c r="B235" s="172" t="s">
        <v>195</v>
      </c>
      <c r="C235" s="157"/>
      <c r="D235" s="157"/>
      <c r="E235" s="157"/>
      <c r="F235" s="157"/>
      <c r="G235" s="157"/>
      <c r="H235" s="157"/>
      <c r="I235" s="158">
        <f>+I233+I221+I209</f>
        <v>1700</v>
      </c>
      <c r="J235" s="159"/>
      <c r="K235" s="160">
        <f>+K233+K221+K209</f>
        <v>179532</v>
      </c>
      <c r="L235" s="159"/>
      <c r="M235" s="157"/>
      <c r="N235" s="161"/>
      <c r="O235" s="6"/>
    </row>
    <row r="236" spans="1:15" ht="15.75">
      <c r="A236" s="162"/>
      <c r="B236" s="163"/>
      <c r="C236" s="163"/>
      <c r="D236" s="163"/>
      <c r="E236" s="163"/>
      <c r="F236" s="163"/>
      <c r="G236" s="163"/>
      <c r="H236" s="163"/>
      <c r="I236" s="164"/>
      <c r="J236" s="165"/>
      <c r="K236" s="166"/>
      <c r="L236" s="165"/>
      <c r="M236" s="163"/>
      <c r="N236" s="163"/>
      <c r="O236" s="6"/>
    </row>
    <row r="237" spans="1:15" ht="15.75">
      <c r="A237" s="148"/>
      <c r="B237" s="16" t="s">
        <v>216</v>
      </c>
      <c r="C237" s="113"/>
      <c r="D237" s="113"/>
      <c r="E237" s="19"/>
      <c r="F237" s="17"/>
      <c r="G237" s="16"/>
      <c r="H237" s="143"/>
      <c r="I237" s="143"/>
      <c r="J237" s="143"/>
      <c r="K237" s="143"/>
      <c r="L237" s="143"/>
      <c r="M237" s="143"/>
      <c r="N237" s="143"/>
      <c r="O237" s="6"/>
    </row>
    <row r="238" spans="1:15" ht="15.75">
      <c r="A238" s="148"/>
      <c r="B238" s="143"/>
      <c r="C238" s="143"/>
      <c r="D238" s="143"/>
      <c r="E238" s="9"/>
      <c r="F238" s="9"/>
      <c r="G238" s="9"/>
      <c r="H238" s="143"/>
      <c r="I238" s="143"/>
      <c r="J238" s="143"/>
      <c r="K238" s="143"/>
      <c r="L238" s="143"/>
      <c r="M238" s="143"/>
      <c r="N238" s="143"/>
      <c r="O238" s="6"/>
    </row>
    <row r="239" spans="1:15" ht="15.75">
      <c r="A239" s="148"/>
      <c r="B239" s="15" t="s">
        <v>217</v>
      </c>
      <c r="C239" s="114"/>
      <c r="D239" s="114"/>
      <c r="E239" s="115"/>
      <c r="F239" s="15"/>
      <c r="G239" s="15"/>
      <c r="H239" s="114"/>
      <c r="I239" s="114"/>
      <c r="J239" s="143"/>
      <c r="K239" s="143"/>
      <c r="L239" s="143"/>
      <c r="M239" s="143"/>
      <c r="N239" s="143"/>
      <c r="O239" s="6"/>
    </row>
    <row r="240" spans="1:15" ht="15.75">
      <c r="A240" s="148"/>
      <c r="B240" s="15" t="s">
        <v>215</v>
      </c>
      <c r="C240" s="114"/>
      <c r="D240" s="114"/>
      <c r="E240" s="115"/>
      <c r="F240" s="15"/>
      <c r="G240" s="15"/>
      <c r="H240" s="114"/>
      <c r="I240" s="114"/>
      <c r="J240" s="143"/>
      <c r="K240" s="143"/>
      <c r="L240" s="143"/>
      <c r="M240" s="143"/>
      <c r="N240" s="143"/>
      <c r="O240" s="6"/>
    </row>
    <row r="241" spans="1:15" ht="15.75">
      <c r="A241" s="148"/>
      <c r="B241" s="15"/>
      <c r="C241" s="114"/>
      <c r="D241" s="114"/>
      <c r="E241" s="115"/>
      <c r="F241" s="15"/>
      <c r="G241" s="15"/>
      <c r="H241" s="114"/>
      <c r="I241" s="114"/>
      <c r="J241" s="143"/>
      <c r="K241" s="143"/>
      <c r="L241" s="143"/>
      <c r="M241" s="143"/>
      <c r="N241" s="143"/>
      <c r="O241" s="6"/>
    </row>
    <row r="242" spans="1:15" ht="18.75">
      <c r="A242" s="148"/>
      <c r="B242" s="55" t="str">
        <f>B160</f>
        <v>PM5 INVESTOR REPORT QUARTER ENDING FEBRUARY 2006</v>
      </c>
      <c r="C242" s="114"/>
      <c r="D242" s="114"/>
      <c r="E242" s="115"/>
      <c r="F242" s="15"/>
      <c r="G242" s="15"/>
      <c r="H242" s="114"/>
      <c r="I242" s="114"/>
      <c r="J242" s="143"/>
      <c r="K242" s="143"/>
      <c r="L242" s="143"/>
      <c r="M242" s="143"/>
      <c r="N242" s="143"/>
      <c r="O242" s="6"/>
    </row>
    <row r="243" spans="1:14" ht="15">
      <c r="A243" s="116"/>
      <c r="B243" s="116"/>
      <c r="C243" s="116"/>
      <c r="D243" s="116"/>
      <c r="E243" s="116"/>
      <c r="F243" s="116"/>
      <c r="G243" s="116"/>
      <c r="H243" s="116"/>
      <c r="I243" s="116"/>
      <c r="J243" s="116"/>
      <c r="K243" s="116"/>
      <c r="L243" s="116"/>
      <c r="M243" s="116"/>
      <c r="N243" s="116"/>
    </row>
    <row r="245" ht="15">
      <c r="I245" s="125"/>
    </row>
  </sheetData>
  <hyperlinks>
    <hyperlink ref="N197" r:id="rId1" display="http://www.paragon-group.co.uk"/>
    <hyperlink ref="K10" r:id="rId2" display="http://www.paragon-group.co.uk"/>
  </hyperlinks>
  <printOptions horizontalCentered="1" verticalCentered="1"/>
  <pageMargins left="0.5118110236220472" right="0.5118110236220472" top="0.2755905511811024" bottom="0.2755905511811024" header="0" footer="0"/>
  <pageSetup horizontalDpi="600" verticalDpi="600" orientation="landscape" scale="43" r:id="rId4"/>
  <rowBreaks count="3" manualBreakCount="3">
    <brk id="52" max="14" man="1"/>
    <brk id="110" max="14" man="1"/>
    <brk id="160" max="14" man="1"/>
  </rowBreaks>
  <drawing r:id="rId3"/>
</worksheet>
</file>

<file path=xl/worksheets/sheet12.xml><?xml version="1.0" encoding="utf-8"?>
<worksheet xmlns="http://schemas.openxmlformats.org/spreadsheetml/2006/main" xmlns:r="http://schemas.openxmlformats.org/officeDocument/2006/relationships">
  <sheetPr>
    <tabColor indexed="54"/>
  </sheetPr>
  <dimension ref="A1:P247"/>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7.88671875" style="1" customWidth="1"/>
    <col min="11" max="11" width="17.77734375" style="1" customWidth="1"/>
    <col min="12" max="12" width="6.6640625" style="1" customWidth="1"/>
    <col min="13" max="13" width="11.4453125" style="1" customWidth="1"/>
    <col min="14" max="14" width="31.1054687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8.75">
      <c r="A10" s="7"/>
      <c r="B10" s="168" t="s">
        <v>225</v>
      </c>
      <c r="C10" s="13"/>
      <c r="D10" s="13"/>
      <c r="E10" s="9"/>
      <c r="F10" s="9"/>
      <c r="G10" s="9"/>
      <c r="H10" s="9"/>
      <c r="I10" s="9"/>
      <c r="J10" s="9"/>
      <c r="K10" s="170" t="s">
        <v>224</v>
      </c>
      <c r="L10" s="9"/>
      <c r="M10" s="9"/>
      <c r="N10" s="9"/>
      <c r="O10" s="6"/>
    </row>
    <row r="11" spans="1:15" ht="15.75">
      <c r="A11" s="7"/>
      <c r="B11" s="12"/>
      <c r="C11" s="13"/>
      <c r="D11" s="13"/>
      <c r="E11" s="15"/>
      <c r="F11" s="15"/>
      <c r="G11" s="9"/>
      <c r="H11" s="9"/>
      <c r="I11" s="9"/>
      <c r="J11" s="9"/>
      <c r="K11" s="9"/>
      <c r="L11" s="9"/>
      <c r="M11" s="9"/>
      <c r="N11" s="9"/>
      <c r="O11" s="6"/>
    </row>
    <row r="12" spans="1:15" ht="15.75">
      <c r="A12" s="7"/>
      <c r="B12" s="16" t="s">
        <v>5</v>
      </c>
      <c r="C12" s="15"/>
      <c r="D12" s="15"/>
      <c r="E12" s="9"/>
      <c r="F12" s="9"/>
      <c r="G12" s="9"/>
      <c r="H12" s="9"/>
      <c r="I12" s="9"/>
      <c r="J12" s="9"/>
      <c r="K12" s="9"/>
      <c r="L12" s="9"/>
      <c r="M12" s="9"/>
      <c r="N12" s="9"/>
      <c r="O12" s="6"/>
    </row>
    <row r="13" spans="1:15" ht="15.75">
      <c r="A13" s="7"/>
      <c r="B13" s="15"/>
      <c r="C13" s="15"/>
      <c r="D13" s="15"/>
      <c r="E13" s="9"/>
      <c r="F13" s="9"/>
      <c r="G13" s="9"/>
      <c r="H13" s="9"/>
      <c r="I13" s="9"/>
      <c r="J13" s="9"/>
      <c r="K13" s="9"/>
      <c r="L13" s="9"/>
      <c r="M13" s="9"/>
      <c r="N13" s="9"/>
      <c r="O13" s="6"/>
    </row>
    <row r="14" spans="1:15" ht="15.75">
      <c r="A14" s="2"/>
      <c r="B14" s="5"/>
      <c r="C14" s="5"/>
      <c r="D14" s="5"/>
      <c r="E14" s="5"/>
      <c r="F14" s="5"/>
      <c r="G14" s="5"/>
      <c r="H14" s="5"/>
      <c r="I14" s="5"/>
      <c r="J14" s="5"/>
      <c r="K14" s="5"/>
      <c r="L14" s="5"/>
      <c r="M14" s="5"/>
      <c r="N14" s="5"/>
      <c r="O14" s="6"/>
    </row>
    <row r="15" spans="1:15" ht="15.75">
      <c r="A15" s="7"/>
      <c r="B15" s="16" t="s">
        <v>6</v>
      </c>
      <c r="C15" s="16"/>
      <c r="D15" s="16"/>
      <c r="E15" s="17"/>
      <c r="F15" s="17"/>
      <c r="G15" s="17"/>
      <c r="H15" s="17"/>
      <c r="I15" s="17"/>
      <c r="J15" s="17"/>
      <c r="K15" s="17"/>
      <c r="L15" s="17"/>
      <c r="M15" s="18" t="s">
        <v>190</v>
      </c>
      <c r="N15" s="17"/>
      <c r="O15" s="6"/>
    </row>
    <row r="16" spans="1:15" ht="15.75">
      <c r="A16" s="7"/>
      <c r="B16" s="16" t="s">
        <v>7</v>
      </c>
      <c r="C16" s="16"/>
      <c r="D16" s="16"/>
      <c r="E16" s="17"/>
      <c r="F16" s="17"/>
      <c r="G16" s="17"/>
      <c r="H16" s="17"/>
      <c r="I16" s="19"/>
      <c r="J16" s="20"/>
      <c r="K16" s="19" t="s">
        <v>175</v>
      </c>
      <c r="L16" s="20">
        <v>1</v>
      </c>
      <c r="M16" s="18"/>
      <c r="N16" s="17"/>
      <c r="O16" s="6"/>
    </row>
    <row r="17" spans="1:15" ht="15.75">
      <c r="A17" s="7"/>
      <c r="B17" s="16" t="s">
        <v>8</v>
      </c>
      <c r="C17" s="16"/>
      <c r="D17" s="16"/>
      <c r="E17" s="17"/>
      <c r="F17" s="17"/>
      <c r="G17" s="17"/>
      <c r="H17" s="17"/>
      <c r="I17" s="19"/>
      <c r="J17" s="20"/>
      <c r="K17" s="19" t="s">
        <v>175</v>
      </c>
      <c r="L17" s="20">
        <v>0</v>
      </c>
      <c r="M17" s="18"/>
      <c r="N17" s="17"/>
      <c r="O17" s="6"/>
    </row>
    <row r="18" spans="1:15" ht="15.75">
      <c r="A18" s="7"/>
      <c r="B18" s="16" t="s">
        <v>9</v>
      </c>
      <c r="C18" s="16"/>
      <c r="D18" s="16"/>
      <c r="E18" s="17"/>
      <c r="F18" s="17"/>
      <c r="G18" s="17"/>
      <c r="H18" s="17"/>
      <c r="I18" s="17"/>
      <c r="J18" s="17"/>
      <c r="K18" s="17"/>
      <c r="L18" s="17"/>
      <c r="M18" s="21">
        <v>37798</v>
      </c>
      <c r="N18" s="17"/>
      <c r="O18" s="6"/>
    </row>
    <row r="19" spans="1:15" ht="15.75">
      <c r="A19" s="7"/>
      <c r="B19" s="16" t="s">
        <v>10</v>
      </c>
      <c r="C19" s="16"/>
      <c r="D19" s="16"/>
      <c r="E19" s="17"/>
      <c r="F19" s="17"/>
      <c r="G19" s="17"/>
      <c r="H19" s="17"/>
      <c r="I19" s="17"/>
      <c r="J19" s="17"/>
      <c r="K19" s="17"/>
      <c r="L19" s="17"/>
      <c r="M19" s="21">
        <v>38888</v>
      </c>
      <c r="N19" s="17"/>
      <c r="O19" s="6"/>
    </row>
    <row r="20" spans="1:15" ht="15.75">
      <c r="A20" s="7"/>
      <c r="B20" s="9"/>
      <c r="C20" s="9"/>
      <c r="D20" s="9"/>
      <c r="E20" s="9"/>
      <c r="F20" s="9"/>
      <c r="G20" s="9"/>
      <c r="H20" s="9"/>
      <c r="I20" s="9"/>
      <c r="J20" s="9"/>
      <c r="K20" s="9"/>
      <c r="L20" s="9"/>
      <c r="M20" s="22"/>
      <c r="N20" s="9"/>
      <c r="O20" s="6"/>
    </row>
    <row r="21" spans="1:15" ht="15.75">
      <c r="A21" s="7"/>
      <c r="B21" s="23" t="s">
        <v>11</v>
      </c>
      <c r="C21" s="9"/>
      <c r="D21" s="9"/>
      <c r="E21" s="9"/>
      <c r="F21" s="9"/>
      <c r="G21" s="9"/>
      <c r="H21" s="9"/>
      <c r="I21" s="9"/>
      <c r="J21" s="9"/>
      <c r="K21" s="22" t="s">
        <v>176</v>
      </c>
      <c r="L21" s="9"/>
      <c r="M21" s="143"/>
      <c r="N21" s="9"/>
      <c r="O21" s="6"/>
    </row>
    <row r="22" spans="1:15" ht="15.75">
      <c r="A22" s="7"/>
      <c r="B22" s="9"/>
      <c r="C22" s="9"/>
      <c r="D22" s="9"/>
      <c r="E22" s="9"/>
      <c r="F22" s="9"/>
      <c r="G22" s="9"/>
      <c r="H22" s="9"/>
      <c r="I22" s="9"/>
      <c r="J22" s="9"/>
      <c r="K22" s="9"/>
      <c r="L22" s="9"/>
      <c r="M22" s="24"/>
      <c r="N22" s="9"/>
      <c r="O22" s="6"/>
    </row>
    <row r="23" spans="1:15" ht="15.75">
      <c r="A23" s="7"/>
      <c r="B23" s="9"/>
      <c r="C23" s="130" t="s">
        <v>142</v>
      </c>
      <c r="D23" s="130" t="s">
        <v>146</v>
      </c>
      <c r="E23" s="132" t="s">
        <v>147</v>
      </c>
      <c r="F23" s="132"/>
      <c r="G23" s="132" t="s">
        <v>157</v>
      </c>
      <c r="H23" s="132"/>
      <c r="I23" s="132" t="s">
        <v>165</v>
      </c>
      <c r="J23" s="133"/>
      <c r="K23" s="25"/>
      <c r="L23" s="143"/>
      <c r="M23" s="143"/>
      <c r="N23" s="9"/>
      <c r="O23" s="6"/>
    </row>
    <row r="24" spans="1:15" ht="15.75">
      <c r="A24" s="26"/>
      <c r="B24" s="27" t="s">
        <v>12</v>
      </c>
      <c r="C24" s="131" t="s">
        <v>143</v>
      </c>
      <c r="D24" s="131" t="s">
        <v>143</v>
      </c>
      <c r="E24" s="29" t="s">
        <v>148</v>
      </c>
      <c r="F24" s="29"/>
      <c r="G24" s="29" t="s">
        <v>148</v>
      </c>
      <c r="H24" s="29"/>
      <c r="I24" s="29" t="s">
        <v>166</v>
      </c>
      <c r="J24" s="29"/>
      <c r="K24" s="29"/>
      <c r="L24" s="144"/>
      <c r="M24" s="144"/>
      <c r="N24" s="27"/>
      <c r="O24" s="6"/>
    </row>
    <row r="25" spans="1:15" ht="15.75">
      <c r="A25" s="26"/>
      <c r="B25" s="27" t="s">
        <v>13</v>
      </c>
      <c r="C25" s="28"/>
      <c r="D25" s="28"/>
      <c r="E25" s="29" t="s">
        <v>149</v>
      </c>
      <c r="F25" s="29"/>
      <c r="G25" s="29" t="s">
        <v>149</v>
      </c>
      <c r="H25" s="29"/>
      <c r="I25" s="29" t="s">
        <v>167</v>
      </c>
      <c r="J25" s="29"/>
      <c r="K25" s="29"/>
      <c r="L25" s="144"/>
      <c r="M25" s="144"/>
      <c r="N25" s="27"/>
      <c r="O25" s="6"/>
    </row>
    <row r="26" spans="1:15" ht="15.75">
      <c r="A26" s="31"/>
      <c r="B26" s="32" t="s">
        <v>14</v>
      </c>
      <c r="C26" s="32"/>
      <c r="D26" s="32"/>
      <c r="E26" s="33" t="s">
        <v>148</v>
      </c>
      <c r="F26" s="33"/>
      <c r="G26" s="33" t="s">
        <v>148</v>
      </c>
      <c r="H26" s="33"/>
      <c r="I26" s="33" t="s">
        <v>166</v>
      </c>
      <c r="J26" s="29"/>
      <c r="K26" s="29"/>
      <c r="L26" s="144"/>
      <c r="M26" s="144"/>
      <c r="N26" s="27"/>
      <c r="O26" s="6"/>
    </row>
    <row r="27" spans="1:15" ht="15.75">
      <c r="A27" s="31"/>
      <c r="B27" s="32" t="s">
        <v>15</v>
      </c>
      <c r="C27" s="32"/>
      <c r="D27" s="32"/>
      <c r="E27" s="33" t="s">
        <v>149</v>
      </c>
      <c r="F27" s="33"/>
      <c r="G27" s="33" t="s">
        <v>149</v>
      </c>
      <c r="H27" s="33"/>
      <c r="I27" s="33" t="s">
        <v>167</v>
      </c>
      <c r="J27" s="29"/>
      <c r="K27" s="29"/>
      <c r="L27" s="144"/>
      <c r="M27" s="144"/>
      <c r="N27" s="27"/>
      <c r="O27" s="6"/>
    </row>
    <row r="28" spans="1:15" ht="15.75">
      <c r="A28" s="26"/>
      <c r="B28" s="27" t="s">
        <v>16</v>
      </c>
      <c r="C28" s="27"/>
      <c r="D28" s="27"/>
      <c r="E28" s="34" t="s">
        <v>150</v>
      </c>
      <c r="F28" s="29"/>
      <c r="G28" s="34" t="s">
        <v>158</v>
      </c>
      <c r="H28" s="29"/>
      <c r="I28" s="34" t="s">
        <v>168</v>
      </c>
      <c r="J28" s="29"/>
      <c r="K28" s="34"/>
      <c r="L28" s="144"/>
      <c r="M28" s="144"/>
      <c r="N28" s="27"/>
      <c r="O28" s="6"/>
    </row>
    <row r="29" spans="1:15" ht="15.75">
      <c r="A29" s="26"/>
      <c r="B29" s="27"/>
      <c r="C29" s="27"/>
      <c r="D29" s="27"/>
      <c r="E29" s="27"/>
      <c r="F29" s="29"/>
      <c r="G29" s="29"/>
      <c r="H29" s="29"/>
      <c r="I29" s="29"/>
      <c r="J29" s="29"/>
      <c r="K29" s="29"/>
      <c r="L29" s="144"/>
      <c r="M29" s="144"/>
      <c r="N29" s="27"/>
      <c r="O29" s="6"/>
    </row>
    <row r="30" spans="1:15" ht="15.75">
      <c r="A30" s="26"/>
      <c r="B30" s="27" t="s">
        <v>17</v>
      </c>
      <c r="C30" s="27"/>
      <c r="D30" s="27"/>
      <c r="E30" s="35">
        <v>50000</v>
      </c>
      <c r="F30" s="36"/>
      <c r="G30" s="35">
        <v>176250</v>
      </c>
      <c r="H30" s="35"/>
      <c r="I30" s="35">
        <v>23750</v>
      </c>
      <c r="J30" s="35"/>
      <c r="K30" s="35"/>
      <c r="L30" s="145"/>
      <c r="M30" s="35">
        <f>I30+G30+E30</f>
        <v>250000</v>
      </c>
      <c r="N30" s="38"/>
      <c r="O30" s="6"/>
    </row>
    <row r="31" spans="1:15" ht="15.75">
      <c r="A31" s="26"/>
      <c r="B31" s="27" t="s">
        <v>18</v>
      </c>
      <c r="C31" s="39">
        <v>0</v>
      </c>
      <c r="D31" s="39">
        <v>0.883867</v>
      </c>
      <c r="E31" s="35">
        <f>E30*C31</f>
        <v>0</v>
      </c>
      <c r="F31" s="36"/>
      <c r="G31" s="35">
        <f>G30*D31</f>
        <v>155781.55875</v>
      </c>
      <c r="H31" s="35"/>
      <c r="I31" s="35">
        <v>23750</v>
      </c>
      <c r="J31" s="35"/>
      <c r="K31" s="35"/>
      <c r="L31" s="145"/>
      <c r="M31" s="35">
        <f>I31+G31+E31</f>
        <v>179531.55875</v>
      </c>
      <c r="N31" s="38"/>
      <c r="O31" s="6"/>
    </row>
    <row r="32" spans="1:15" ht="15.75">
      <c r="A32" s="31"/>
      <c r="B32" s="32" t="s">
        <v>19</v>
      </c>
      <c r="C32" s="39">
        <v>0</v>
      </c>
      <c r="D32" s="39">
        <v>0</v>
      </c>
      <c r="E32" s="40">
        <f>E30*C32</f>
        <v>0</v>
      </c>
      <c r="F32" s="41"/>
      <c r="G32" s="40">
        <f>G30*D32</f>
        <v>0</v>
      </c>
      <c r="H32" s="40"/>
      <c r="I32" s="40">
        <v>0</v>
      </c>
      <c r="J32" s="40"/>
      <c r="K32" s="40"/>
      <c r="L32" s="42"/>
      <c r="M32" s="40">
        <f>I32+G32+E32</f>
        <v>0</v>
      </c>
      <c r="N32" s="38"/>
      <c r="O32" s="6"/>
    </row>
    <row r="33" spans="1:15" ht="15.75">
      <c r="A33" s="26"/>
      <c r="B33" s="27" t="s">
        <v>20</v>
      </c>
      <c r="C33" s="43"/>
      <c r="D33" s="43"/>
      <c r="E33" s="34" t="s">
        <v>151</v>
      </c>
      <c r="F33" s="27"/>
      <c r="G33" s="34" t="s">
        <v>159</v>
      </c>
      <c r="H33" s="34"/>
      <c r="I33" s="34" t="s">
        <v>169</v>
      </c>
      <c r="J33" s="34"/>
      <c r="K33" s="34"/>
      <c r="L33" s="144"/>
      <c r="M33" s="144"/>
      <c r="N33" s="27"/>
      <c r="O33" s="6"/>
    </row>
    <row r="34" spans="1:15" ht="15.75">
      <c r="A34" s="26"/>
      <c r="B34" s="27" t="s">
        <v>21</v>
      </c>
      <c r="C34" s="27"/>
      <c r="D34" s="27"/>
      <c r="E34" s="44">
        <v>0</v>
      </c>
      <c r="F34" s="27"/>
      <c r="G34" s="44">
        <v>0.0490125</v>
      </c>
      <c r="H34" s="45"/>
      <c r="I34" s="44">
        <v>0.0593125</v>
      </c>
      <c r="J34" s="45"/>
      <c r="K34" s="44"/>
      <c r="L34" s="144"/>
      <c r="M34" s="45">
        <f>SUMPRODUCT(E34:I34,E31:I31)/M31</f>
        <v>0.050375073809881765</v>
      </c>
      <c r="N34" s="27"/>
      <c r="O34" s="6"/>
    </row>
    <row r="35" spans="1:15" ht="15.75">
      <c r="A35" s="26"/>
      <c r="B35" s="27" t="s">
        <v>22</v>
      </c>
      <c r="C35" s="27"/>
      <c r="D35" s="27"/>
      <c r="E35" s="44">
        <v>0</v>
      </c>
      <c r="F35" s="27"/>
      <c r="G35" s="44">
        <v>0.0495188</v>
      </c>
      <c r="H35" s="45"/>
      <c r="I35" s="44">
        <v>0.0598188</v>
      </c>
      <c r="J35" s="45"/>
      <c r="K35" s="44"/>
      <c r="L35" s="144"/>
      <c r="M35" s="144"/>
      <c r="N35" s="27"/>
      <c r="O35" s="6"/>
    </row>
    <row r="36" spans="1:15" ht="15.75">
      <c r="A36" s="26"/>
      <c r="B36" s="27" t="s">
        <v>23</v>
      </c>
      <c r="C36" s="27"/>
      <c r="D36" s="27"/>
      <c r="E36" s="126">
        <v>38875</v>
      </c>
      <c r="F36" s="126"/>
      <c r="G36" s="126">
        <v>38875</v>
      </c>
      <c r="H36" s="126"/>
      <c r="I36" s="126">
        <v>38875</v>
      </c>
      <c r="J36" s="34"/>
      <c r="K36" s="34"/>
      <c r="L36" s="144"/>
      <c r="M36" s="144"/>
      <c r="N36" s="27"/>
      <c r="O36" s="6"/>
    </row>
    <row r="37" spans="1:15" ht="15.75">
      <c r="A37" s="26"/>
      <c r="B37" s="27" t="s">
        <v>24</v>
      </c>
      <c r="C37" s="27"/>
      <c r="D37" s="27"/>
      <c r="E37" s="126">
        <v>39240</v>
      </c>
      <c r="F37" s="126"/>
      <c r="G37" s="126">
        <v>39240</v>
      </c>
      <c r="H37" s="126"/>
      <c r="I37" s="126">
        <v>39240</v>
      </c>
      <c r="J37" s="34"/>
      <c r="K37" s="34"/>
      <c r="L37" s="144"/>
      <c r="M37" s="144"/>
      <c r="N37" s="27"/>
      <c r="O37" s="6"/>
    </row>
    <row r="38" spans="1:15" ht="15.75">
      <c r="A38" s="26"/>
      <c r="B38" s="27" t="s">
        <v>25</v>
      </c>
      <c r="C38" s="27"/>
      <c r="D38" s="27"/>
      <c r="E38" s="34" t="s">
        <v>152</v>
      </c>
      <c r="F38" s="27"/>
      <c r="G38" s="34" t="s">
        <v>160</v>
      </c>
      <c r="H38" s="34"/>
      <c r="I38" s="34" t="s">
        <v>170</v>
      </c>
      <c r="J38" s="34"/>
      <c r="K38" s="34"/>
      <c r="L38" s="144"/>
      <c r="M38" s="144"/>
      <c r="N38" s="27"/>
      <c r="O38" s="6"/>
    </row>
    <row r="39" spans="1:15" ht="15.75">
      <c r="A39" s="26"/>
      <c r="B39" s="27"/>
      <c r="C39" s="27"/>
      <c r="D39" s="27"/>
      <c r="E39" s="34"/>
      <c r="F39" s="27"/>
      <c r="G39" s="44"/>
      <c r="H39" s="34"/>
      <c r="I39" s="44"/>
      <c r="J39" s="46"/>
      <c r="K39" s="46"/>
      <c r="L39" s="46"/>
      <c r="M39" s="46"/>
      <c r="N39" s="27"/>
      <c r="O39" s="6"/>
    </row>
    <row r="40" spans="1:15" ht="15.75">
      <c r="A40" s="26"/>
      <c r="B40" s="27" t="s">
        <v>26</v>
      </c>
      <c r="C40" s="27"/>
      <c r="D40" s="27"/>
      <c r="E40" s="27"/>
      <c r="F40" s="27"/>
      <c r="G40" s="44"/>
      <c r="H40" s="27"/>
      <c r="I40" s="44"/>
      <c r="J40" s="27"/>
      <c r="K40" s="27"/>
      <c r="L40" s="27"/>
      <c r="M40" s="45">
        <f>(I30)/(E30+G30)</f>
        <v>0.10497237569060773</v>
      </c>
      <c r="N40" s="27"/>
      <c r="O40" s="6"/>
    </row>
    <row r="41" spans="1:15" ht="15.75">
      <c r="A41" s="26"/>
      <c r="B41" s="27" t="s">
        <v>27</v>
      </c>
      <c r="C41" s="27"/>
      <c r="D41" s="27"/>
      <c r="E41" s="27"/>
      <c r="F41" s="27"/>
      <c r="G41" s="47"/>
      <c r="H41" s="27"/>
      <c r="I41" s="47"/>
      <c r="J41" s="27"/>
      <c r="K41" s="27"/>
      <c r="L41" s="27"/>
      <c r="M41" s="45">
        <v>0</v>
      </c>
      <c r="N41" s="27"/>
      <c r="O41" s="6"/>
    </row>
    <row r="42" spans="1:15" ht="15.75">
      <c r="A42" s="26"/>
      <c r="B42" s="27" t="s">
        <v>28</v>
      </c>
      <c r="C42" s="27"/>
      <c r="D42" s="27"/>
      <c r="E42" s="27"/>
      <c r="F42" s="27"/>
      <c r="G42" s="27"/>
      <c r="H42" s="27"/>
      <c r="I42" s="27"/>
      <c r="J42" s="27"/>
      <c r="K42" s="34" t="s">
        <v>177</v>
      </c>
      <c r="L42" s="34" t="s">
        <v>187</v>
      </c>
      <c r="M42" s="35">
        <f>M30/2-I30</f>
        <v>101250</v>
      </c>
      <c r="N42" s="27"/>
      <c r="O42" s="6"/>
    </row>
    <row r="43" spans="1:15" ht="15.75">
      <c r="A43" s="26"/>
      <c r="B43" s="27"/>
      <c r="C43" s="27"/>
      <c r="D43" s="27"/>
      <c r="E43" s="27"/>
      <c r="F43" s="27"/>
      <c r="G43" s="27"/>
      <c r="H43" s="27"/>
      <c r="I43" s="27"/>
      <c r="J43" s="27"/>
      <c r="K43" s="27" t="s">
        <v>178</v>
      </c>
      <c r="L43" s="27"/>
      <c r="M43" s="48"/>
      <c r="N43" s="27"/>
      <c r="O43" s="6"/>
    </row>
    <row r="44" spans="1:15" ht="15.75">
      <c r="A44" s="26"/>
      <c r="B44" s="27" t="s">
        <v>29</v>
      </c>
      <c r="C44" s="27"/>
      <c r="D44" s="27"/>
      <c r="E44" s="27"/>
      <c r="F44" s="27"/>
      <c r="G44" s="27"/>
      <c r="H44" s="27"/>
      <c r="I44" s="27"/>
      <c r="J44" s="27"/>
      <c r="K44" s="34"/>
      <c r="L44" s="34"/>
      <c r="M44" s="34" t="s">
        <v>191</v>
      </c>
      <c r="N44" s="27"/>
      <c r="O44" s="6"/>
    </row>
    <row r="45" spans="1:15" ht="15.75">
      <c r="A45" s="26"/>
      <c r="B45" s="32" t="s">
        <v>30</v>
      </c>
      <c r="C45" s="32"/>
      <c r="D45" s="32"/>
      <c r="E45" s="32"/>
      <c r="F45" s="32"/>
      <c r="G45" s="32"/>
      <c r="H45" s="32"/>
      <c r="I45" s="32"/>
      <c r="J45" s="32"/>
      <c r="K45" s="49"/>
      <c r="L45" s="49"/>
      <c r="M45" s="50">
        <v>38875</v>
      </c>
      <c r="N45" s="27"/>
      <c r="O45" s="6"/>
    </row>
    <row r="46" spans="1:15" ht="15.75">
      <c r="A46" s="26"/>
      <c r="B46" s="27" t="s">
        <v>31</v>
      </c>
      <c r="C46" s="27"/>
      <c r="D46" s="27"/>
      <c r="E46" s="27"/>
      <c r="F46" s="27"/>
      <c r="G46" s="27"/>
      <c r="H46" s="27"/>
      <c r="I46" s="27"/>
      <c r="J46" s="27">
        <f>M46-K46+1</f>
        <v>90</v>
      </c>
      <c r="K46" s="51">
        <v>38693</v>
      </c>
      <c r="L46" s="52"/>
      <c r="M46" s="51">
        <v>38782</v>
      </c>
      <c r="N46" s="27"/>
      <c r="O46" s="6"/>
    </row>
    <row r="47" spans="1:15" ht="15.75">
      <c r="A47" s="26"/>
      <c r="B47" s="27" t="s">
        <v>32</v>
      </c>
      <c r="C47" s="27"/>
      <c r="D47" s="27"/>
      <c r="E47" s="27"/>
      <c r="F47" s="27"/>
      <c r="G47" s="27"/>
      <c r="H47" s="27"/>
      <c r="I47" s="27"/>
      <c r="J47" s="27">
        <f>M47-K47+1</f>
        <v>92</v>
      </c>
      <c r="K47" s="51">
        <v>38783</v>
      </c>
      <c r="L47" s="52"/>
      <c r="M47" s="51">
        <v>38874</v>
      </c>
      <c r="N47" s="27"/>
      <c r="O47" s="6"/>
    </row>
    <row r="48" spans="1:15" ht="15.75">
      <c r="A48" s="26"/>
      <c r="B48" s="27" t="s">
        <v>33</v>
      </c>
      <c r="C48" s="27"/>
      <c r="D48" s="27"/>
      <c r="E48" s="27"/>
      <c r="F48" s="27"/>
      <c r="G48" s="27"/>
      <c r="H48" s="27"/>
      <c r="I48" s="27"/>
      <c r="J48" s="27"/>
      <c r="K48" s="51"/>
      <c r="L48" s="52"/>
      <c r="M48" s="51" t="s">
        <v>192</v>
      </c>
      <c r="N48" s="27"/>
      <c r="O48" s="6"/>
    </row>
    <row r="49" spans="1:15" ht="15.75">
      <c r="A49" s="26"/>
      <c r="B49" s="27" t="s">
        <v>34</v>
      </c>
      <c r="C49" s="27"/>
      <c r="D49" s="27"/>
      <c r="E49" s="27"/>
      <c r="F49" s="27"/>
      <c r="G49" s="27"/>
      <c r="H49" s="27"/>
      <c r="I49" s="27"/>
      <c r="J49" s="27"/>
      <c r="K49" s="51"/>
      <c r="L49" s="52"/>
      <c r="M49" s="51">
        <v>38869</v>
      </c>
      <c r="N49" s="27"/>
      <c r="O49" s="6"/>
    </row>
    <row r="50" spans="1:15" ht="15.75">
      <c r="A50" s="26"/>
      <c r="B50" s="27"/>
      <c r="C50" s="27"/>
      <c r="D50" s="27"/>
      <c r="E50" s="27"/>
      <c r="F50" s="27"/>
      <c r="G50" s="27"/>
      <c r="H50" s="27"/>
      <c r="I50" s="27"/>
      <c r="J50" s="27"/>
      <c r="K50" s="51"/>
      <c r="L50" s="52"/>
      <c r="M50" s="51"/>
      <c r="N50" s="27"/>
      <c r="O50" s="6"/>
    </row>
    <row r="51" spans="1:15" ht="15.75">
      <c r="A51" s="7"/>
      <c r="B51" s="9"/>
      <c r="C51" s="9"/>
      <c r="D51" s="9"/>
      <c r="E51" s="9"/>
      <c r="F51" s="9"/>
      <c r="G51" s="9"/>
      <c r="H51" s="9"/>
      <c r="I51" s="9"/>
      <c r="J51" s="9"/>
      <c r="K51" s="53"/>
      <c r="L51" s="54"/>
      <c r="M51" s="53"/>
      <c r="N51" s="9"/>
      <c r="O51" s="6"/>
    </row>
    <row r="52" spans="1:15" ht="19.5" thickBot="1">
      <c r="A52" s="117"/>
      <c r="B52" s="118" t="s">
        <v>239</v>
      </c>
      <c r="C52" s="119"/>
      <c r="D52" s="119"/>
      <c r="E52" s="119"/>
      <c r="F52" s="119"/>
      <c r="G52" s="119"/>
      <c r="H52" s="119"/>
      <c r="I52" s="119"/>
      <c r="J52" s="119"/>
      <c r="K52" s="119"/>
      <c r="L52" s="119"/>
      <c r="M52" s="120"/>
      <c r="N52" s="121"/>
      <c r="O52" s="6"/>
    </row>
    <row r="53" spans="1:15" ht="15.75">
      <c r="A53" s="2"/>
      <c r="B53" s="5"/>
      <c r="C53" s="5"/>
      <c r="D53" s="5"/>
      <c r="E53" s="5"/>
      <c r="F53" s="5"/>
      <c r="G53" s="5"/>
      <c r="H53" s="5"/>
      <c r="I53" s="5"/>
      <c r="J53" s="5"/>
      <c r="K53" s="5"/>
      <c r="L53" s="5"/>
      <c r="M53" s="56"/>
      <c r="N53" s="5"/>
      <c r="O53" s="6"/>
    </row>
    <row r="54" spans="1:15" ht="15.75">
      <c r="A54" s="7"/>
      <c r="B54" s="57" t="s">
        <v>36</v>
      </c>
      <c r="C54" s="15"/>
      <c r="D54" s="15"/>
      <c r="E54" s="9"/>
      <c r="F54" s="9"/>
      <c r="G54" s="9"/>
      <c r="H54" s="9"/>
      <c r="I54" s="9"/>
      <c r="J54" s="9"/>
      <c r="K54" s="9"/>
      <c r="L54" s="9"/>
      <c r="M54" s="58"/>
      <c r="N54" s="9"/>
      <c r="O54" s="6"/>
    </row>
    <row r="55" spans="1:15" ht="15.75">
      <c r="A55" s="7"/>
      <c r="B55" s="15"/>
      <c r="C55" s="15"/>
      <c r="D55" s="15"/>
      <c r="E55" s="9"/>
      <c r="F55" s="9"/>
      <c r="G55" s="9"/>
      <c r="H55" s="9"/>
      <c r="I55" s="9"/>
      <c r="J55" s="9"/>
      <c r="K55" s="9"/>
      <c r="L55" s="9"/>
      <c r="M55" s="58"/>
      <c r="N55" s="9"/>
      <c r="O55" s="6"/>
    </row>
    <row r="56" spans="1:15" ht="47.25">
      <c r="A56" s="7"/>
      <c r="B56" s="134" t="s">
        <v>37</v>
      </c>
      <c r="C56" s="135" t="s">
        <v>144</v>
      </c>
      <c r="D56" s="135"/>
      <c r="E56" s="135" t="s">
        <v>153</v>
      </c>
      <c r="F56" s="135"/>
      <c r="G56" s="135" t="s">
        <v>161</v>
      </c>
      <c r="H56" s="135"/>
      <c r="I56" s="135" t="s">
        <v>171</v>
      </c>
      <c r="J56" s="135"/>
      <c r="K56" s="135" t="s">
        <v>179</v>
      </c>
      <c r="L56" s="135"/>
      <c r="M56" s="136" t="s">
        <v>193</v>
      </c>
      <c r="N56" s="137"/>
      <c r="O56" s="6"/>
    </row>
    <row r="57" spans="1:15" ht="15.75">
      <c r="A57" s="26"/>
      <c r="B57" s="27" t="s">
        <v>38</v>
      </c>
      <c r="C57" s="38">
        <v>249994</v>
      </c>
      <c r="D57" s="38"/>
      <c r="E57" s="59">
        <v>179532</v>
      </c>
      <c r="F57" s="38"/>
      <c r="G57" s="38">
        <v>179532</v>
      </c>
      <c r="H57" s="38"/>
      <c r="I57" s="38">
        <v>0</v>
      </c>
      <c r="J57" s="38"/>
      <c r="K57" s="38">
        <v>0</v>
      </c>
      <c r="L57" s="38"/>
      <c r="M57" s="59">
        <f>E57-G57+I57-K57</f>
        <v>0</v>
      </c>
      <c r="N57" s="27"/>
      <c r="O57" s="6"/>
    </row>
    <row r="58" spans="1:15" ht="15.75">
      <c r="A58" s="26"/>
      <c r="B58" s="27" t="s">
        <v>39</v>
      </c>
      <c r="C58" s="38">
        <v>6</v>
      </c>
      <c r="D58" s="38"/>
      <c r="E58" s="59">
        <v>0</v>
      </c>
      <c r="F58" s="38"/>
      <c r="G58" s="38">
        <v>0</v>
      </c>
      <c r="H58" s="38"/>
      <c r="I58" s="38">
        <v>0</v>
      </c>
      <c r="J58" s="38"/>
      <c r="K58" s="38">
        <v>0</v>
      </c>
      <c r="L58" s="38"/>
      <c r="M58" s="59">
        <f>E58-G58</f>
        <v>0</v>
      </c>
      <c r="N58" s="27"/>
      <c r="O58" s="6"/>
    </row>
    <row r="59" spans="1:15" ht="15.75">
      <c r="A59" s="26"/>
      <c r="B59" s="27"/>
      <c r="C59" s="38"/>
      <c r="D59" s="38"/>
      <c r="E59" s="59"/>
      <c r="F59" s="38"/>
      <c r="G59" s="38"/>
      <c r="H59" s="38"/>
      <c r="I59" s="38"/>
      <c r="J59" s="38"/>
      <c r="K59" s="38"/>
      <c r="L59" s="38"/>
      <c r="M59" s="59"/>
      <c r="N59" s="27"/>
      <c r="O59" s="6"/>
    </row>
    <row r="60" spans="1:15" ht="15.75">
      <c r="A60" s="26"/>
      <c r="B60" s="27" t="s">
        <v>40</v>
      </c>
      <c r="C60" s="38">
        <f>SUM(C57:C59)</f>
        <v>250000</v>
      </c>
      <c r="D60" s="38"/>
      <c r="E60" s="60">
        <f>E57+E58</f>
        <v>179532</v>
      </c>
      <c r="F60" s="38"/>
      <c r="G60" s="38">
        <f>SUM(G57:G59)</f>
        <v>179532</v>
      </c>
      <c r="H60" s="38"/>
      <c r="I60" s="38">
        <f>SUM(I57:I59)</f>
        <v>0</v>
      </c>
      <c r="J60" s="38"/>
      <c r="K60" s="38">
        <f>SUM(K57:K59)</f>
        <v>0</v>
      </c>
      <c r="L60" s="38"/>
      <c r="M60" s="60">
        <f>SUM(M57:M59)</f>
        <v>0</v>
      </c>
      <c r="N60" s="27"/>
      <c r="O60" s="6"/>
    </row>
    <row r="61" spans="1:15" ht="15.75">
      <c r="A61" s="26"/>
      <c r="B61" s="27"/>
      <c r="C61" s="38"/>
      <c r="D61" s="38"/>
      <c r="E61" s="38"/>
      <c r="F61" s="38"/>
      <c r="G61" s="38"/>
      <c r="H61" s="38"/>
      <c r="I61" s="38"/>
      <c r="J61" s="38"/>
      <c r="K61" s="38"/>
      <c r="L61" s="38"/>
      <c r="M61" s="60"/>
      <c r="N61" s="27"/>
      <c r="O61" s="6"/>
    </row>
    <row r="62" spans="1:15" ht="15.75">
      <c r="A62" s="7"/>
      <c r="B62" s="129" t="s">
        <v>41</v>
      </c>
      <c r="C62" s="61"/>
      <c r="D62" s="61"/>
      <c r="E62" s="61"/>
      <c r="F62" s="61"/>
      <c r="G62" s="61"/>
      <c r="H62" s="61"/>
      <c r="I62" s="61"/>
      <c r="J62" s="61"/>
      <c r="K62" s="61"/>
      <c r="L62" s="61"/>
      <c r="M62" s="62"/>
      <c r="N62" s="9"/>
      <c r="O62" s="6"/>
    </row>
    <row r="63" spans="1:15" ht="15.75">
      <c r="A63" s="7"/>
      <c r="B63" s="9"/>
      <c r="C63" s="61"/>
      <c r="D63" s="61"/>
      <c r="E63" s="61"/>
      <c r="F63" s="61"/>
      <c r="G63" s="61"/>
      <c r="H63" s="61"/>
      <c r="I63" s="61"/>
      <c r="J63" s="61"/>
      <c r="K63" s="61"/>
      <c r="L63" s="61"/>
      <c r="M63" s="62"/>
      <c r="N63" s="9"/>
      <c r="O63" s="6"/>
    </row>
    <row r="64" spans="1:15" ht="15.75">
      <c r="A64" s="26"/>
      <c r="B64" s="27" t="s">
        <v>38</v>
      </c>
      <c r="C64" s="38"/>
      <c r="D64" s="38"/>
      <c r="E64" s="38"/>
      <c r="F64" s="38"/>
      <c r="G64" s="38"/>
      <c r="H64" s="38"/>
      <c r="I64" s="38"/>
      <c r="J64" s="38"/>
      <c r="K64" s="38"/>
      <c r="L64" s="38"/>
      <c r="M64" s="60"/>
      <c r="N64" s="27"/>
      <c r="O64" s="6"/>
    </row>
    <row r="65" spans="1:15" ht="15.75">
      <c r="A65" s="26"/>
      <c r="B65" s="27" t="s">
        <v>39</v>
      </c>
      <c r="C65" s="38"/>
      <c r="D65" s="38"/>
      <c r="E65" s="38"/>
      <c r="F65" s="38"/>
      <c r="G65" s="38"/>
      <c r="H65" s="38"/>
      <c r="I65" s="38"/>
      <c r="J65" s="38"/>
      <c r="K65" s="38"/>
      <c r="L65" s="38"/>
      <c r="M65" s="60"/>
      <c r="N65" s="27"/>
      <c r="O65" s="6"/>
    </row>
    <row r="66" spans="1:15" ht="15.75">
      <c r="A66" s="26"/>
      <c r="B66" s="27"/>
      <c r="C66" s="38"/>
      <c r="D66" s="38"/>
      <c r="E66" s="38"/>
      <c r="F66" s="38"/>
      <c r="G66" s="38"/>
      <c r="H66" s="38"/>
      <c r="I66" s="38"/>
      <c r="J66" s="38"/>
      <c r="K66" s="38"/>
      <c r="L66" s="38"/>
      <c r="M66" s="60"/>
      <c r="N66" s="27"/>
      <c r="O66" s="6"/>
    </row>
    <row r="67" spans="1:15" ht="15.75">
      <c r="A67" s="26"/>
      <c r="B67" s="27" t="s">
        <v>40</v>
      </c>
      <c r="C67" s="38"/>
      <c r="D67" s="38"/>
      <c r="E67" s="38"/>
      <c r="F67" s="38"/>
      <c r="G67" s="38"/>
      <c r="H67" s="38"/>
      <c r="I67" s="38"/>
      <c r="J67" s="38"/>
      <c r="K67" s="38"/>
      <c r="L67" s="38"/>
      <c r="M67" s="38"/>
      <c r="N67" s="27"/>
      <c r="O67" s="6"/>
    </row>
    <row r="68" spans="1:15" ht="15.75">
      <c r="A68" s="26"/>
      <c r="B68" s="27"/>
      <c r="C68" s="38"/>
      <c r="D68" s="38"/>
      <c r="E68" s="38"/>
      <c r="F68" s="38"/>
      <c r="G68" s="38"/>
      <c r="H68" s="38"/>
      <c r="I68" s="38"/>
      <c r="J68" s="38"/>
      <c r="K68" s="38"/>
      <c r="L68" s="38"/>
      <c r="M68" s="38"/>
      <c r="N68" s="27"/>
      <c r="O68" s="6"/>
    </row>
    <row r="69" spans="1:15" ht="15.75">
      <c r="A69" s="26"/>
      <c r="B69" s="27" t="s">
        <v>42</v>
      </c>
      <c r="C69" s="38">
        <v>0</v>
      </c>
      <c r="D69" s="38"/>
      <c r="E69" s="38">
        <v>0</v>
      </c>
      <c r="F69" s="38"/>
      <c r="G69" s="38"/>
      <c r="H69" s="38"/>
      <c r="I69" s="38"/>
      <c r="J69" s="38"/>
      <c r="K69" s="38"/>
      <c r="L69" s="38"/>
      <c r="M69" s="59">
        <f>E69-G69+I69-K69</f>
        <v>0</v>
      </c>
      <c r="N69" s="27"/>
      <c r="O69" s="6"/>
    </row>
    <row r="70" spans="1:15" ht="15.75">
      <c r="A70" s="26"/>
      <c r="B70" s="27" t="s">
        <v>198</v>
      </c>
      <c r="C70" s="38">
        <v>0</v>
      </c>
      <c r="D70" s="38"/>
      <c r="E70" s="38">
        <v>0</v>
      </c>
      <c r="F70" s="38"/>
      <c r="G70" s="38"/>
      <c r="H70" s="38"/>
      <c r="I70" s="38"/>
      <c r="J70" s="38"/>
      <c r="K70" s="38"/>
      <c r="L70" s="38"/>
      <c r="M70" s="60">
        <v>0</v>
      </c>
      <c r="N70" s="27"/>
      <c r="O70" s="6"/>
    </row>
    <row r="71" spans="1:15" ht="15.75">
      <c r="A71" s="26"/>
      <c r="B71" s="27" t="s">
        <v>44</v>
      </c>
      <c r="C71" s="38">
        <v>0</v>
      </c>
      <c r="D71" s="38"/>
      <c r="E71" s="38">
        <v>0</v>
      </c>
      <c r="F71" s="38"/>
      <c r="G71" s="38"/>
      <c r="H71" s="38"/>
      <c r="I71" s="38"/>
      <c r="J71" s="38"/>
      <c r="K71" s="38"/>
      <c r="L71" s="38"/>
      <c r="M71" s="60">
        <v>0</v>
      </c>
      <c r="N71" s="27"/>
      <c r="O71" s="6"/>
    </row>
    <row r="72" spans="1:15" ht="15.75">
      <c r="A72" s="26"/>
      <c r="B72" s="27" t="s">
        <v>45</v>
      </c>
      <c r="C72" s="60">
        <f>SUM(C60:C71)</f>
        <v>250000</v>
      </c>
      <c r="D72" s="60"/>
      <c r="E72" s="60">
        <f>SUM(E60:E71)</f>
        <v>179532</v>
      </c>
      <c r="F72" s="38"/>
      <c r="G72" s="60"/>
      <c r="H72" s="38"/>
      <c r="I72" s="60"/>
      <c r="J72" s="38"/>
      <c r="K72" s="60"/>
      <c r="L72" s="38"/>
      <c r="M72" s="60">
        <f>SUM(M60:M71)</f>
        <v>0</v>
      </c>
      <c r="N72" s="27"/>
      <c r="O72" s="6"/>
    </row>
    <row r="73" spans="1:15" ht="15.75">
      <c r="A73" s="26"/>
      <c r="B73" s="27"/>
      <c r="C73" s="38"/>
      <c r="D73" s="38"/>
      <c r="E73" s="38"/>
      <c r="F73" s="38"/>
      <c r="G73" s="38"/>
      <c r="H73" s="38"/>
      <c r="I73" s="38"/>
      <c r="J73" s="38"/>
      <c r="K73" s="38"/>
      <c r="L73" s="38"/>
      <c r="M73" s="60"/>
      <c r="N73" s="27"/>
      <c r="O73" s="6"/>
    </row>
    <row r="74" spans="1:15" ht="15.75">
      <c r="A74" s="7"/>
      <c r="B74" s="9"/>
      <c r="C74" s="9"/>
      <c r="D74" s="9"/>
      <c r="E74" s="9"/>
      <c r="F74" s="9"/>
      <c r="G74" s="9"/>
      <c r="H74" s="9"/>
      <c r="I74" s="9"/>
      <c r="J74" s="9"/>
      <c r="K74" s="9"/>
      <c r="L74" s="9"/>
      <c r="M74" s="9"/>
      <c r="N74" s="9"/>
      <c r="O74" s="6"/>
    </row>
    <row r="75" spans="1:15" ht="15.75">
      <c r="A75" s="7"/>
      <c r="B75" s="57" t="s">
        <v>46</v>
      </c>
      <c r="C75" s="16"/>
      <c r="D75" s="16"/>
      <c r="E75" s="16"/>
      <c r="F75" s="16"/>
      <c r="G75" s="16" t="s">
        <v>145</v>
      </c>
      <c r="H75" s="16"/>
      <c r="I75" s="173">
        <f>+K163</f>
        <v>38868</v>
      </c>
      <c r="J75" s="19"/>
      <c r="K75" s="19" t="s">
        <v>180</v>
      </c>
      <c r="L75" s="19"/>
      <c r="M75" s="19" t="s">
        <v>194</v>
      </c>
      <c r="N75" s="9"/>
      <c r="O75" s="6"/>
    </row>
    <row r="76" spans="1:15" ht="15.75">
      <c r="A76" s="26"/>
      <c r="B76" s="27" t="s">
        <v>47</v>
      </c>
      <c r="C76" s="27"/>
      <c r="D76" s="27"/>
      <c r="E76" s="27"/>
      <c r="F76" s="27"/>
      <c r="G76" s="27"/>
      <c r="H76" s="27"/>
      <c r="I76" s="27"/>
      <c r="J76" s="27"/>
      <c r="K76" s="38">
        <v>0</v>
      </c>
      <c r="L76" s="27"/>
      <c r="M76" s="59">
        <v>0</v>
      </c>
      <c r="N76" s="27"/>
      <c r="O76" s="6"/>
    </row>
    <row r="77" spans="1:15" ht="15.75">
      <c r="A77" s="26"/>
      <c r="B77" s="27" t="s">
        <v>48</v>
      </c>
      <c r="C77" s="46"/>
      <c r="D77" s="149"/>
      <c r="E77" s="63"/>
      <c r="F77" s="27"/>
      <c r="G77" s="27"/>
      <c r="H77" s="27"/>
      <c r="I77" s="27"/>
      <c r="J77" s="27"/>
      <c r="K77" s="38">
        <v>179532</v>
      </c>
      <c r="L77" s="27"/>
      <c r="M77" s="59"/>
      <c r="N77" s="27"/>
      <c r="O77" s="6"/>
    </row>
    <row r="78" spans="1:16" ht="15.75">
      <c r="A78" s="26"/>
      <c r="B78" s="27" t="s">
        <v>236</v>
      </c>
      <c r="C78" s="46"/>
      <c r="D78" s="149"/>
      <c r="E78" s="63"/>
      <c r="F78" s="27"/>
      <c r="G78" s="27"/>
      <c r="H78" s="27"/>
      <c r="I78" s="27"/>
      <c r="J78" s="27"/>
      <c r="K78" s="38"/>
      <c r="L78" s="27"/>
      <c r="M78" s="59">
        <v>447</v>
      </c>
      <c r="N78" s="27"/>
      <c r="O78" s="6"/>
      <c r="P78" s="125"/>
    </row>
    <row r="79" spans="1:15" ht="15.75">
      <c r="A79" s="26"/>
      <c r="B79" s="27" t="s">
        <v>228</v>
      </c>
      <c r="C79" s="46"/>
      <c r="D79" s="149"/>
      <c r="E79" s="63"/>
      <c r="F79" s="27"/>
      <c r="G79" s="27"/>
      <c r="H79" s="27"/>
      <c r="I79" s="27"/>
      <c r="J79" s="27"/>
      <c r="K79" s="38"/>
      <c r="L79" s="27"/>
      <c r="M79" s="59">
        <v>11</v>
      </c>
      <c r="N79" s="27"/>
      <c r="O79" s="6"/>
    </row>
    <row r="80" spans="1:15" ht="15.75">
      <c r="A80" s="26"/>
      <c r="B80" s="27" t="s">
        <v>227</v>
      </c>
      <c r="C80" s="46"/>
      <c r="D80" s="149"/>
      <c r="E80" s="63"/>
      <c r="F80" s="27"/>
      <c r="G80" s="27"/>
      <c r="H80" s="27"/>
      <c r="I80" s="27"/>
      <c r="J80" s="27"/>
      <c r="K80" s="38"/>
      <c r="L80" s="27"/>
      <c r="M80" s="59">
        <f>2+1887</f>
        <v>1889</v>
      </c>
      <c r="N80" s="27"/>
      <c r="O80" s="6"/>
    </row>
    <row r="81" spans="1:15" ht="15.75">
      <c r="A81" s="26"/>
      <c r="B81" s="27" t="s">
        <v>240</v>
      </c>
      <c r="C81" s="46"/>
      <c r="D81" s="149"/>
      <c r="E81" s="63"/>
      <c r="F81" s="27"/>
      <c r="G81" s="27"/>
      <c r="H81" s="27"/>
      <c r="I81" s="27"/>
      <c r="J81" s="27"/>
      <c r="K81" s="38"/>
      <c r="L81" s="27"/>
      <c r="M81" s="59">
        <v>4000</v>
      </c>
      <c r="N81" s="27"/>
      <c r="O81" s="6"/>
    </row>
    <row r="82" spans="1:15" ht="15.75">
      <c r="A82" s="26"/>
      <c r="B82" s="27" t="s">
        <v>235</v>
      </c>
      <c r="C82" s="46"/>
      <c r="D82" s="149"/>
      <c r="E82" s="63"/>
      <c r="F82" s="27"/>
      <c r="G82" s="27"/>
      <c r="H82" s="27"/>
      <c r="I82" s="27"/>
      <c r="J82" s="27"/>
      <c r="K82" s="38"/>
      <c r="L82" s="27"/>
      <c r="M82" s="59">
        <v>0</v>
      </c>
      <c r="N82" s="27"/>
      <c r="O82" s="6"/>
    </row>
    <row r="83" spans="1:15" ht="15.75">
      <c r="A83" s="26"/>
      <c r="B83" s="27" t="s">
        <v>229</v>
      </c>
      <c r="C83" s="27"/>
      <c r="D83" s="27"/>
      <c r="E83" s="27"/>
      <c r="F83" s="27"/>
      <c r="G83" s="27"/>
      <c r="H83" s="27"/>
      <c r="I83" s="27"/>
      <c r="J83" s="27"/>
      <c r="K83" s="38"/>
      <c r="L83" s="27"/>
      <c r="M83" s="59">
        <v>0</v>
      </c>
      <c r="N83" s="27"/>
      <c r="O83" s="6"/>
    </row>
    <row r="84" spans="1:15" ht="15.75">
      <c r="A84" s="26"/>
      <c r="B84" s="27" t="s">
        <v>51</v>
      </c>
      <c r="C84" s="27"/>
      <c r="D84" s="27"/>
      <c r="E84" s="27"/>
      <c r="F84" s="27"/>
      <c r="G84" s="27"/>
      <c r="H84" s="27"/>
      <c r="I84" s="27"/>
      <c r="J84" s="27"/>
      <c r="K84" s="38">
        <f>SUM(K76:K83)</f>
        <v>179532</v>
      </c>
      <c r="L84" s="27"/>
      <c r="M84" s="60">
        <f>SUM(M76:M83)</f>
        <v>6347</v>
      </c>
      <c r="N84" s="27"/>
      <c r="O84" s="6"/>
    </row>
    <row r="85" spans="1:15" ht="15.75">
      <c r="A85" s="26"/>
      <c r="B85" s="27" t="s">
        <v>52</v>
      </c>
      <c r="C85" s="27"/>
      <c r="D85" s="27"/>
      <c r="E85" s="27"/>
      <c r="F85" s="27"/>
      <c r="G85" s="27"/>
      <c r="H85" s="27"/>
      <c r="I85" s="27"/>
      <c r="J85" s="27"/>
      <c r="K85" s="38">
        <v>0</v>
      </c>
      <c r="L85" s="27"/>
      <c r="M85" s="59">
        <v>0</v>
      </c>
      <c r="N85" s="27"/>
      <c r="O85" s="6"/>
    </row>
    <row r="86" spans="1:15" ht="15.75">
      <c r="A86" s="26"/>
      <c r="B86" s="27" t="s">
        <v>53</v>
      </c>
      <c r="C86" s="27"/>
      <c r="D86" s="27"/>
      <c r="E86" s="27"/>
      <c r="F86" s="27"/>
      <c r="G86" s="27"/>
      <c r="H86" s="27"/>
      <c r="I86" s="27"/>
      <c r="J86" s="27"/>
      <c r="K86" s="38">
        <f>K84+K85</f>
        <v>179532</v>
      </c>
      <c r="L86" s="27"/>
      <c r="M86" s="60">
        <f>M84+M85</f>
        <v>6347</v>
      </c>
      <c r="N86" s="27"/>
      <c r="O86" s="6"/>
    </row>
    <row r="87" spans="1:15" ht="15.75">
      <c r="A87" s="26"/>
      <c r="B87" s="138" t="s">
        <v>54</v>
      </c>
      <c r="C87" s="64"/>
      <c r="D87" s="64"/>
      <c r="E87" s="27"/>
      <c r="F87" s="27"/>
      <c r="G87" s="27"/>
      <c r="H87" s="27"/>
      <c r="I87" s="27"/>
      <c r="J87" s="27"/>
      <c r="K87" s="38"/>
      <c r="L87" s="27"/>
      <c r="M87" s="59"/>
      <c r="N87" s="27"/>
      <c r="O87" s="6"/>
    </row>
    <row r="88" spans="1:15" ht="15.75">
      <c r="A88" s="26">
        <v>1</v>
      </c>
      <c r="B88" s="27" t="s">
        <v>55</v>
      </c>
      <c r="C88" s="27"/>
      <c r="D88" s="27"/>
      <c r="E88" s="27"/>
      <c r="F88" s="27"/>
      <c r="G88" s="27"/>
      <c r="H88" s="27"/>
      <c r="I88" s="27"/>
      <c r="J88" s="27"/>
      <c r="K88" s="27"/>
      <c r="L88" s="27"/>
      <c r="M88" s="59">
        <v>0</v>
      </c>
      <c r="N88" s="27"/>
      <c r="O88" s="6"/>
    </row>
    <row r="89" spans="1:15" ht="15.75">
      <c r="A89" s="26">
        <v>2</v>
      </c>
      <c r="B89" s="27" t="s">
        <v>56</v>
      </c>
      <c r="C89" s="27"/>
      <c r="D89" s="27"/>
      <c r="E89" s="27"/>
      <c r="F89" s="27"/>
      <c r="G89" s="27"/>
      <c r="H89" s="27"/>
      <c r="I89" s="27"/>
      <c r="J89" s="27"/>
      <c r="K89" s="27"/>
      <c r="L89" s="27"/>
      <c r="M89" s="59">
        <v>-2</v>
      </c>
      <c r="N89" s="27"/>
      <c r="O89" s="6"/>
    </row>
    <row r="90" spans="1:15" ht="15.75">
      <c r="A90" s="26">
        <v>3</v>
      </c>
      <c r="B90" s="27" t="s">
        <v>57</v>
      </c>
      <c r="C90" s="27"/>
      <c r="D90" s="27"/>
      <c r="E90" s="27"/>
      <c r="F90" s="27"/>
      <c r="G90" s="27"/>
      <c r="H90" s="27"/>
      <c r="I90" s="27"/>
      <c r="J90" s="27"/>
      <c r="K90" s="27"/>
      <c r="L90" s="27"/>
      <c r="M90" s="59">
        <f>-10-1-4</f>
        <v>-15</v>
      </c>
      <c r="N90" s="27"/>
      <c r="O90" s="6"/>
    </row>
    <row r="91" spans="1:15" ht="15.75">
      <c r="A91" s="26">
        <v>4</v>
      </c>
      <c r="B91" s="27" t="s">
        <v>197</v>
      </c>
      <c r="C91" s="27"/>
      <c r="D91" s="27"/>
      <c r="E91" s="27"/>
      <c r="F91" s="27"/>
      <c r="G91" s="27"/>
      <c r="H91" s="27"/>
      <c r="I91" s="27"/>
      <c r="J91" s="27"/>
      <c r="K91" s="27"/>
      <c r="L91" s="27"/>
      <c r="M91" s="59">
        <v>0</v>
      </c>
      <c r="N91" s="27"/>
      <c r="O91" s="6"/>
    </row>
    <row r="92" spans="1:15" ht="15.75">
      <c r="A92" s="26">
        <v>5</v>
      </c>
      <c r="B92" s="27" t="s">
        <v>58</v>
      </c>
      <c r="C92" s="27"/>
      <c r="D92" s="27"/>
      <c r="E92" s="27"/>
      <c r="F92" s="27"/>
      <c r="G92" s="27"/>
      <c r="H92" s="27"/>
      <c r="I92" s="27"/>
      <c r="J92" s="27"/>
      <c r="K92" s="27"/>
      <c r="L92" s="27"/>
      <c r="M92" s="59">
        <v>-1924</v>
      </c>
      <c r="N92" s="27"/>
      <c r="O92" s="6"/>
    </row>
    <row r="93" spans="1:15" ht="15.75">
      <c r="A93" s="26">
        <v>6</v>
      </c>
      <c r="B93" s="27" t="s">
        <v>59</v>
      </c>
      <c r="C93" s="27"/>
      <c r="D93" s="27"/>
      <c r="E93" s="27"/>
      <c r="F93" s="27"/>
      <c r="G93" s="27"/>
      <c r="H93" s="27"/>
      <c r="I93" s="27"/>
      <c r="J93" s="27"/>
      <c r="K93" s="27"/>
      <c r="L93" s="27"/>
      <c r="M93" s="59">
        <v>-355</v>
      </c>
      <c r="N93" s="27"/>
      <c r="O93" s="6"/>
    </row>
    <row r="94" spans="1:15" ht="15.75">
      <c r="A94" s="26">
        <v>7</v>
      </c>
      <c r="B94" s="27" t="s">
        <v>60</v>
      </c>
      <c r="C94" s="27"/>
      <c r="D94" s="27"/>
      <c r="E94" s="27"/>
      <c r="F94" s="27"/>
      <c r="G94" s="27"/>
      <c r="H94" s="27"/>
      <c r="I94" s="27"/>
      <c r="J94" s="27"/>
      <c r="K94" s="27"/>
      <c r="L94" s="27"/>
      <c r="M94" s="59">
        <v>-5</v>
      </c>
      <c r="N94" s="27"/>
      <c r="O94" s="6"/>
    </row>
    <row r="95" spans="1:15" ht="15.75">
      <c r="A95" s="26">
        <v>8</v>
      </c>
      <c r="B95" s="27" t="s">
        <v>81</v>
      </c>
      <c r="C95" s="27"/>
      <c r="D95" s="27"/>
      <c r="E95" s="27"/>
      <c r="F95" s="27"/>
      <c r="G95" s="27"/>
      <c r="H95" s="27"/>
      <c r="I95" s="27"/>
      <c r="J95" s="27"/>
      <c r="K95" s="27"/>
      <c r="L95" s="27"/>
      <c r="M95" s="59">
        <v>0</v>
      </c>
      <c r="N95" s="27"/>
      <c r="O95" s="6"/>
    </row>
    <row r="96" spans="1:15" ht="15.75">
      <c r="A96" s="26">
        <v>9</v>
      </c>
      <c r="B96" s="27" t="s">
        <v>61</v>
      </c>
      <c r="C96" s="27"/>
      <c r="D96" s="27"/>
      <c r="E96" s="27"/>
      <c r="F96" s="27"/>
      <c r="G96" s="27"/>
      <c r="H96" s="27"/>
      <c r="I96" s="27"/>
      <c r="J96" s="27"/>
      <c r="K96" s="27"/>
      <c r="L96" s="27"/>
      <c r="M96" s="59">
        <v>0</v>
      </c>
      <c r="N96" s="27"/>
      <c r="O96" s="6"/>
    </row>
    <row r="97" spans="1:15" ht="15.75">
      <c r="A97" s="26">
        <v>10</v>
      </c>
      <c r="B97" s="27" t="s">
        <v>62</v>
      </c>
      <c r="C97" s="27"/>
      <c r="D97" s="27"/>
      <c r="E97" s="27"/>
      <c r="F97" s="27"/>
      <c r="G97" s="27"/>
      <c r="H97" s="27"/>
      <c r="I97" s="27"/>
      <c r="J97" s="27"/>
      <c r="K97" s="27"/>
      <c r="L97" s="27"/>
      <c r="M97" s="59">
        <v>0</v>
      </c>
      <c r="N97" s="27"/>
      <c r="O97" s="6"/>
    </row>
    <row r="98" spans="1:15" ht="15.75">
      <c r="A98" s="26">
        <v>11</v>
      </c>
      <c r="B98" s="27" t="s">
        <v>63</v>
      </c>
      <c r="C98" s="27"/>
      <c r="D98" s="27"/>
      <c r="E98" s="27"/>
      <c r="F98" s="27"/>
      <c r="G98" s="27"/>
      <c r="H98" s="27"/>
      <c r="I98" s="27"/>
      <c r="J98" s="27"/>
      <c r="K98" s="27"/>
      <c r="L98" s="27"/>
      <c r="M98" s="59">
        <v>0</v>
      </c>
      <c r="N98" s="27"/>
      <c r="O98" s="6"/>
    </row>
    <row r="99" spans="1:15" ht="15.75">
      <c r="A99" s="26">
        <v>12</v>
      </c>
      <c r="B99" s="27" t="s">
        <v>64</v>
      </c>
      <c r="C99" s="27"/>
      <c r="D99" s="27"/>
      <c r="E99" s="27"/>
      <c r="F99" s="27"/>
      <c r="G99" s="27"/>
      <c r="H99" s="27"/>
      <c r="I99" s="27"/>
      <c r="J99" s="27"/>
      <c r="K99" s="27"/>
      <c r="L99" s="27"/>
      <c r="M99" s="59">
        <f>-16-572</f>
        <v>-588</v>
      </c>
      <c r="N99" s="27"/>
      <c r="O99" s="6"/>
    </row>
    <row r="100" spans="1:15" ht="15.75">
      <c r="A100" s="26">
        <v>13</v>
      </c>
      <c r="B100" s="27" t="s">
        <v>65</v>
      </c>
      <c r="C100" s="27"/>
      <c r="D100" s="27"/>
      <c r="E100" s="27"/>
      <c r="F100" s="27"/>
      <c r="G100" s="27"/>
      <c r="H100" s="27"/>
      <c r="I100" s="27"/>
      <c r="J100" s="27"/>
      <c r="K100" s="27"/>
      <c r="L100" s="27"/>
      <c r="M100" s="59">
        <f>-M86-SUM(M88:M99)</f>
        <v>-3458</v>
      </c>
      <c r="N100" s="27"/>
      <c r="O100" s="6"/>
    </row>
    <row r="101" spans="1:15" ht="15.75">
      <c r="A101" s="26"/>
      <c r="B101" s="138" t="s">
        <v>66</v>
      </c>
      <c r="C101" s="64"/>
      <c r="D101" s="64"/>
      <c r="E101" s="27"/>
      <c r="F101" s="27"/>
      <c r="G101" s="27"/>
      <c r="H101" s="27"/>
      <c r="I101" s="27"/>
      <c r="J101" s="27"/>
      <c r="K101" s="27"/>
      <c r="L101" s="27"/>
      <c r="M101" s="65"/>
      <c r="N101" s="27"/>
      <c r="O101" s="6"/>
    </row>
    <row r="102" spans="1:15" ht="15.75">
      <c r="A102" s="26"/>
      <c r="B102" s="27" t="s">
        <v>67</v>
      </c>
      <c r="C102" s="64"/>
      <c r="D102" s="64"/>
      <c r="E102" s="27"/>
      <c r="F102" s="27"/>
      <c r="G102" s="27"/>
      <c r="H102" s="27"/>
      <c r="I102" s="27"/>
      <c r="J102" s="27"/>
      <c r="K102" s="38">
        <f>-K149</f>
        <v>0</v>
      </c>
      <c r="L102" s="38"/>
      <c r="M102" s="59"/>
      <c r="N102" s="27"/>
      <c r="O102" s="6"/>
    </row>
    <row r="103" spans="1:15" ht="15.75">
      <c r="A103" s="26"/>
      <c r="B103" s="27" t="s">
        <v>68</v>
      </c>
      <c r="C103" s="27"/>
      <c r="D103" s="27"/>
      <c r="E103" s="27"/>
      <c r="F103" s="27"/>
      <c r="G103" s="27"/>
      <c r="H103" s="27"/>
      <c r="I103" s="27"/>
      <c r="J103" s="27"/>
      <c r="K103" s="38">
        <f>-I149</f>
        <v>0</v>
      </c>
      <c r="L103" s="38"/>
      <c r="M103" s="59"/>
      <c r="N103" s="27"/>
      <c r="O103" s="6"/>
    </row>
    <row r="104" spans="1:15" ht="15.75">
      <c r="A104" s="26"/>
      <c r="B104" s="27" t="s">
        <v>69</v>
      </c>
      <c r="C104" s="27"/>
      <c r="D104" s="27"/>
      <c r="E104" s="27"/>
      <c r="F104" s="27"/>
      <c r="G104" s="27"/>
      <c r="H104" s="27"/>
      <c r="I104" s="27"/>
      <c r="J104" s="27"/>
      <c r="K104" s="38">
        <v>0</v>
      </c>
      <c r="L104" s="38"/>
      <c r="M104" s="59"/>
      <c r="N104" s="27"/>
      <c r="O104" s="6"/>
    </row>
    <row r="105" spans="1:15" ht="15.75">
      <c r="A105" s="26"/>
      <c r="B105" s="27" t="s">
        <v>70</v>
      </c>
      <c r="C105" s="27"/>
      <c r="D105" s="27"/>
      <c r="E105" s="27"/>
      <c r="F105" s="27"/>
      <c r="G105" s="27"/>
      <c r="H105" s="27"/>
      <c r="I105" s="27"/>
      <c r="J105" s="27"/>
      <c r="K105" s="38">
        <v>-155782</v>
      </c>
      <c r="L105" s="38"/>
      <c r="M105" s="59"/>
      <c r="N105" s="27"/>
      <c r="O105" s="6"/>
    </row>
    <row r="106" spans="1:15" ht="15.75">
      <c r="A106" s="26"/>
      <c r="B106" s="27" t="s">
        <v>71</v>
      </c>
      <c r="C106" s="27"/>
      <c r="D106" s="27"/>
      <c r="E106" s="27"/>
      <c r="F106" s="27"/>
      <c r="G106" s="27"/>
      <c r="H106" s="27"/>
      <c r="I106" s="27"/>
      <c r="J106" s="27"/>
      <c r="K106" s="38">
        <v>-23750</v>
      </c>
      <c r="L106" s="38"/>
      <c r="M106" s="59"/>
      <c r="N106" s="27"/>
      <c r="O106" s="6"/>
    </row>
    <row r="107" spans="1:15" ht="15.75">
      <c r="A107" s="26"/>
      <c r="B107" s="27" t="s">
        <v>72</v>
      </c>
      <c r="C107" s="27"/>
      <c r="D107" s="27"/>
      <c r="E107" s="27"/>
      <c r="F107" s="27"/>
      <c r="G107" s="27"/>
      <c r="H107" s="27"/>
      <c r="I107" s="27"/>
      <c r="J107" s="27"/>
      <c r="K107" s="38">
        <f>SUM(K87:K106)</f>
        <v>-179532</v>
      </c>
      <c r="L107" s="38"/>
      <c r="M107" s="38">
        <f>SUM(M87:M106)</f>
        <v>-6347</v>
      </c>
      <c r="N107" s="27"/>
      <c r="O107" s="6"/>
    </row>
    <row r="108" spans="1:15" ht="15.75">
      <c r="A108" s="26"/>
      <c r="B108" s="27" t="s">
        <v>73</v>
      </c>
      <c r="C108" s="27"/>
      <c r="D108" s="27"/>
      <c r="E108" s="27"/>
      <c r="F108" s="27"/>
      <c r="G108" s="27"/>
      <c r="H108" s="27"/>
      <c r="I108" s="27"/>
      <c r="J108" s="27"/>
      <c r="K108" s="38">
        <f>K86+K107</f>
        <v>0</v>
      </c>
      <c r="L108" s="38"/>
      <c r="M108" s="38">
        <f>M86+M107</f>
        <v>0</v>
      </c>
      <c r="N108" s="27"/>
      <c r="O108" s="6"/>
    </row>
    <row r="109" spans="1:15" ht="15.75">
      <c r="A109" s="26"/>
      <c r="B109" s="27"/>
      <c r="C109" s="27"/>
      <c r="D109" s="27"/>
      <c r="E109" s="27"/>
      <c r="F109" s="27"/>
      <c r="G109" s="27"/>
      <c r="H109" s="27"/>
      <c r="I109" s="27"/>
      <c r="J109" s="27"/>
      <c r="K109" s="38"/>
      <c r="L109" s="38"/>
      <c r="M109" s="38"/>
      <c r="N109" s="27"/>
      <c r="O109" s="6"/>
    </row>
    <row r="110" spans="1:15" ht="15.75">
      <c r="A110" s="7"/>
      <c r="B110" s="9"/>
      <c r="C110" s="9"/>
      <c r="D110" s="9"/>
      <c r="E110" s="9"/>
      <c r="F110" s="9"/>
      <c r="G110" s="9"/>
      <c r="H110" s="9"/>
      <c r="I110" s="9"/>
      <c r="J110" s="9"/>
      <c r="K110" s="9"/>
      <c r="L110" s="9"/>
      <c r="M110" s="58"/>
      <c r="N110" s="9"/>
      <c r="O110" s="6"/>
    </row>
    <row r="111" spans="1:15" ht="19.5" thickBot="1">
      <c r="A111" s="117"/>
      <c r="B111" s="118" t="str">
        <f>B52</f>
        <v>PM5 INVESTOR REPORT QUARTER ENDING MAY 2006</v>
      </c>
      <c r="C111" s="119"/>
      <c r="D111" s="119"/>
      <c r="E111" s="119"/>
      <c r="F111" s="119"/>
      <c r="G111" s="119"/>
      <c r="H111" s="119"/>
      <c r="I111" s="119"/>
      <c r="J111" s="119"/>
      <c r="K111" s="119"/>
      <c r="L111" s="119"/>
      <c r="M111" s="122"/>
      <c r="N111" s="121"/>
      <c r="O111" s="6"/>
    </row>
    <row r="112" spans="1:15" ht="15.75">
      <c r="A112" s="2"/>
      <c r="B112" s="66" t="s">
        <v>74</v>
      </c>
      <c r="C112" s="67"/>
      <c r="D112" s="67"/>
      <c r="E112" s="5"/>
      <c r="F112" s="5"/>
      <c r="G112" s="5"/>
      <c r="H112" s="5"/>
      <c r="I112" s="5"/>
      <c r="J112" s="5"/>
      <c r="K112" s="5"/>
      <c r="L112" s="5"/>
      <c r="M112" s="56"/>
      <c r="N112" s="5"/>
      <c r="O112" s="6"/>
    </row>
    <row r="113" spans="1:15" ht="15.75">
      <c r="A113" s="7"/>
      <c r="B113" s="23"/>
      <c r="C113" s="15"/>
      <c r="D113" s="15"/>
      <c r="E113" s="9"/>
      <c r="F113" s="9"/>
      <c r="G113" s="9"/>
      <c r="H113" s="9"/>
      <c r="I113" s="9"/>
      <c r="J113" s="9"/>
      <c r="K113" s="9"/>
      <c r="L113" s="9"/>
      <c r="M113" s="58"/>
      <c r="N113" s="9"/>
      <c r="O113" s="6"/>
    </row>
    <row r="114" spans="1:15" ht="15.75">
      <c r="A114" s="7"/>
      <c r="B114" s="139" t="s">
        <v>75</v>
      </c>
      <c r="C114" s="15"/>
      <c r="D114" s="15"/>
      <c r="E114" s="9"/>
      <c r="F114" s="9"/>
      <c r="G114" s="9"/>
      <c r="H114" s="9"/>
      <c r="I114" s="9"/>
      <c r="J114" s="9"/>
      <c r="K114" s="9"/>
      <c r="L114" s="9"/>
      <c r="M114" s="58"/>
      <c r="N114" s="9"/>
      <c r="O114" s="6"/>
    </row>
    <row r="115" spans="1:15" ht="15.75">
      <c r="A115" s="26"/>
      <c r="B115" s="27" t="s">
        <v>76</v>
      </c>
      <c r="C115" s="27"/>
      <c r="D115" s="27"/>
      <c r="E115" s="27"/>
      <c r="F115" s="27"/>
      <c r="G115" s="27"/>
      <c r="H115" s="27"/>
      <c r="I115" s="27"/>
      <c r="J115" s="27"/>
      <c r="K115" s="27"/>
      <c r="L115" s="27"/>
      <c r="M115" s="59">
        <v>4000</v>
      </c>
      <c r="N115" s="27"/>
      <c r="O115" s="6"/>
    </row>
    <row r="116" spans="1:15" ht="15.75">
      <c r="A116" s="26"/>
      <c r="B116" s="27" t="s">
        <v>77</v>
      </c>
      <c r="C116" s="27"/>
      <c r="D116" s="27"/>
      <c r="E116" s="27"/>
      <c r="F116" s="27"/>
      <c r="G116" s="27"/>
      <c r="H116" s="27"/>
      <c r="I116" s="27"/>
      <c r="J116" s="27"/>
      <c r="K116" s="27"/>
      <c r="L116" s="27"/>
      <c r="M116" s="59">
        <v>4000</v>
      </c>
      <c r="N116" s="27"/>
      <c r="O116" s="6"/>
    </row>
    <row r="117" spans="1:15" ht="15.75">
      <c r="A117" s="26"/>
      <c r="B117" s="27" t="s">
        <v>78</v>
      </c>
      <c r="C117" s="27"/>
      <c r="D117" s="27"/>
      <c r="E117" s="27"/>
      <c r="F117" s="27"/>
      <c r="G117" s="27"/>
      <c r="H117" s="27"/>
      <c r="I117" s="27"/>
      <c r="J117" s="27"/>
      <c r="K117" s="27"/>
      <c r="L117" s="27"/>
      <c r="M117" s="59">
        <v>0</v>
      </c>
      <c r="N117" s="27"/>
      <c r="O117" s="6"/>
    </row>
    <row r="118" spans="1:15" ht="15.75">
      <c r="A118" s="26"/>
      <c r="B118" s="27" t="s">
        <v>241</v>
      </c>
      <c r="C118" s="27"/>
      <c r="D118" s="27"/>
      <c r="E118" s="27"/>
      <c r="F118" s="27"/>
      <c r="G118" s="27"/>
      <c r="H118" s="27"/>
      <c r="I118" s="27"/>
      <c r="J118" s="27"/>
      <c r="K118" s="27"/>
      <c r="L118" s="27"/>
      <c r="M118" s="59">
        <v>-4000</v>
      </c>
      <c r="N118" s="27"/>
      <c r="O118" s="6"/>
    </row>
    <row r="119" spans="1:15" ht="15.75">
      <c r="A119" s="26"/>
      <c r="B119" s="27" t="s">
        <v>79</v>
      </c>
      <c r="C119" s="27"/>
      <c r="D119" s="27"/>
      <c r="E119" s="27"/>
      <c r="F119" s="27"/>
      <c r="G119" s="27"/>
      <c r="H119" s="27"/>
      <c r="I119" s="27"/>
      <c r="J119" s="27"/>
      <c r="K119" s="27"/>
      <c r="L119" s="27"/>
      <c r="M119" s="59">
        <v>0</v>
      </c>
      <c r="N119" s="27"/>
      <c r="O119" s="6"/>
    </row>
    <row r="120" spans="1:15" ht="15.75">
      <c r="A120" s="26"/>
      <c r="B120" s="27" t="s">
        <v>80</v>
      </c>
      <c r="C120" s="27"/>
      <c r="D120" s="27"/>
      <c r="E120" s="27"/>
      <c r="F120" s="27"/>
      <c r="G120" s="27"/>
      <c r="H120" s="27"/>
      <c r="I120" s="27"/>
      <c r="J120" s="27"/>
      <c r="K120" s="27"/>
      <c r="L120" s="27"/>
      <c r="M120" s="59">
        <v>0</v>
      </c>
      <c r="N120" s="27"/>
      <c r="O120" s="6"/>
    </row>
    <row r="121" spans="1:15" ht="15.75">
      <c r="A121" s="26"/>
      <c r="B121" s="27" t="s">
        <v>58</v>
      </c>
      <c r="C121" s="27"/>
      <c r="D121" s="27"/>
      <c r="E121" s="27"/>
      <c r="F121" s="27"/>
      <c r="G121" s="27"/>
      <c r="H121" s="27"/>
      <c r="I121" s="27"/>
      <c r="J121" s="27"/>
      <c r="K121" s="27"/>
      <c r="L121" s="27"/>
      <c r="M121" s="59">
        <v>0</v>
      </c>
      <c r="N121" s="27"/>
      <c r="O121" s="6"/>
    </row>
    <row r="122" spans="1:15" ht="15.75">
      <c r="A122" s="26"/>
      <c r="B122" s="27" t="s">
        <v>59</v>
      </c>
      <c r="C122" s="27"/>
      <c r="D122" s="27"/>
      <c r="E122" s="27"/>
      <c r="F122" s="27"/>
      <c r="G122" s="27"/>
      <c r="H122" s="27"/>
      <c r="I122" s="27"/>
      <c r="J122" s="27"/>
      <c r="K122" s="27"/>
      <c r="L122" s="27"/>
      <c r="M122" s="59">
        <v>0</v>
      </c>
      <c r="N122" s="27"/>
      <c r="O122" s="6"/>
    </row>
    <row r="123" spans="1:15" ht="15.75">
      <c r="A123" s="26"/>
      <c r="B123" s="27" t="s">
        <v>81</v>
      </c>
      <c r="C123" s="27"/>
      <c r="D123" s="27"/>
      <c r="E123" s="27"/>
      <c r="F123" s="27"/>
      <c r="G123" s="27"/>
      <c r="H123" s="27"/>
      <c r="I123" s="27"/>
      <c r="J123" s="27"/>
      <c r="K123" s="27"/>
      <c r="L123" s="27"/>
      <c r="M123" s="59">
        <v>0</v>
      </c>
      <c r="N123" s="27"/>
      <c r="O123" s="6"/>
    </row>
    <row r="124" spans="1:15" ht="15.75">
      <c r="A124" s="26"/>
      <c r="B124" s="27" t="s">
        <v>82</v>
      </c>
      <c r="C124" s="27"/>
      <c r="D124" s="27"/>
      <c r="E124" s="27"/>
      <c r="F124" s="27"/>
      <c r="G124" s="27"/>
      <c r="H124" s="27"/>
      <c r="I124" s="27"/>
      <c r="J124" s="27"/>
      <c r="K124" s="27"/>
      <c r="L124" s="27"/>
      <c r="M124" s="59">
        <f>SUM(M116:M123)</f>
        <v>0</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43</v>
      </c>
      <c r="C126" s="9"/>
      <c r="D126" s="9"/>
      <c r="E126" s="9"/>
      <c r="F126" s="9"/>
      <c r="G126" s="9"/>
      <c r="H126" s="9"/>
      <c r="I126" s="9"/>
      <c r="J126" s="9"/>
      <c r="K126" s="9"/>
      <c r="L126" s="9"/>
      <c r="M126" s="58"/>
      <c r="N126" s="9"/>
      <c r="O126" s="6"/>
    </row>
    <row r="127" spans="1:15" ht="15.75">
      <c r="A127" s="26"/>
      <c r="B127" s="27" t="s">
        <v>83</v>
      </c>
      <c r="C127" s="27"/>
      <c r="D127" s="27"/>
      <c r="E127" s="69"/>
      <c r="F127" s="27"/>
      <c r="G127" s="27"/>
      <c r="H127" s="27"/>
      <c r="I127" s="27"/>
      <c r="J127" s="27"/>
      <c r="K127" s="27"/>
      <c r="L127" s="27"/>
      <c r="M127" s="70" t="s">
        <v>185</v>
      </c>
      <c r="N127" s="27"/>
      <c r="O127" s="6"/>
    </row>
    <row r="128" spans="1:15" ht="15.75">
      <c r="A128" s="26"/>
      <c r="B128" s="27" t="s">
        <v>84</v>
      </c>
      <c r="C128" s="144"/>
      <c r="D128" s="144"/>
      <c r="E128" s="144"/>
      <c r="F128" s="144"/>
      <c r="G128" s="144"/>
      <c r="H128" s="144"/>
      <c r="I128" s="144"/>
      <c r="J128" s="144"/>
      <c r="K128" s="144"/>
      <c r="L128" s="144"/>
      <c r="M128" s="70" t="s">
        <v>185</v>
      </c>
      <c r="N128" s="27"/>
      <c r="O128" s="6"/>
    </row>
    <row r="129" spans="1:15" ht="15.75">
      <c r="A129" s="26"/>
      <c r="B129" s="27" t="s">
        <v>85</v>
      </c>
      <c r="C129" s="27"/>
      <c r="D129" s="27"/>
      <c r="E129" s="27"/>
      <c r="F129" s="27"/>
      <c r="G129" s="27"/>
      <c r="H129" s="27"/>
      <c r="I129" s="27"/>
      <c r="J129" s="27"/>
      <c r="K129" s="27"/>
      <c r="L129" s="27"/>
      <c r="M129" s="70" t="s">
        <v>185</v>
      </c>
      <c r="N129" s="27"/>
      <c r="O129" s="6"/>
    </row>
    <row r="130" spans="1:15" ht="15.75">
      <c r="A130" s="26"/>
      <c r="B130" s="27" t="s">
        <v>86</v>
      </c>
      <c r="C130" s="27"/>
      <c r="D130" s="27"/>
      <c r="E130" s="27"/>
      <c r="F130" s="27"/>
      <c r="G130" s="27"/>
      <c r="H130" s="27"/>
      <c r="I130" s="27"/>
      <c r="J130" s="27"/>
      <c r="K130" s="27"/>
      <c r="L130" s="27"/>
      <c r="M130" s="70" t="s">
        <v>185</v>
      </c>
      <c r="N130" s="27"/>
      <c r="O130" s="6"/>
    </row>
    <row r="131" spans="1:15" ht="15.75">
      <c r="A131" s="26"/>
      <c r="B131" s="27"/>
      <c r="C131" s="27"/>
      <c r="D131" s="27"/>
      <c r="E131" s="27"/>
      <c r="F131" s="27"/>
      <c r="G131" s="27"/>
      <c r="H131" s="27"/>
      <c r="I131" s="27"/>
      <c r="J131" s="27"/>
      <c r="K131" s="27"/>
      <c r="L131" s="27"/>
      <c r="M131" s="68"/>
      <c r="N131" s="27"/>
      <c r="O131" s="6"/>
    </row>
    <row r="132" spans="1:15" ht="15.75">
      <c r="A132" s="7"/>
      <c r="B132" s="139" t="s">
        <v>87</v>
      </c>
      <c r="C132" s="15"/>
      <c r="D132" s="15"/>
      <c r="E132" s="9"/>
      <c r="F132" s="9"/>
      <c r="G132" s="9"/>
      <c r="H132" s="9"/>
      <c r="I132" s="9"/>
      <c r="J132" s="9"/>
      <c r="K132" s="9"/>
      <c r="L132" s="9"/>
      <c r="M132" s="71"/>
      <c r="N132" s="9"/>
      <c r="O132" s="6"/>
    </row>
    <row r="133" spans="1:15" ht="15.75">
      <c r="A133" s="26"/>
      <c r="B133" s="27" t="s">
        <v>88</v>
      </c>
      <c r="C133" s="27"/>
      <c r="D133" s="27"/>
      <c r="E133" s="27"/>
      <c r="F133" s="27"/>
      <c r="G133" s="27"/>
      <c r="H133" s="27"/>
      <c r="I133" s="27"/>
      <c r="J133" s="27"/>
      <c r="K133" s="27"/>
      <c r="L133" s="27"/>
      <c r="M133" s="59">
        <v>0</v>
      </c>
      <c r="N133" s="27"/>
      <c r="O133" s="6"/>
    </row>
    <row r="134" spans="1:15" ht="15.75">
      <c r="A134" s="26"/>
      <c r="B134" s="27" t="s">
        <v>89</v>
      </c>
      <c r="C134" s="27"/>
      <c r="D134" s="27"/>
      <c r="E134" s="27"/>
      <c r="F134" s="27"/>
      <c r="G134" s="27"/>
      <c r="H134" s="27"/>
      <c r="I134" s="27"/>
      <c r="J134" s="27"/>
      <c r="K134" s="27"/>
      <c r="L134" s="27"/>
      <c r="M134" s="59">
        <v>0</v>
      </c>
      <c r="N134" s="27"/>
      <c r="O134" s="6"/>
    </row>
    <row r="135" spans="1:15" ht="15.75">
      <c r="A135" s="26"/>
      <c r="B135" s="27" t="s">
        <v>90</v>
      </c>
      <c r="C135" s="27"/>
      <c r="D135" s="27"/>
      <c r="E135" s="27"/>
      <c r="F135" s="27"/>
      <c r="G135" s="27"/>
      <c r="H135" s="27"/>
      <c r="I135" s="27"/>
      <c r="J135" s="27"/>
      <c r="K135" s="27"/>
      <c r="L135" s="27"/>
      <c r="M135" s="59">
        <f>M134+M133</f>
        <v>0</v>
      </c>
      <c r="N135" s="27"/>
      <c r="O135" s="6"/>
    </row>
    <row r="136" spans="1:15" ht="15.75">
      <c r="A136" s="26"/>
      <c r="B136" s="27" t="s">
        <v>91</v>
      </c>
      <c r="C136" s="27"/>
      <c r="D136" s="27"/>
      <c r="E136" s="27"/>
      <c r="F136" s="27"/>
      <c r="G136" s="27"/>
      <c r="H136" s="27"/>
      <c r="I136" s="72"/>
      <c r="J136" s="27"/>
      <c r="K136" s="27"/>
      <c r="L136" s="27"/>
      <c r="M136" s="59">
        <f>M96</f>
        <v>0</v>
      </c>
      <c r="N136" s="27"/>
      <c r="O136" s="6"/>
    </row>
    <row r="137" spans="1:15" ht="15.75">
      <c r="A137" s="26"/>
      <c r="B137" s="27" t="s">
        <v>92</v>
      </c>
      <c r="C137" s="27"/>
      <c r="D137" s="27"/>
      <c r="E137" s="27"/>
      <c r="F137" s="27"/>
      <c r="G137" s="27"/>
      <c r="H137" s="27"/>
      <c r="I137" s="27"/>
      <c r="J137" s="27"/>
      <c r="K137" s="27"/>
      <c r="L137" s="27"/>
      <c r="M137" s="59">
        <f>M135+M136</f>
        <v>0</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93</v>
      </c>
      <c r="C140" s="15"/>
      <c r="D140" s="15"/>
      <c r="E140" s="9"/>
      <c r="F140" s="9"/>
      <c r="G140" s="9"/>
      <c r="H140" s="9"/>
      <c r="I140" s="9"/>
      <c r="J140" s="9"/>
      <c r="K140" s="9"/>
      <c r="L140" s="9"/>
      <c r="M140" s="58"/>
      <c r="N140" s="9"/>
      <c r="O140" s="6"/>
    </row>
    <row r="141" spans="1:15" ht="15.75">
      <c r="A141" s="7"/>
      <c r="B141" s="23"/>
      <c r="C141" s="15"/>
      <c r="D141" s="15"/>
      <c r="E141" s="9"/>
      <c r="F141" s="9"/>
      <c r="G141" s="9"/>
      <c r="H141" s="9"/>
      <c r="I141" s="9"/>
      <c r="J141" s="9"/>
      <c r="K141" s="9"/>
      <c r="L141" s="9"/>
      <c r="M141" s="58"/>
      <c r="N141" s="9"/>
      <c r="O141" s="6"/>
    </row>
    <row r="142" spans="1:15" ht="15.75">
      <c r="A142" s="26"/>
      <c r="B142" s="27" t="s">
        <v>94</v>
      </c>
      <c r="C142" s="73"/>
      <c r="D142" s="73"/>
      <c r="E142" s="27"/>
      <c r="F142" s="27"/>
      <c r="G142" s="27"/>
      <c r="H142" s="27"/>
      <c r="I142" s="27"/>
      <c r="J142" s="27"/>
      <c r="K142" s="27"/>
      <c r="L142" s="27"/>
      <c r="M142" s="59">
        <f>M60</f>
        <v>0</v>
      </c>
      <c r="N142" s="27"/>
      <c r="O142" s="6"/>
    </row>
    <row r="143" spans="1:15" ht="15.75">
      <c r="A143" s="26"/>
      <c r="B143" s="27" t="s">
        <v>95</v>
      </c>
      <c r="C143" s="73"/>
      <c r="D143" s="73"/>
      <c r="E143" s="27"/>
      <c r="F143" s="27"/>
      <c r="G143" s="27"/>
      <c r="H143" s="27"/>
      <c r="I143" s="27"/>
      <c r="J143" s="27"/>
      <c r="K143" s="27"/>
      <c r="L143" s="27"/>
      <c r="M143" s="59">
        <f>M72</f>
        <v>0</v>
      </c>
      <c r="N143" s="27"/>
      <c r="O143" s="6"/>
    </row>
    <row r="144" spans="1:15" ht="15.75">
      <c r="A144" s="26"/>
      <c r="B144" s="27"/>
      <c r="C144" s="27"/>
      <c r="D144" s="27"/>
      <c r="E144" s="27"/>
      <c r="F144" s="27"/>
      <c r="G144" s="27"/>
      <c r="H144" s="27"/>
      <c r="I144" s="27"/>
      <c r="J144" s="27"/>
      <c r="K144" s="27"/>
      <c r="L144" s="27"/>
      <c r="M144" s="68"/>
      <c r="N144" s="27"/>
      <c r="O144" s="6"/>
    </row>
    <row r="145" spans="1:15" ht="15.75">
      <c r="A145" s="2"/>
      <c r="B145" s="5"/>
      <c r="C145" s="5"/>
      <c r="D145" s="5"/>
      <c r="E145" s="5"/>
      <c r="F145" s="5"/>
      <c r="G145" s="5"/>
      <c r="H145" s="5"/>
      <c r="I145" s="5"/>
      <c r="J145" s="5"/>
      <c r="K145" s="5"/>
      <c r="L145" s="5"/>
      <c r="M145" s="56"/>
      <c r="N145" s="5"/>
      <c r="O145" s="6"/>
    </row>
    <row r="146" spans="1:15" ht="15.75">
      <c r="A146" s="7"/>
      <c r="B146" s="139" t="s">
        <v>96</v>
      </c>
      <c r="C146" s="129"/>
      <c r="D146" s="129"/>
      <c r="E146" s="137"/>
      <c r="F146" s="137"/>
      <c r="G146" s="137"/>
      <c r="H146" s="137"/>
      <c r="I146" s="140" t="s">
        <v>172</v>
      </c>
      <c r="J146" s="140"/>
      <c r="K146" s="140" t="s">
        <v>181</v>
      </c>
      <c r="L146" s="129"/>
      <c r="M146" s="141" t="s">
        <v>195</v>
      </c>
      <c r="N146" s="11"/>
      <c r="O146" s="6"/>
    </row>
    <row r="147" spans="1:15" ht="15.75">
      <c r="A147" s="26"/>
      <c r="B147" s="27" t="s">
        <v>97</v>
      </c>
      <c r="C147" s="27"/>
      <c r="D147" s="27"/>
      <c r="E147" s="27"/>
      <c r="F147" s="27"/>
      <c r="G147" s="27"/>
      <c r="H147" s="27"/>
      <c r="I147" s="59">
        <v>41000</v>
      </c>
      <c r="J147" s="27"/>
      <c r="K147" s="46"/>
      <c r="L147" s="27"/>
      <c r="M147" s="59"/>
      <c r="N147" s="27"/>
      <c r="O147" s="6"/>
    </row>
    <row r="148" spans="1:15" ht="15.75">
      <c r="A148" s="26"/>
      <c r="B148" s="27" t="s">
        <v>98</v>
      </c>
      <c r="C148" s="27"/>
      <c r="D148" s="27"/>
      <c r="E148" s="27"/>
      <c r="F148" s="27"/>
      <c r="G148" s="27"/>
      <c r="H148" s="27"/>
      <c r="I148" s="59">
        <f>'Feb 06'!I148</f>
        <v>30020</v>
      </c>
      <c r="J148" s="27"/>
      <c r="K148" s="59">
        <f>'Feb 06'!K148</f>
        <v>595</v>
      </c>
      <c r="L148" s="27"/>
      <c r="M148" s="59">
        <f>K148+I148</f>
        <v>30615</v>
      </c>
      <c r="N148" s="27"/>
      <c r="O148" s="6"/>
    </row>
    <row r="149" spans="1:15" ht="15.75">
      <c r="A149" s="26"/>
      <c r="B149" s="27" t="s">
        <v>99</v>
      </c>
      <c r="C149" s="27"/>
      <c r="D149" s="27"/>
      <c r="E149" s="27"/>
      <c r="F149" s="27"/>
      <c r="G149" s="27"/>
      <c r="H149" s="27"/>
      <c r="I149" s="38">
        <v>0</v>
      </c>
      <c r="J149" s="27"/>
      <c r="K149" s="27">
        <v>0</v>
      </c>
      <c r="L149" s="27"/>
      <c r="M149" s="59">
        <f>K149+I149</f>
        <v>0</v>
      </c>
      <c r="N149" s="27"/>
      <c r="O149" s="6"/>
    </row>
    <row r="150" spans="1:15" ht="15.75">
      <c r="A150" s="26"/>
      <c r="B150" s="27" t="s">
        <v>100</v>
      </c>
      <c r="C150" s="27"/>
      <c r="D150" s="27"/>
      <c r="E150" s="27"/>
      <c r="F150" s="27"/>
      <c r="G150" s="27"/>
      <c r="H150" s="27"/>
      <c r="I150" s="59">
        <f>I148+I149</f>
        <v>30020</v>
      </c>
      <c r="J150" s="27"/>
      <c r="K150" s="59">
        <f>K149+K148</f>
        <v>595</v>
      </c>
      <c r="L150" s="27"/>
      <c r="M150" s="59">
        <f>K150+I150</f>
        <v>30615</v>
      </c>
      <c r="N150" s="27"/>
      <c r="O150" s="6"/>
    </row>
    <row r="151" spans="1:15" ht="15.75">
      <c r="A151" s="26"/>
      <c r="B151" s="27" t="s">
        <v>101</v>
      </c>
      <c r="C151" s="27"/>
      <c r="D151" s="27"/>
      <c r="E151" s="27"/>
      <c r="F151" s="27"/>
      <c r="G151" s="27"/>
      <c r="H151" s="27"/>
      <c r="I151" s="59">
        <f>I147-I150-K150</f>
        <v>10385</v>
      </c>
      <c r="J151" s="27"/>
      <c r="K151" s="46">
        <v>0</v>
      </c>
      <c r="L151" s="27"/>
      <c r="M151" s="59"/>
      <c r="N151" s="27"/>
      <c r="O151" s="6"/>
    </row>
    <row r="152" spans="1:15" ht="15.75">
      <c r="A152" s="26"/>
      <c r="B152" s="27"/>
      <c r="C152" s="27"/>
      <c r="D152" s="27"/>
      <c r="E152" s="27"/>
      <c r="F152" s="27"/>
      <c r="G152" s="27"/>
      <c r="H152" s="27"/>
      <c r="I152" s="27"/>
      <c r="J152" s="27"/>
      <c r="K152" s="27"/>
      <c r="L152" s="27"/>
      <c r="M152" s="68"/>
      <c r="N152" s="27"/>
      <c r="O152" s="6"/>
    </row>
    <row r="153" spans="1:15" ht="15.75">
      <c r="A153" s="2"/>
      <c r="B153" s="5"/>
      <c r="C153" s="5"/>
      <c r="D153" s="5"/>
      <c r="E153" s="5"/>
      <c r="F153" s="5"/>
      <c r="G153" s="5"/>
      <c r="H153" s="5"/>
      <c r="I153" s="5"/>
      <c r="J153" s="5"/>
      <c r="K153" s="5"/>
      <c r="L153" s="5"/>
      <c r="M153" s="56"/>
      <c r="N153" s="5"/>
      <c r="O153" s="6"/>
    </row>
    <row r="154" spans="1:15" ht="15.75">
      <c r="A154" s="7"/>
      <c r="B154" s="139" t="s">
        <v>102</v>
      </c>
      <c r="C154" s="15"/>
      <c r="D154" s="15"/>
      <c r="E154" s="9"/>
      <c r="F154" s="9"/>
      <c r="G154" s="9"/>
      <c r="H154" s="9"/>
      <c r="I154" s="9"/>
      <c r="J154" s="9"/>
      <c r="K154" s="9"/>
      <c r="L154" s="9"/>
      <c r="M154" s="74"/>
      <c r="N154" s="9"/>
      <c r="O154" s="6"/>
    </row>
    <row r="155" spans="1:15" ht="15.75">
      <c r="A155" s="26"/>
      <c r="B155" s="27" t="s">
        <v>103</v>
      </c>
      <c r="C155" s="27"/>
      <c r="D155" s="27"/>
      <c r="E155" s="27"/>
      <c r="F155" s="27"/>
      <c r="G155" s="27"/>
      <c r="H155" s="27"/>
      <c r="I155" s="27"/>
      <c r="J155" s="27"/>
      <c r="K155" s="27"/>
      <c r="L155" s="27"/>
      <c r="M155" s="65">
        <f>(M86+M88+M89+M90+M91-M81)/-M92</f>
        <v>1.211018711018711</v>
      </c>
      <c r="N155" s="27" t="s">
        <v>196</v>
      </c>
      <c r="O155" s="6"/>
    </row>
    <row r="156" spans="1:15" ht="15.75">
      <c r="A156" s="26"/>
      <c r="B156" s="27" t="s">
        <v>104</v>
      </c>
      <c r="C156" s="27"/>
      <c r="D156" s="27"/>
      <c r="E156" s="27"/>
      <c r="F156" s="27"/>
      <c r="G156" s="27"/>
      <c r="H156" s="27"/>
      <c r="I156" s="27"/>
      <c r="J156" s="27"/>
      <c r="K156" s="27"/>
      <c r="L156" s="27"/>
      <c r="M156" s="75">
        <v>1.35</v>
      </c>
      <c r="N156" s="27" t="s">
        <v>196</v>
      </c>
      <c r="O156" s="6"/>
    </row>
    <row r="157" spans="1:15" ht="15.75">
      <c r="A157" s="26"/>
      <c r="B157" s="27" t="s">
        <v>105</v>
      </c>
      <c r="C157" s="27"/>
      <c r="D157" s="27"/>
      <c r="E157" s="27"/>
      <c r="F157" s="27"/>
      <c r="G157" s="27"/>
      <c r="H157" s="27"/>
      <c r="I157" s="27"/>
      <c r="J157" s="27"/>
      <c r="K157" s="27"/>
      <c r="L157" s="27"/>
      <c r="M157" s="65">
        <f>(M86+M88+M89+M90+M91+M92-M81)/-M93</f>
        <v>1.143661971830986</v>
      </c>
      <c r="N157" s="27" t="s">
        <v>196</v>
      </c>
      <c r="O157" s="6"/>
    </row>
    <row r="158" spans="1:15" ht="15.75">
      <c r="A158" s="26"/>
      <c r="B158" s="27" t="s">
        <v>106</v>
      </c>
      <c r="C158" s="27"/>
      <c r="D158" s="27"/>
      <c r="E158" s="27"/>
      <c r="F158" s="27"/>
      <c r="G158" s="27"/>
      <c r="H158" s="27"/>
      <c r="I158" s="27"/>
      <c r="J158" s="27"/>
      <c r="K158" s="27"/>
      <c r="L158" s="27"/>
      <c r="M158" s="76">
        <v>2.48</v>
      </c>
      <c r="N158" s="27" t="s">
        <v>196</v>
      </c>
      <c r="O158" s="6"/>
    </row>
    <row r="159" spans="1:15" ht="15.75">
      <c r="A159" s="26"/>
      <c r="B159" s="27"/>
      <c r="C159" s="27"/>
      <c r="D159" s="27"/>
      <c r="E159" s="27"/>
      <c r="F159" s="27"/>
      <c r="G159" s="27"/>
      <c r="H159" s="27"/>
      <c r="I159" s="27"/>
      <c r="J159" s="27"/>
      <c r="K159" s="27"/>
      <c r="L159" s="27"/>
      <c r="M159" s="27"/>
      <c r="N159" s="27"/>
      <c r="O159" s="6"/>
    </row>
    <row r="160" spans="1:15" ht="15.75">
      <c r="A160" s="26"/>
      <c r="B160" s="27"/>
      <c r="C160" s="27"/>
      <c r="D160" s="27"/>
      <c r="E160" s="27"/>
      <c r="F160" s="27"/>
      <c r="G160" s="27"/>
      <c r="H160" s="27"/>
      <c r="I160" s="27"/>
      <c r="J160" s="27"/>
      <c r="K160" s="27"/>
      <c r="L160" s="27"/>
      <c r="M160" s="27"/>
      <c r="N160" s="27"/>
      <c r="O160" s="6"/>
    </row>
    <row r="161" spans="1:15" ht="15.75">
      <c r="A161" s="7"/>
      <c r="B161" s="9"/>
      <c r="C161" s="9"/>
      <c r="D161" s="9"/>
      <c r="E161" s="9"/>
      <c r="F161" s="9"/>
      <c r="G161" s="9"/>
      <c r="H161" s="9"/>
      <c r="I161" s="9"/>
      <c r="J161" s="9"/>
      <c r="K161" s="9"/>
      <c r="L161" s="9"/>
      <c r="M161" s="9"/>
      <c r="N161" s="9"/>
      <c r="O161" s="6"/>
    </row>
    <row r="162" spans="1:15" ht="19.5" thickBot="1">
      <c r="A162" s="117"/>
      <c r="B162" s="118" t="str">
        <f>B111</f>
        <v>PM5 INVESTOR REPORT QUARTER ENDING MAY 2006</v>
      </c>
      <c r="C162" s="146"/>
      <c r="D162" s="146"/>
      <c r="E162" s="146"/>
      <c r="F162" s="146"/>
      <c r="G162" s="146"/>
      <c r="H162" s="146"/>
      <c r="I162" s="146"/>
      <c r="J162" s="146"/>
      <c r="K162" s="146"/>
      <c r="L162" s="146"/>
      <c r="M162" s="146"/>
      <c r="N162" s="147"/>
      <c r="O162" s="6"/>
    </row>
    <row r="163" spans="1:15" ht="15.75">
      <c r="A163" s="77"/>
      <c r="B163" s="66" t="s">
        <v>107</v>
      </c>
      <c r="C163" s="78"/>
      <c r="D163" s="78"/>
      <c r="E163" s="78"/>
      <c r="F163" s="78"/>
      <c r="G163" s="78"/>
      <c r="H163" s="79"/>
      <c r="I163" s="79"/>
      <c r="J163" s="79"/>
      <c r="K163" s="80">
        <v>38868</v>
      </c>
      <c r="L163" s="5"/>
      <c r="M163" s="5"/>
      <c r="N163" s="5"/>
      <c r="O163" s="6"/>
    </row>
    <row r="164" spans="1:15" ht="15.75">
      <c r="A164" s="81"/>
      <c r="B164" s="82"/>
      <c r="C164" s="83"/>
      <c r="D164" s="83"/>
      <c r="E164" s="83"/>
      <c r="F164" s="83"/>
      <c r="G164" s="83"/>
      <c r="H164" s="84"/>
      <c r="I164" s="84"/>
      <c r="J164" s="84"/>
      <c r="K164" s="84"/>
      <c r="L164" s="9"/>
      <c r="M164" s="9"/>
      <c r="N164" s="9"/>
      <c r="O164" s="6"/>
    </row>
    <row r="165" spans="1:15" ht="15.75">
      <c r="A165" s="85"/>
      <c r="B165" s="86" t="s">
        <v>108</v>
      </c>
      <c r="C165" s="87"/>
      <c r="D165" s="87"/>
      <c r="E165" s="87"/>
      <c r="F165" s="87"/>
      <c r="G165" s="87"/>
      <c r="H165" s="72"/>
      <c r="I165" s="72"/>
      <c r="J165" s="72"/>
      <c r="K165" s="88">
        <v>0.0533</v>
      </c>
      <c r="L165" s="27"/>
      <c r="M165" s="27"/>
      <c r="N165" s="27"/>
      <c r="O165" s="6"/>
    </row>
    <row r="166" spans="1:15" ht="15.75">
      <c r="A166" s="85"/>
      <c r="B166" s="86" t="s">
        <v>109</v>
      </c>
      <c r="C166" s="87"/>
      <c r="D166" s="87"/>
      <c r="E166" s="87"/>
      <c r="F166" s="87"/>
      <c r="G166" s="87"/>
      <c r="H166" s="72"/>
      <c r="I166" s="72"/>
      <c r="J166" s="72"/>
      <c r="K166" s="45">
        <v>0.04050510000000001</v>
      </c>
      <c r="L166" s="27"/>
      <c r="M166" s="27"/>
      <c r="N166" s="27"/>
      <c r="O166" s="6"/>
    </row>
    <row r="167" spans="1:15" ht="15.75">
      <c r="A167" s="85"/>
      <c r="B167" s="86" t="s">
        <v>110</v>
      </c>
      <c r="C167" s="87"/>
      <c r="D167" s="87"/>
      <c r="E167" s="87"/>
      <c r="F167" s="87"/>
      <c r="G167" s="87"/>
      <c r="H167" s="72"/>
      <c r="I167" s="72"/>
      <c r="J167" s="72"/>
      <c r="K167" s="88">
        <f>K165-K166</f>
        <v>0.012794899999999991</v>
      </c>
      <c r="L167" s="27"/>
      <c r="M167" s="27"/>
      <c r="N167" s="27"/>
      <c r="O167" s="6"/>
    </row>
    <row r="168" spans="1:15" ht="15.75">
      <c r="A168" s="85"/>
      <c r="B168" s="86" t="s">
        <v>111</v>
      </c>
      <c r="C168" s="87"/>
      <c r="D168" s="87"/>
      <c r="E168" s="87"/>
      <c r="F168" s="87"/>
      <c r="G168" s="87"/>
      <c r="H168" s="72"/>
      <c r="I168" s="72"/>
      <c r="J168" s="72"/>
      <c r="K168" s="88">
        <v>0</v>
      </c>
      <c r="L168" s="27"/>
      <c r="M168" s="27"/>
      <c r="N168" s="27"/>
      <c r="O168" s="6"/>
    </row>
    <row r="169" spans="1:15" ht="15.75">
      <c r="A169" s="85"/>
      <c r="B169" s="86" t="s">
        <v>112</v>
      </c>
      <c r="C169" s="87"/>
      <c r="D169" s="87"/>
      <c r="E169" s="87"/>
      <c r="F169" s="87"/>
      <c r="G169" s="87"/>
      <c r="H169" s="72"/>
      <c r="I169" s="72"/>
      <c r="J169" s="72"/>
      <c r="K169" s="88">
        <v>0</v>
      </c>
      <c r="L169" s="27"/>
      <c r="M169" s="27"/>
      <c r="N169" s="27"/>
      <c r="O169" s="6"/>
    </row>
    <row r="170" spans="1:15" ht="15.75">
      <c r="A170" s="85"/>
      <c r="B170" s="86" t="s">
        <v>113</v>
      </c>
      <c r="C170" s="87"/>
      <c r="D170" s="87"/>
      <c r="E170" s="87"/>
      <c r="F170" s="87"/>
      <c r="G170" s="87"/>
      <c r="H170" s="72"/>
      <c r="I170" s="72"/>
      <c r="J170" s="72"/>
      <c r="K170" s="88">
        <f>K168-K169</f>
        <v>0</v>
      </c>
      <c r="L170" s="27"/>
      <c r="M170" s="27"/>
      <c r="N170" s="27"/>
      <c r="O170" s="6"/>
    </row>
    <row r="171" spans="1:15" ht="15.75">
      <c r="A171" s="85"/>
      <c r="B171" s="86" t="s">
        <v>114</v>
      </c>
      <c r="C171" s="87"/>
      <c r="D171" s="87"/>
      <c r="E171" s="87"/>
      <c r="F171" s="87"/>
      <c r="G171" s="87"/>
      <c r="H171" s="72"/>
      <c r="I171" s="72"/>
      <c r="J171" s="72"/>
      <c r="K171" s="89" t="s">
        <v>182</v>
      </c>
      <c r="L171" s="27"/>
      <c r="M171" s="27"/>
      <c r="N171" s="27"/>
      <c r="O171" s="6"/>
    </row>
    <row r="172" spans="1:15" ht="15.75">
      <c r="A172" s="85"/>
      <c r="B172" s="86" t="s">
        <v>115</v>
      </c>
      <c r="C172" s="87"/>
      <c r="D172" s="87"/>
      <c r="E172" s="87"/>
      <c r="F172" s="87"/>
      <c r="G172" s="87"/>
      <c r="H172" s="72"/>
      <c r="I172" s="72"/>
      <c r="J172" s="72"/>
      <c r="K172" s="89" t="s">
        <v>183</v>
      </c>
      <c r="L172" s="27"/>
      <c r="M172" s="27"/>
      <c r="N172" s="27"/>
      <c r="O172" s="6"/>
    </row>
    <row r="173" spans="1:15" ht="15.75">
      <c r="A173" s="85"/>
      <c r="B173" s="86" t="s">
        <v>116</v>
      </c>
      <c r="C173" s="87"/>
      <c r="D173" s="87"/>
      <c r="E173" s="87"/>
      <c r="F173" s="87"/>
      <c r="G173" s="87"/>
      <c r="H173" s="72"/>
      <c r="I173" s="72"/>
      <c r="J173" s="72"/>
      <c r="K173" s="152">
        <v>0</v>
      </c>
      <c r="L173" s="27" t="s">
        <v>188</v>
      </c>
      <c r="M173" s="27"/>
      <c r="N173" s="27"/>
      <c r="O173" s="6"/>
    </row>
    <row r="174" spans="1:15" ht="15.75">
      <c r="A174" s="85"/>
      <c r="B174" s="86" t="s">
        <v>117</v>
      </c>
      <c r="C174" s="87"/>
      <c r="D174" s="87"/>
      <c r="E174" s="87"/>
      <c r="F174" s="87"/>
      <c r="G174" s="87"/>
      <c r="H174" s="72"/>
      <c r="I174" s="72"/>
      <c r="J174" s="72"/>
      <c r="K174" s="152">
        <v>0</v>
      </c>
      <c r="L174" s="27" t="s">
        <v>188</v>
      </c>
      <c r="M174" s="27"/>
      <c r="N174" s="27"/>
      <c r="O174" s="6"/>
    </row>
    <row r="175" spans="1:15" ht="15.75">
      <c r="A175" s="85"/>
      <c r="B175" s="86" t="s">
        <v>118</v>
      </c>
      <c r="C175" s="87"/>
      <c r="D175" s="87"/>
      <c r="E175" s="87"/>
      <c r="F175" s="87"/>
      <c r="G175" s="87"/>
      <c r="H175" s="72"/>
      <c r="I175" s="72"/>
      <c r="J175" s="72"/>
      <c r="K175" s="88">
        <v>1</v>
      </c>
      <c r="L175" s="27"/>
      <c r="M175" s="27"/>
      <c r="N175" s="27"/>
      <c r="O175" s="6"/>
    </row>
    <row r="176" spans="1:15" ht="15.75">
      <c r="A176" s="85"/>
      <c r="B176" s="86" t="s">
        <v>119</v>
      </c>
      <c r="C176" s="87"/>
      <c r="D176" s="87"/>
      <c r="E176" s="87"/>
      <c r="F176" s="87"/>
      <c r="G176" s="87"/>
      <c r="H176" s="72"/>
      <c r="I176" s="72"/>
      <c r="J176" s="72"/>
      <c r="K176" s="88">
        <v>1</v>
      </c>
      <c r="L176" s="27"/>
      <c r="M176" s="27"/>
      <c r="N176" s="27"/>
      <c r="O176" s="6"/>
    </row>
    <row r="177" spans="1:15" ht="15.75">
      <c r="A177" s="85"/>
      <c r="B177" s="86"/>
      <c r="C177" s="86"/>
      <c r="D177" s="86"/>
      <c r="E177" s="86"/>
      <c r="F177" s="86"/>
      <c r="G177" s="86"/>
      <c r="H177" s="27"/>
      <c r="I177" s="27"/>
      <c r="J177" s="27"/>
      <c r="K177" s="68"/>
      <c r="L177" s="27"/>
      <c r="M177" s="91"/>
      <c r="N177" s="27"/>
      <c r="O177" s="6"/>
    </row>
    <row r="178" spans="1:15" ht="15.75">
      <c r="A178" s="92"/>
      <c r="B178" s="16" t="s">
        <v>120</v>
      </c>
      <c r="C178" s="93"/>
      <c r="D178" s="93"/>
      <c r="E178" s="94"/>
      <c r="F178" s="93"/>
      <c r="G178" s="94"/>
      <c r="H178" s="93"/>
      <c r="I178" s="94"/>
      <c r="J178" s="19" t="s">
        <v>173</v>
      </c>
      <c r="K178" s="95" t="s">
        <v>184</v>
      </c>
      <c r="L178" s="9"/>
      <c r="M178" s="9"/>
      <c r="N178" s="9"/>
      <c r="O178" s="6"/>
    </row>
    <row r="179" spans="1:15" ht="15.75">
      <c r="A179" s="96"/>
      <c r="B179" s="86" t="s">
        <v>121</v>
      </c>
      <c r="C179" s="60"/>
      <c r="D179" s="60"/>
      <c r="E179" s="60"/>
      <c r="F179" s="60"/>
      <c r="G179" s="27"/>
      <c r="H179" s="27"/>
      <c r="I179" s="27"/>
      <c r="J179" s="34">
        <v>0</v>
      </c>
      <c r="K179" s="97">
        <v>0</v>
      </c>
      <c r="L179" s="27"/>
      <c r="M179" s="91"/>
      <c r="N179" s="98"/>
      <c r="O179" s="6"/>
    </row>
    <row r="180" spans="1:15" ht="15.75">
      <c r="A180" s="96"/>
      <c r="B180" s="86" t="s">
        <v>202</v>
      </c>
      <c r="C180" s="60"/>
      <c r="D180" s="60"/>
      <c r="E180" s="60"/>
      <c r="F180" s="60"/>
      <c r="G180" s="27"/>
      <c r="H180" s="27"/>
      <c r="I180" s="27"/>
      <c r="J180" s="167">
        <f>+I223</f>
        <v>0</v>
      </c>
      <c r="K180" s="97">
        <f>+K223</f>
        <v>0</v>
      </c>
      <c r="L180" s="27"/>
      <c r="M180" s="91"/>
      <c r="N180" s="98"/>
      <c r="O180" s="6"/>
    </row>
    <row r="181" spans="1:15" ht="15.75">
      <c r="A181" s="96"/>
      <c r="B181" s="86" t="s">
        <v>122</v>
      </c>
      <c r="C181" s="60"/>
      <c r="D181" s="60"/>
      <c r="E181" s="60"/>
      <c r="F181" s="60"/>
      <c r="G181" s="27"/>
      <c r="H181" s="27"/>
      <c r="I181" s="27"/>
      <c r="J181" s="167">
        <f>+I235</f>
        <v>0</v>
      </c>
      <c r="K181" s="97">
        <f>+K235</f>
        <v>0</v>
      </c>
      <c r="L181" s="27"/>
      <c r="M181" s="91"/>
      <c r="N181" s="98"/>
      <c r="O181" s="6"/>
    </row>
    <row r="182" spans="1:15" ht="15.75">
      <c r="A182" s="96"/>
      <c r="B182" s="142" t="s">
        <v>123</v>
      </c>
      <c r="C182" s="60"/>
      <c r="D182" s="60"/>
      <c r="E182" s="60"/>
      <c r="F182" s="60"/>
      <c r="G182" s="27"/>
      <c r="H182" s="27"/>
      <c r="I182" s="27"/>
      <c r="J182" s="27"/>
      <c r="K182" s="97">
        <v>0</v>
      </c>
      <c r="L182" s="27"/>
      <c r="M182" s="91"/>
      <c r="N182" s="98"/>
      <c r="O182" s="6"/>
    </row>
    <row r="183" spans="1:15" ht="15.75">
      <c r="A183" s="96"/>
      <c r="B183" s="142" t="s">
        <v>124</v>
      </c>
      <c r="C183" s="60"/>
      <c r="D183" s="60"/>
      <c r="E183" s="60"/>
      <c r="F183" s="60"/>
      <c r="G183" s="27"/>
      <c r="H183" s="27"/>
      <c r="I183" s="27"/>
      <c r="J183" s="27"/>
      <c r="K183" s="70" t="s">
        <v>185</v>
      </c>
      <c r="L183" s="27"/>
      <c r="M183" s="91"/>
      <c r="N183" s="98"/>
      <c r="O183" s="6"/>
    </row>
    <row r="184" spans="1:15" ht="15.75">
      <c r="A184" s="99"/>
      <c r="B184" s="142" t="s">
        <v>125</v>
      </c>
      <c r="C184" s="60"/>
      <c r="D184" s="60"/>
      <c r="E184" s="86"/>
      <c r="F184" s="86"/>
      <c r="G184" s="86"/>
      <c r="H184" s="27"/>
      <c r="I184" s="27"/>
      <c r="J184" s="27"/>
      <c r="K184" s="97"/>
      <c r="L184" s="27"/>
      <c r="M184" s="91"/>
      <c r="N184" s="100"/>
      <c r="O184" s="6"/>
    </row>
    <row r="185" spans="1:15" ht="15.75">
      <c r="A185" s="99"/>
      <c r="B185" s="150" t="s">
        <v>126</v>
      </c>
      <c r="C185" s="60"/>
      <c r="D185" s="60"/>
      <c r="E185" s="86"/>
      <c r="F185" s="86"/>
      <c r="G185" s="86"/>
      <c r="H185" s="27"/>
      <c r="I185" s="27"/>
      <c r="J185" s="34">
        <v>0</v>
      </c>
      <c r="K185" s="97">
        <f>M134</f>
        <v>0</v>
      </c>
      <c r="L185" s="27"/>
      <c r="M185" s="91"/>
      <c r="N185" s="100"/>
      <c r="O185" s="6"/>
    </row>
    <row r="186" spans="1:15" ht="15.75">
      <c r="A186" s="96"/>
      <c r="B186" s="86" t="s">
        <v>127</v>
      </c>
      <c r="C186" s="60"/>
      <c r="D186" s="60"/>
      <c r="E186" s="60"/>
      <c r="F186" s="60"/>
      <c r="G186" s="60"/>
      <c r="H186" s="27"/>
      <c r="I186" s="27"/>
      <c r="J186" s="34">
        <v>0</v>
      </c>
      <c r="K186" s="97">
        <f>+'Feb 06'!K184+K185</f>
        <v>0</v>
      </c>
      <c r="L186" s="27"/>
      <c r="M186" s="91"/>
      <c r="N186" s="100"/>
      <c r="O186" s="6"/>
    </row>
    <row r="187" spans="1:15" ht="15.75">
      <c r="A187" s="96"/>
      <c r="B187" s="86" t="s">
        <v>128</v>
      </c>
      <c r="C187" s="60"/>
      <c r="D187" s="60"/>
      <c r="E187" s="60"/>
      <c r="F187" s="60"/>
      <c r="G187" s="60"/>
      <c r="H187" s="27"/>
      <c r="I187" s="27"/>
      <c r="J187" s="34"/>
      <c r="K187" s="97">
        <v>0</v>
      </c>
      <c r="L187" s="27"/>
      <c r="M187" s="91"/>
      <c r="N187" s="100"/>
      <c r="O187" s="6"/>
    </row>
    <row r="188" spans="1:15" ht="15.75">
      <c r="A188" s="99"/>
      <c r="B188" s="142" t="s">
        <v>230</v>
      </c>
      <c r="C188" s="60"/>
      <c r="D188" s="60"/>
      <c r="E188" s="86"/>
      <c r="F188" s="86"/>
      <c r="G188" s="86"/>
      <c r="H188" s="27"/>
      <c r="I188" s="27"/>
      <c r="J188" s="34"/>
      <c r="K188" s="97"/>
      <c r="L188" s="27"/>
      <c r="M188" s="91"/>
      <c r="N188" s="100"/>
      <c r="O188" s="6"/>
    </row>
    <row r="189" spans="1:15" ht="15.75">
      <c r="A189" s="99"/>
      <c r="B189" s="86" t="s">
        <v>130</v>
      </c>
      <c r="C189" s="60"/>
      <c r="D189" s="60"/>
      <c r="E189" s="86"/>
      <c r="F189" s="86"/>
      <c r="G189" s="86"/>
      <c r="H189" s="27"/>
      <c r="I189" s="27"/>
      <c r="J189" s="34">
        <v>0</v>
      </c>
      <c r="K189" s="97">
        <v>0</v>
      </c>
      <c r="L189" s="27"/>
      <c r="M189" s="91"/>
      <c r="N189" s="100"/>
      <c r="O189" s="6"/>
    </row>
    <row r="190" spans="1:15" ht="15.75">
      <c r="A190" s="96"/>
      <c r="B190" s="86" t="s">
        <v>131</v>
      </c>
      <c r="C190" s="60"/>
      <c r="D190" s="60"/>
      <c r="E190" s="101"/>
      <c r="F190" s="101"/>
      <c r="G190" s="102"/>
      <c r="H190" s="27"/>
      <c r="I190" s="27"/>
      <c r="J190" s="34"/>
      <c r="K190" s="70">
        <v>0</v>
      </c>
      <c r="L190" s="27"/>
      <c r="M190" s="91"/>
      <c r="N190" s="100"/>
      <c r="O190" s="6"/>
    </row>
    <row r="191" spans="1:15" ht="15.75">
      <c r="A191" s="96"/>
      <c r="B191" s="86" t="s">
        <v>132</v>
      </c>
      <c r="C191" s="60"/>
      <c r="D191" s="60"/>
      <c r="E191" s="101"/>
      <c r="F191" s="101"/>
      <c r="G191" s="102"/>
      <c r="H191" s="27"/>
      <c r="I191" s="27"/>
      <c r="J191" s="34"/>
      <c r="K191" s="70">
        <v>0</v>
      </c>
      <c r="L191" s="27"/>
      <c r="M191" s="91"/>
      <c r="N191" s="100"/>
      <c r="O191" s="6"/>
    </row>
    <row r="192" spans="1:15" ht="15.75">
      <c r="A192" s="96"/>
      <c r="B192" s="86" t="s">
        <v>238</v>
      </c>
      <c r="C192" s="60"/>
      <c r="D192" s="60"/>
      <c r="E192" s="103"/>
      <c r="F192" s="101"/>
      <c r="G192" s="102"/>
      <c r="H192" s="27"/>
      <c r="I192" s="27"/>
      <c r="J192" s="34"/>
      <c r="K192" s="104">
        <v>0</v>
      </c>
      <c r="L192" s="27"/>
      <c r="M192" s="91"/>
      <c r="N192" s="100"/>
      <c r="O192" s="6"/>
    </row>
    <row r="193" spans="1:15" ht="15.75">
      <c r="A193" s="96"/>
      <c r="B193" s="142" t="s">
        <v>231</v>
      </c>
      <c r="C193" s="60"/>
      <c r="D193" s="60"/>
      <c r="E193" s="103"/>
      <c r="F193" s="101"/>
      <c r="G193" s="102"/>
      <c r="H193" s="27"/>
      <c r="I193" s="27"/>
      <c r="J193" s="34"/>
      <c r="K193" s="104"/>
      <c r="L193" s="27"/>
      <c r="M193" s="91"/>
      <c r="N193" s="100"/>
      <c r="O193" s="6"/>
    </row>
    <row r="194" spans="1:15" ht="15.75">
      <c r="A194" s="96"/>
      <c r="B194" s="86" t="s">
        <v>130</v>
      </c>
      <c r="C194" s="60"/>
      <c r="D194" s="60"/>
      <c r="E194" s="103"/>
      <c r="F194" s="101"/>
      <c r="G194" s="102"/>
      <c r="H194" s="27"/>
      <c r="I194" s="27"/>
      <c r="J194" s="34">
        <v>0</v>
      </c>
      <c r="K194" s="97">
        <v>0</v>
      </c>
      <c r="L194" s="27"/>
      <c r="M194" s="91"/>
      <c r="N194" s="100"/>
      <c r="O194" s="6"/>
    </row>
    <row r="195" spans="1:15" ht="15.75">
      <c r="A195" s="96"/>
      <c r="B195" s="86" t="s">
        <v>232</v>
      </c>
      <c r="C195" s="60"/>
      <c r="D195" s="60"/>
      <c r="E195" s="103"/>
      <c r="F195" s="101"/>
      <c r="G195" s="102"/>
      <c r="H195" s="27"/>
      <c r="I195" s="27"/>
      <c r="J195" s="27"/>
      <c r="K195" s="174">
        <v>0</v>
      </c>
      <c r="L195" s="27"/>
      <c r="M195" s="91"/>
      <c r="N195" s="100"/>
      <c r="O195" s="6"/>
    </row>
    <row r="196" spans="1:15" ht="15.75">
      <c r="A196" s="96"/>
      <c r="B196" s="86" t="s">
        <v>233</v>
      </c>
      <c r="C196" s="60"/>
      <c r="D196" s="60"/>
      <c r="E196" s="103"/>
      <c r="F196" s="101"/>
      <c r="G196" s="102"/>
      <c r="H196" s="27"/>
      <c r="I196" s="27"/>
      <c r="J196" s="27"/>
      <c r="K196" s="174">
        <v>0</v>
      </c>
      <c r="L196" s="27"/>
      <c r="M196" s="91"/>
      <c r="N196" s="100"/>
      <c r="O196" s="6"/>
    </row>
    <row r="197" spans="1:15" ht="15.75">
      <c r="A197" s="96"/>
      <c r="B197" s="86" t="s">
        <v>238</v>
      </c>
      <c r="C197" s="60"/>
      <c r="D197" s="60"/>
      <c r="E197" s="103"/>
      <c r="F197" s="101"/>
      <c r="G197" s="102"/>
      <c r="H197" s="27"/>
      <c r="I197" s="27"/>
      <c r="J197" s="27"/>
      <c r="K197" s="104">
        <v>0</v>
      </c>
      <c r="L197" s="27"/>
      <c r="M197" s="91"/>
      <c r="N197" s="100"/>
      <c r="O197" s="6"/>
    </row>
    <row r="198" spans="1:15" ht="15.75">
      <c r="A198" s="96"/>
      <c r="B198" s="86"/>
      <c r="C198" s="60"/>
      <c r="D198" s="60"/>
      <c r="E198" s="103"/>
      <c r="F198" s="101"/>
      <c r="G198" s="102"/>
      <c r="H198" s="27"/>
      <c r="I198" s="27"/>
      <c r="J198" s="27"/>
      <c r="K198" s="104"/>
      <c r="L198" s="27"/>
      <c r="M198" s="91"/>
      <c r="N198" s="100"/>
      <c r="O198" s="6"/>
    </row>
    <row r="199" spans="1:15" ht="18.75">
      <c r="A199" s="96"/>
      <c r="B199" s="169" t="s">
        <v>223</v>
      </c>
      <c r="C199" s="60"/>
      <c r="D199" s="60"/>
      <c r="E199" s="103"/>
      <c r="F199" s="101"/>
      <c r="G199" s="102"/>
      <c r="H199" s="27"/>
      <c r="I199" s="27"/>
      <c r="J199" s="27"/>
      <c r="K199" s="104"/>
      <c r="L199" s="27"/>
      <c r="M199" s="91"/>
      <c r="N199" s="171" t="s">
        <v>224</v>
      </c>
      <c r="O199" s="6"/>
    </row>
    <row r="200" spans="1:15" ht="15.75">
      <c r="A200" s="96"/>
      <c r="B200" s="86"/>
      <c r="C200" s="60"/>
      <c r="D200" s="60"/>
      <c r="E200" s="103"/>
      <c r="F200" s="101"/>
      <c r="G200" s="102"/>
      <c r="H200" s="27"/>
      <c r="I200" s="27"/>
      <c r="J200" s="27"/>
      <c r="K200" s="104"/>
      <c r="L200" s="27"/>
      <c r="M200" s="91"/>
      <c r="N200" s="100"/>
      <c r="O200" s="6"/>
    </row>
    <row r="201" spans="1:15" ht="15.75">
      <c r="A201" s="7"/>
      <c r="B201" s="16" t="s">
        <v>218</v>
      </c>
      <c r="C201" s="93"/>
      <c r="D201" s="93"/>
      <c r="E201" s="94"/>
      <c r="F201" s="93"/>
      <c r="G201" s="94"/>
      <c r="H201" s="93"/>
      <c r="I201" s="95" t="s">
        <v>173</v>
      </c>
      <c r="J201" s="19" t="s">
        <v>174</v>
      </c>
      <c r="K201" s="95" t="s">
        <v>186</v>
      </c>
      <c r="L201" s="19" t="s">
        <v>174</v>
      </c>
      <c r="M201" s="9"/>
      <c r="N201" s="105"/>
      <c r="O201" s="6"/>
    </row>
    <row r="202" spans="1:15" ht="15.75">
      <c r="A202" s="26"/>
      <c r="B202" s="60" t="s">
        <v>135</v>
      </c>
      <c r="C202" s="106"/>
      <c r="D202" s="106"/>
      <c r="E202" s="60"/>
      <c r="F202" s="106"/>
      <c r="G202" s="27"/>
      <c r="H202" s="106"/>
      <c r="I202" s="60">
        <v>0</v>
      </c>
      <c r="J202" s="108">
        <v>0</v>
      </c>
      <c r="K202" s="59">
        <v>0</v>
      </c>
      <c r="L202" s="151">
        <v>0</v>
      </c>
      <c r="M202" s="91"/>
      <c r="N202" s="100"/>
      <c r="O202" s="6"/>
    </row>
    <row r="203" spans="1:15" ht="15.75">
      <c r="A203" s="26"/>
      <c r="B203" s="60" t="s">
        <v>136</v>
      </c>
      <c r="C203" s="106"/>
      <c r="D203" s="106"/>
      <c r="E203" s="60"/>
      <c r="F203" s="106"/>
      <c r="G203" s="27"/>
      <c r="H203" s="108"/>
      <c r="I203" s="60">
        <v>0</v>
      </c>
      <c r="J203" s="108">
        <v>0</v>
      </c>
      <c r="K203" s="59">
        <v>0</v>
      </c>
      <c r="L203" s="151">
        <v>0</v>
      </c>
      <c r="M203" s="91"/>
      <c r="N203" s="100"/>
      <c r="O203" s="6"/>
    </row>
    <row r="204" spans="1:15" ht="15.75">
      <c r="A204" s="26"/>
      <c r="B204" s="60" t="s">
        <v>137</v>
      </c>
      <c r="C204" s="106"/>
      <c r="D204" s="106"/>
      <c r="E204" s="60"/>
      <c r="F204" s="106"/>
      <c r="G204" s="27"/>
      <c r="H204" s="108"/>
      <c r="I204" s="60">
        <v>0</v>
      </c>
      <c r="J204" s="108">
        <v>0</v>
      </c>
      <c r="K204" s="59">
        <v>0</v>
      </c>
      <c r="L204" s="151">
        <v>0</v>
      </c>
      <c r="M204" s="91"/>
      <c r="N204" s="100"/>
      <c r="O204" s="6"/>
    </row>
    <row r="205" spans="1:15" ht="15.75">
      <c r="A205" s="26"/>
      <c r="B205" s="60" t="s">
        <v>210</v>
      </c>
      <c r="C205" s="106"/>
      <c r="D205" s="106"/>
      <c r="E205" s="60"/>
      <c r="F205" s="106"/>
      <c r="G205" s="27"/>
      <c r="H205" s="108"/>
      <c r="I205" s="60">
        <v>0</v>
      </c>
      <c r="J205" s="108">
        <v>0</v>
      </c>
      <c r="K205" s="59">
        <v>0</v>
      </c>
      <c r="L205" s="151">
        <v>0</v>
      </c>
      <c r="M205" s="91"/>
      <c r="N205" s="100"/>
      <c r="O205" s="6"/>
    </row>
    <row r="206" spans="1:15" ht="15.75">
      <c r="A206" s="26"/>
      <c r="B206" s="60" t="s">
        <v>211</v>
      </c>
      <c r="C206" s="106"/>
      <c r="D206" s="106"/>
      <c r="E206" s="60"/>
      <c r="F206" s="106"/>
      <c r="G206" s="27"/>
      <c r="H206" s="108"/>
      <c r="I206" s="60">
        <v>0</v>
      </c>
      <c r="J206" s="108">
        <v>0</v>
      </c>
      <c r="K206" s="59">
        <v>0</v>
      </c>
      <c r="L206" s="151">
        <v>0</v>
      </c>
      <c r="M206" s="91"/>
      <c r="N206" s="100"/>
      <c r="O206" s="6"/>
    </row>
    <row r="207" spans="1:15" ht="15.75">
      <c r="A207" s="26"/>
      <c r="B207" s="60" t="s">
        <v>212</v>
      </c>
      <c r="C207" s="106"/>
      <c r="D207" s="106"/>
      <c r="E207" s="60"/>
      <c r="F207" s="106"/>
      <c r="G207" s="27"/>
      <c r="H207" s="108"/>
      <c r="I207" s="60">
        <v>0</v>
      </c>
      <c r="J207" s="108">
        <v>0</v>
      </c>
      <c r="K207" s="59">
        <v>0</v>
      </c>
      <c r="L207" s="151">
        <v>0</v>
      </c>
      <c r="M207" s="91"/>
      <c r="N207" s="100"/>
      <c r="O207" s="6"/>
    </row>
    <row r="208" spans="1:15" ht="15.75">
      <c r="A208" s="26"/>
      <c r="B208" s="60" t="s">
        <v>213</v>
      </c>
      <c r="C208" s="106"/>
      <c r="D208" s="106"/>
      <c r="E208" s="60"/>
      <c r="F208" s="106"/>
      <c r="G208" s="27"/>
      <c r="H208" s="108"/>
      <c r="I208" s="60">
        <v>0</v>
      </c>
      <c r="J208" s="108">
        <v>0</v>
      </c>
      <c r="K208" s="59">
        <v>0</v>
      </c>
      <c r="L208" s="151">
        <v>0</v>
      </c>
      <c r="M208" s="91"/>
      <c r="N208" s="100"/>
      <c r="O208" s="6"/>
    </row>
    <row r="209" spans="1:15" ht="15.75">
      <c r="A209" s="26"/>
      <c r="B209" s="60" t="s">
        <v>214</v>
      </c>
      <c r="C209" s="106"/>
      <c r="D209" s="106"/>
      <c r="E209" s="60"/>
      <c r="F209" s="106"/>
      <c r="G209" s="27"/>
      <c r="H209" s="108"/>
      <c r="I209" s="60">
        <v>0</v>
      </c>
      <c r="J209" s="108">
        <v>0</v>
      </c>
      <c r="K209" s="59">
        <v>0</v>
      </c>
      <c r="L209" s="151">
        <v>0</v>
      </c>
      <c r="M209" s="91"/>
      <c r="N209" s="100"/>
      <c r="O209" s="6"/>
    </row>
    <row r="210" spans="1:15" ht="15.75">
      <c r="A210" s="26"/>
      <c r="B210" s="60"/>
      <c r="C210" s="106"/>
      <c r="D210" s="106"/>
      <c r="E210" s="60"/>
      <c r="F210" s="106"/>
      <c r="G210" s="27"/>
      <c r="H210" s="108"/>
      <c r="I210" s="60"/>
      <c r="J210" s="108"/>
      <c r="K210" s="59"/>
      <c r="L210" s="151"/>
      <c r="M210" s="91"/>
      <c r="N210" s="100"/>
      <c r="O210" s="6"/>
    </row>
    <row r="211" spans="1:15" ht="15.75">
      <c r="A211" s="26"/>
      <c r="B211" s="27"/>
      <c r="C211" s="27"/>
      <c r="D211" s="27"/>
      <c r="E211" s="27"/>
      <c r="F211" s="27"/>
      <c r="G211" s="27"/>
      <c r="H211" s="27"/>
      <c r="I211" s="38">
        <f>SUM(I202:I210)</f>
        <v>0</v>
      </c>
      <c r="J211" s="151">
        <f>SUM(J202:J210)</f>
        <v>0</v>
      </c>
      <c r="K211" s="59">
        <f>SUM(K202:K210)</f>
        <v>0</v>
      </c>
      <c r="L211" s="151">
        <f>SUM(L202:L210)</f>
        <v>0</v>
      </c>
      <c r="M211" s="27"/>
      <c r="N211" s="27"/>
      <c r="O211" s="6"/>
    </row>
    <row r="212" spans="1:15" ht="15.75">
      <c r="A212" s="26"/>
      <c r="B212" s="27"/>
      <c r="C212" s="27"/>
      <c r="D212" s="27"/>
      <c r="E212" s="27"/>
      <c r="F212" s="27"/>
      <c r="G212" s="27"/>
      <c r="H212" s="27"/>
      <c r="I212" s="38"/>
      <c r="J212" s="109"/>
      <c r="K212" s="59"/>
      <c r="L212" s="109"/>
      <c r="M212" s="27"/>
      <c r="N212" s="27"/>
      <c r="O212" s="6"/>
    </row>
    <row r="213" spans="1:15" ht="15.75">
      <c r="A213" s="153"/>
      <c r="B213" s="16" t="s">
        <v>221</v>
      </c>
      <c r="C213" s="93"/>
      <c r="D213" s="93"/>
      <c r="E213" s="94"/>
      <c r="F213" s="93"/>
      <c r="G213" s="94"/>
      <c r="H213" s="93"/>
      <c r="I213" s="95" t="s">
        <v>173</v>
      </c>
      <c r="J213" s="19" t="s">
        <v>174</v>
      </c>
      <c r="K213" s="95" t="s">
        <v>186</v>
      </c>
      <c r="L213" s="19" t="s">
        <v>174</v>
      </c>
      <c r="M213" s="154"/>
      <c r="N213" s="155"/>
      <c r="O213" s="6"/>
    </row>
    <row r="214" spans="1:15" ht="15.75">
      <c r="A214" s="26"/>
      <c r="B214" s="60" t="s">
        <v>135</v>
      </c>
      <c r="C214" s="106"/>
      <c r="D214" s="106"/>
      <c r="E214" s="60"/>
      <c r="F214" s="106"/>
      <c r="G214" s="27"/>
      <c r="H214" s="106"/>
      <c r="I214" s="60">
        <v>0</v>
      </c>
      <c r="J214" s="108">
        <v>0</v>
      </c>
      <c r="K214" s="59">
        <v>0</v>
      </c>
      <c r="L214" s="151">
        <v>0</v>
      </c>
      <c r="M214" s="27"/>
      <c r="N214" s="27"/>
      <c r="O214" s="6"/>
    </row>
    <row r="215" spans="1:15" ht="15.75">
      <c r="A215" s="26"/>
      <c r="B215" s="60" t="s">
        <v>136</v>
      </c>
      <c r="C215" s="106"/>
      <c r="D215" s="106"/>
      <c r="E215" s="60"/>
      <c r="F215" s="106"/>
      <c r="G215" s="27"/>
      <c r="H215" s="108"/>
      <c r="I215" s="60">
        <v>0</v>
      </c>
      <c r="J215" s="108">
        <v>0</v>
      </c>
      <c r="K215" s="59">
        <v>0</v>
      </c>
      <c r="L215" s="151">
        <v>0</v>
      </c>
      <c r="M215" s="27"/>
      <c r="N215" s="27"/>
      <c r="O215" s="6"/>
    </row>
    <row r="216" spans="1:15" ht="15.75">
      <c r="A216" s="26"/>
      <c r="B216" s="60" t="s">
        <v>137</v>
      </c>
      <c r="C216" s="106"/>
      <c r="D216" s="106"/>
      <c r="E216" s="60"/>
      <c r="F216" s="106"/>
      <c r="G216" s="27"/>
      <c r="H216" s="108"/>
      <c r="I216" s="60">
        <v>0</v>
      </c>
      <c r="J216" s="108">
        <v>0</v>
      </c>
      <c r="K216" s="59">
        <v>0</v>
      </c>
      <c r="L216" s="151">
        <v>0</v>
      </c>
      <c r="M216" s="27"/>
      <c r="N216" s="27"/>
      <c r="O216" s="6"/>
    </row>
    <row r="217" spans="1:15" ht="15.75">
      <c r="A217" s="26"/>
      <c r="B217" s="60" t="s">
        <v>210</v>
      </c>
      <c r="C217" s="106"/>
      <c r="D217" s="106"/>
      <c r="E217" s="60"/>
      <c r="F217" s="106"/>
      <c r="G217" s="27"/>
      <c r="H217" s="108"/>
      <c r="I217" s="60">
        <v>0</v>
      </c>
      <c r="J217" s="108">
        <v>0</v>
      </c>
      <c r="K217" s="59">
        <v>0</v>
      </c>
      <c r="L217" s="151">
        <v>0</v>
      </c>
      <c r="M217" s="27"/>
      <c r="N217" s="27"/>
      <c r="O217" s="6"/>
    </row>
    <row r="218" spans="1:15" ht="15.75">
      <c r="A218" s="26"/>
      <c r="B218" s="60" t="s">
        <v>211</v>
      </c>
      <c r="C218" s="106"/>
      <c r="D218" s="106"/>
      <c r="E218" s="60"/>
      <c r="F218" s="106"/>
      <c r="G218" s="27"/>
      <c r="H218" s="108"/>
      <c r="I218" s="60">
        <v>0</v>
      </c>
      <c r="J218" s="108">
        <v>0</v>
      </c>
      <c r="K218" s="59">
        <v>0</v>
      </c>
      <c r="L218" s="151">
        <v>0</v>
      </c>
      <c r="M218" s="27"/>
      <c r="N218" s="27"/>
      <c r="O218" s="6"/>
    </row>
    <row r="219" spans="1:15" ht="15.75">
      <c r="A219" s="26"/>
      <c r="B219" s="60" t="s">
        <v>212</v>
      </c>
      <c r="C219" s="106"/>
      <c r="D219" s="106"/>
      <c r="E219" s="60"/>
      <c r="F219" s="106"/>
      <c r="G219" s="27"/>
      <c r="H219" s="108"/>
      <c r="I219" s="60">
        <v>0</v>
      </c>
      <c r="J219" s="108">
        <v>0</v>
      </c>
      <c r="K219" s="59">
        <v>0</v>
      </c>
      <c r="L219" s="151">
        <v>0</v>
      </c>
      <c r="M219" s="27"/>
      <c r="N219" s="27"/>
      <c r="O219" s="6"/>
    </row>
    <row r="220" spans="1:15" ht="15.75">
      <c r="A220" s="26"/>
      <c r="B220" s="60" t="s">
        <v>213</v>
      </c>
      <c r="C220" s="106"/>
      <c r="D220" s="106"/>
      <c r="E220" s="60"/>
      <c r="F220" s="106"/>
      <c r="G220" s="27"/>
      <c r="H220" s="108"/>
      <c r="I220" s="60">
        <v>0</v>
      </c>
      <c r="J220" s="108">
        <v>0</v>
      </c>
      <c r="K220" s="59">
        <v>0</v>
      </c>
      <c r="L220" s="151">
        <v>0</v>
      </c>
      <c r="M220" s="27"/>
      <c r="N220" s="27"/>
      <c r="O220" s="6"/>
    </row>
    <row r="221" spans="1:15" ht="15.75">
      <c r="A221" s="26"/>
      <c r="B221" s="60" t="s">
        <v>214</v>
      </c>
      <c r="C221" s="106"/>
      <c r="D221" s="106"/>
      <c r="E221" s="60"/>
      <c r="F221" s="106"/>
      <c r="G221" s="27"/>
      <c r="H221" s="108"/>
      <c r="I221" s="60">
        <v>0</v>
      </c>
      <c r="J221" s="108">
        <v>0</v>
      </c>
      <c r="K221" s="59">
        <v>0</v>
      </c>
      <c r="L221" s="151">
        <v>0</v>
      </c>
      <c r="M221" s="27"/>
      <c r="N221" s="27"/>
      <c r="O221" s="6"/>
    </row>
    <row r="222" spans="1:15" ht="15.75">
      <c r="A222" s="26"/>
      <c r="B222" s="60"/>
      <c r="C222" s="106"/>
      <c r="D222" s="106"/>
      <c r="E222" s="60"/>
      <c r="F222" s="106"/>
      <c r="G222" s="27"/>
      <c r="H222" s="108"/>
      <c r="I222" s="60"/>
      <c r="J222" s="108"/>
      <c r="K222" s="59"/>
      <c r="L222" s="151"/>
      <c r="M222" s="27"/>
      <c r="N222" s="27"/>
      <c r="O222" s="6"/>
    </row>
    <row r="223" spans="1:16" ht="15.75">
      <c r="A223" s="156"/>
      <c r="B223" s="157"/>
      <c r="C223" s="157"/>
      <c r="D223" s="157"/>
      <c r="E223" s="157"/>
      <c r="F223" s="157"/>
      <c r="G223" s="157"/>
      <c r="H223" s="157"/>
      <c r="I223" s="158">
        <f>SUM(I214:I222)</f>
        <v>0</v>
      </c>
      <c r="J223" s="175">
        <f>SUM(J214:J222)</f>
        <v>0</v>
      </c>
      <c r="K223" s="160">
        <f>SUM(K214:K222)</f>
        <v>0</v>
      </c>
      <c r="L223" s="175">
        <f>SUM(L214:L222)</f>
        <v>0</v>
      </c>
      <c r="M223" s="157"/>
      <c r="N223" s="161"/>
      <c r="O223" s="6"/>
      <c r="P223" s="125"/>
    </row>
    <row r="224" spans="1:15" ht="15.75">
      <c r="A224" s="162"/>
      <c r="B224" s="163"/>
      <c r="C224" s="163"/>
      <c r="D224" s="163"/>
      <c r="E224" s="163"/>
      <c r="F224" s="163"/>
      <c r="G224" s="163"/>
      <c r="H224" s="163"/>
      <c r="I224" s="164"/>
      <c r="J224" s="165"/>
      <c r="K224" s="166"/>
      <c r="L224" s="165"/>
      <c r="M224" s="163"/>
      <c r="N224" s="163"/>
      <c r="O224" s="6"/>
    </row>
    <row r="225" spans="1:15" ht="15.75">
      <c r="A225" s="153"/>
      <c r="B225" s="16" t="s">
        <v>219</v>
      </c>
      <c r="C225" s="93"/>
      <c r="D225" s="93"/>
      <c r="E225" s="94"/>
      <c r="F225" s="93"/>
      <c r="G225" s="94"/>
      <c r="H225" s="93"/>
      <c r="I225" s="95" t="s">
        <v>173</v>
      </c>
      <c r="J225" s="19" t="s">
        <v>174</v>
      </c>
      <c r="K225" s="95" t="s">
        <v>186</v>
      </c>
      <c r="L225" s="19" t="s">
        <v>174</v>
      </c>
      <c r="M225" s="154"/>
      <c r="N225" s="155"/>
      <c r="O225" s="6"/>
    </row>
    <row r="226" spans="1:15" ht="15.75">
      <c r="A226" s="26"/>
      <c r="B226" s="60" t="s">
        <v>135</v>
      </c>
      <c r="C226" s="106"/>
      <c r="D226" s="106"/>
      <c r="E226" s="60"/>
      <c r="F226" s="106"/>
      <c r="G226" s="27"/>
      <c r="H226" s="106"/>
      <c r="I226" s="60">
        <v>0</v>
      </c>
      <c r="J226" s="108">
        <v>0</v>
      </c>
      <c r="K226" s="59">
        <v>0</v>
      </c>
      <c r="L226" s="151">
        <v>0</v>
      </c>
      <c r="M226" s="27"/>
      <c r="N226" s="27"/>
      <c r="O226" s="6"/>
    </row>
    <row r="227" spans="1:15" ht="15.75">
      <c r="A227" s="26"/>
      <c r="B227" s="60" t="s">
        <v>136</v>
      </c>
      <c r="C227" s="106"/>
      <c r="D227" s="106"/>
      <c r="E227" s="60"/>
      <c r="F227" s="106"/>
      <c r="G227" s="27"/>
      <c r="H227" s="108"/>
      <c r="I227" s="60">
        <v>0</v>
      </c>
      <c r="J227" s="108">
        <v>0</v>
      </c>
      <c r="K227" s="59">
        <v>0</v>
      </c>
      <c r="L227" s="151">
        <v>0</v>
      </c>
      <c r="M227" s="27"/>
      <c r="N227" s="27"/>
      <c r="O227" s="6"/>
    </row>
    <row r="228" spans="1:15" ht="15.75">
      <c r="A228" s="26"/>
      <c r="B228" s="60" t="s">
        <v>137</v>
      </c>
      <c r="C228" s="106"/>
      <c r="D228" s="106"/>
      <c r="E228" s="60"/>
      <c r="F228" s="106"/>
      <c r="G228" s="27"/>
      <c r="H228" s="108"/>
      <c r="I228" s="60">
        <v>0</v>
      </c>
      <c r="J228" s="108">
        <v>0</v>
      </c>
      <c r="K228" s="59">
        <v>0</v>
      </c>
      <c r="L228" s="151">
        <v>0</v>
      </c>
      <c r="M228" s="27"/>
      <c r="N228" s="27"/>
      <c r="O228" s="6"/>
    </row>
    <row r="229" spans="1:15" ht="15.75">
      <c r="A229" s="26"/>
      <c r="B229" s="60" t="s">
        <v>210</v>
      </c>
      <c r="C229" s="106"/>
      <c r="D229" s="106"/>
      <c r="E229" s="60"/>
      <c r="F229" s="106"/>
      <c r="G229" s="27"/>
      <c r="H229" s="108"/>
      <c r="I229" s="60">
        <v>0</v>
      </c>
      <c r="J229" s="108">
        <v>0</v>
      </c>
      <c r="K229" s="59">
        <v>0</v>
      </c>
      <c r="L229" s="151">
        <v>0</v>
      </c>
      <c r="M229" s="27"/>
      <c r="N229" s="27"/>
      <c r="O229" s="6"/>
    </row>
    <row r="230" spans="1:15" ht="15.75">
      <c r="A230" s="26"/>
      <c r="B230" s="60" t="s">
        <v>211</v>
      </c>
      <c r="C230" s="106"/>
      <c r="D230" s="106"/>
      <c r="E230" s="60"/>
      <c r="F230" s="106"/>
      <c r="G230" s="27"/>
      <c r="H230" s="108"/>
      <c r="I230" s="60">
        <v>0</v>
      </c>
      <c r="J230" s="108">
        <v>0</v>
      </c>
      <c r="K230" s="59">
        <v>0</v>
      </c>
      <c r="L230" s="151">
        <v>0</v>
      </c>
      <c r="M230" s="27"/>
      <c r="N230" s="27"/>
      <c r="O230" s="6"/>
    </row>
    <row r="231" spans="1:15" ht="15.75">
      <c r="A231" s="26"/>
      <c r="B231" s="60" t="s">
        <v>212</v>
      </c>
      <c r="C231" s="106"/>
      <c r="D231" s="106"/>
      <c r="E231" s="60"/>
      <c r="F231" s="106"/>
      <c r="G231" s="27"/>
      <c r="H231" s="108"/>
      <c r="I231" s="60">
        <v>0</v>
      </c>
      <c r="J231" s="108">
        <v>0</v>
      </c>
      <c r="K231" s="59">
        <v>0</v>
      </c>
      <c r="L231" s="151">
        <v>0</v>
      </c>
      <c r="M231" s="27"/>
      <c r="N231" s="27"/>
      <c r="O231" s="6"/>
    </row>
    <row r="232" spans="1:15" ht="15.75">
      <c r="A232" s="26"/>
      <c r="B232" s="60" t="s">
        <v>213</v>
      </c>
      <c r="C232" s="106"/>
      <c r="D232" s="106"/>
      <c r="E232" s="60"/>
      <c r="F232" s="106"/>
      <c r="G232" s="27"/>
      <c r="H232" s="108"/>
      <c r="I232" s="60">
        <v>0</v>
      </c>
      <c r="J232" s="108">
        <v>0</v>
      </c>
      <c r="K232" s="59">
        <v>0</v>
      </c>
      <c r="L232" s="151">
        <v>0</v>
      </c>
      <c r="M232" s="27"/>
      <c r="N232" s="27"/>
      <c r="O232" s="6"/>
    </row>
    <row r="233" spans="1:15" ht="15.75">
      <c r="A233" s="26"/>
      <c r="B233" s="60" t="s">
        <v>214</v>
      </c>
      <c r="C233" s="106"/>
      <c r="D233" s="106"/>
      <c r="E233" s="60"/>
      <c r="F233" s="106"/>
      <c r="G233" s="27"/>
      <c r="H233" s="108"/>
      <c r="I233" s="60">
        <v>0</v>
      </c>
      <c r="J233" s="108">
        <v>0</v>
      </c>
      <c r="K233" s="59">
        <v>0</v>
      </c>
      <c r="L233" s="151">
        <v>0</v>
      </c>
      <c r="M233" s="27"/>
      <c r="N233" s="27"/>
      <c r="O233" s="6"/>
    </row>
    <row r="234" spans="1:15" ht="15.75">
      <c r="A234" s="26"/>
      <c r="B234" s="60"/>
      <c r="C234" s="106"/>
      <c r="D234" s="106"/>
      <c r="E234" s="60"/>
      <c r="F234" s="106"/>
      <c r="G234" s="27"/>
      <c r="H234" s="108"/>
      <c r="I234" s="60"/>
      <c r="J234" s="108"/>
      <c r="K234" s="59"/>
      <c r="L234" s="151"/>
      <c r="M234" s="27"/>
      <c r="N234" s="27"/>
      <c r="O234" s="6"/>
    </row>
    <row r="235" spans="1:15" ht="15.75">
      <c r="A235" s="156"/>
      <c r="B235" s="157"/>
      <c r="C235" s="157"/>
      <c r="D235" s="157"/>
      <c r="E235" s="157"/>
      <c r="F235" s="157"/>
      <c r="G235" s="157"/>
      <c r="H235" s="157"/>
      <c r="I235" s="158">
        <f>SUM(I226:I234)</f>
        <v>0</v>
      </c>
      <c r="J235" s="175">
        <f>SUM(J226:J234)</f>
        <v>0</v>
      </c>
      <c r="K235" s="160">
        <f>SUM(K226:K234)</f>
        <v>0</v>
      </c>
      <c r="L235" s="175">
        <f>SUM(L226:L234)</f>
        <v>0</v>
      </c>
      <c r="M235" s="157"/>
      <c r="N235" s="161"/>
      <c r="O235" s="6"/>
    </row>
    <row r="236" spans="1:15" ht="15.75">
      <c r="A236" s="156"/>
      <c r="B236" s="157"/>
      <c r="C236" s="157"/>
      <c r="D236" s="157"/>
      <c r="E236" s="157"/>
      <c r="F236" s="157"/>
      <c r="G236" s="157"/>
      <c r="H236" s="157"/>
      <c r="I236" s="158"/>
      <c r="J236" s="159"/>
      <c r="K236" s="160"/>
      <c r="L236" s="159"/>
      <c r="M236" s="157"/>
      <c r="N236" s="161"/>
      <c r="O236" s="6"/>
    </row>
    <row r="237" spans="1:15" ht="15.75">
      <c r="A237" s="156"/>
      <c r="B237" s="172" t="s">
        <v>195</v>
      </c>
      <c r="C237" s="157"/>
      <c r="D237" s="157"/>
      <c r="E237" s="157"/>
      <c r="F237" s="157"/>
      <c r="G237" s="157"/>
      <c r="H237" s="157"/>
      <c r="I237" s="158">
        <f>+I235+I223+I211</f>
        <v>0</v>
      </c>
      <c r="J237" s="159"/>
      <c r="K237" s="160">
        <f>+K235+K223+K211</f>
        <v>0</v>
      </c>
      <c r="L237" s="159"/>
      <c r="M237" s="157"/>
      <c r="N237" s="161"/>
      <c r="O237" s="6"/>
    </row>
    <row r="238" spans="1:15" ht="15.75">
      <c r="A238" s="162"/>
      <c r="B238" s="163"/>
      <c r="C238" s="163"/>
      <c r="D238" s="163"/>
      <c r="E238" s="163"/>
      <c r="F238" s="163"/>
      <c r="G238" s="163"/>
      <c r="H238" s="163"/>
      <c r="I238" s="164"/>
      <c r="J238" s="165"/>
      <c r="K238" s="166"/>
      <c r="L238" s="165"/>
      <c r="M238" s="163"/>
      <c r="N238" s="163"/>
      <c r="O238" s="6"/>
    </row>
    <row r="239" spans="1:15" ht="15.75">
      <c r="A239" s="148"/>
      <c r="B239" s="16" t="s">
        <v>216</v>
      </c>
      <c r="C239" s="113"/>
      <c r="D239" s="113"/>
      <c r="E239" s="19"/>
      <c r="F239" s="17"/>
      <c r="G239" s="16"/>
      <c r="H239" s="143"/>
      <c r="I239" s="143"/>
      <c r="J239" s="143"/>
      <c r="K239" s="143"/>
      <c r="L239" s="143"/>
      <c r="M239" s="143"/>
      <c r="N239" s="143"/>
      <c r="O239" s="6"/>
    </row>
    <row r="240" spans="1:15" ht="15.75">
      <c r="A240" s="148"/>
      <c r="B240" s="143"/>
      <c r="C240" s="143"/>
      <c r="D240" s="143"/>
      <c r="E240" s="9"/>
      <c r="F240" s="9"/>
      <c r="G240" s="9"/>
      <c r="H240" s="143"/>
      <c r="I240" s="143"/>
      <c r="J240" s="143"/>
      <c r="K240" s="143"/>
      <c r="L240" s="143"/>
      <c r="M240" s="143"/>
      <c r="N240" s="143"/>
      <c r="O240" s="6"/>
    </row>
    <row r="241" spans="1:15" ht="15.75">
      <c r="A241" s="148"/>
      <c r="B241" s="15" t="s">
        <v>217</v>
      </c>
      <c r="C241" s="114"/>
      <c r="D241" s="114"/>
      <c r="E241" s="115"/>
      <c r="F241" s="15"/>
      <c r="G241" s="15"/>
      <c r="H241" s="114"/>
      <c r="I241" s="114"/>
      <c r="J241" s="143"/>
      <c r="K241" s="143"/>
      <c r="L241" s="143"/>
      <c r="M241" s="143"/>
      <c r="N241" s="143"/>
      <c r="O241" s="6"/>
    </row>
    <row r="242" spans="1:15" ht="15.75">
      <c r="A242" s="148"/>
      <c r="B242" s="15" t="s">
        <v>215</v>
      </c>
      <c r="C242" s="114"/>
      <c r="D242" s="114"/>
      <c r="E242" s="115"/>
      <c r="F242" s="15"/>
      <c r="G242" s="15"/>
      <c r="H242" s="114"/>
      <c r="I242" s="114"/>
      <c r="J242" s="143"/>
      <c r="K242" s="143"/>
      <c r="L242" s="143"/>
      <c r="M242" s="143"/>
      <c r="N242" s="143"/>
      <c r="O242" s="6"/>
    </row>
    <row r="243" spans="1:15" ht="15.75">
      <c r="A243" s="148"/>
      <c r="B243" s="15"/>
      <c r="C243" s="114"/>
      <c r="D243" s="114"/>
      <c r="E243" s="115"/>
      <c r="F243" s="15"/>
      <c r="G243" s="15"/>
      <c r="H243" s="114"/>
      <c r="I243" s="114"/>
      <c r="J243" s="143"/>
      <c r="K243" s="143"/>
      <c r="L243" s="143"/>
      <c r="M243" s="143"/>
      <c r="N243" s="143"/>
      <c r="O243" s="6"/>
    </row>
    <row r="244" spans="1:15" ht="18.75">
      <c r="A244" s="148"/>
      <c r="B244" s="55" t="str">
        <f>B162</f>
        <v>PM5 INVESTOR REPORT QUARTER ENDING MAY 2006</v>
      </c>
      <c r="C244" s="114"/>
      <c r="D244" s="114"/>
      <c r="E244" s="115"/>
      <c r="F244" s="15"/>
      <c r="G244" s="15"/>
      <c r="H244" s="114"/>
      <c r="I244" s="114"/>
      <c r="J244" s="143"/>
      <c r="K244" s="143"/>
      <c r="L244" s="143"/>
      <c r="M244" s="143"/>
      <c r="N244" s="143"/>
      <c r="O244" s="6"/>
    </row>
    <row r="245" spans="1:14" ht="15">
      <c r="A245" s="116"/>
      <c r="B245" s="116"/>
      <c r="C245" s="116"/>
      <c r="D245" s="116"/>
      <c r="E245" s="116"/>
      <c r="F245" s="116"/>
      <c r="G245" s="116"/>
      <c r="H245" s="116"/>
      <c r="I245" s="116"/>
      <c r="J245" s="116"/>
      <c r="K245" s="116"/>
      <c r="L245" s="116"/>
      <c r="M245" s="116"/>
      <c r="N245" s="116"/>
    </row>
    <row r="247" ht="15">
      <c r="I247" s="125"/>
    </row>
  </sheetData>
  <hyperlinks>
    <hyperlink ref="N199" r:id="rId1" display="http://www.paragon-group.co.uk"/>
    <hyperlink ref="K10" r:id="rId2" display="http://www.paragon-group.co.uk"/>
  </hyperlinks>
  <printOptions horizontalCentered="1" verticalCentered="1"/>
  <pageMargins left="0.5118110236220472" right="0.5118110236220472" top="0.2755905511811024" bottom="0.2755905511811024" header="0" footer="0"/>
  <pageSetup horizontalDpi="600" verticalDpi="600" orientation="landscape" scale="43" r:id="rId4"/>
  <rowBreaks count="3" manualBreakCount="3">
    <brk id="52" max="14" man="1"/>
    <brk id="111" max="14" man="1"/>
    <brk id="162" max="14" man="1"/>
  </rowBreaks>
  <drawing r:id="rId3"/>
</worksheet>
</file>

<file path=xl/worksheets/sheet2.xml><?xml version="1.0" encoding="utf-8"?>
<worksheet xmlns="http://schemas.openxmlformats.org/spreadsheetml/2006/main" xmlns:r="http://schemas.openxmlformats.org/officeDocument/2006/relationships">
  <sheetPr>
    <tabColor indexed="54"/>
  </sheetPr>
  <dimension ref="A1:O205"/>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37971</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0.973355</v>
      </c>
      <c r="D30" s="39">
        <v>1</v>
      </c>
      <c r="E30" s="35">
        <f>E29*C30</f>
        <v>48667.75</v>
      </c>
      <c r="F30" s="36"/>
      <c r="G30" s="35">
        <v>176250</v>
      </c>
      <c r="H30" s="35"/>
      <c r="I30" s="35">
        <v>23750</v>
      </c>
      <c r="J30" s="35"/>
      <c r="K30" s="35"/>
      <c r="L30" s="145"/>
      <c r="M30" s="35">
        <f>I30+G30+E30</f>
        <v>248667.75</v>
      </c>
      <c r="N30" s="38"/>
      <c r="O30" s="6"/>
    </row>
    <row r="31" spans="1:15" ht="15.75">
      <c r="A31" s="31"/>
      <c r="B31" s="32" t="s">
        <v>19</v>
      </c>
      <c r="C31" s="39">
        <v>0.869604</v>
      </c>
      <c r="D31" s="39">
        <v>1</v>
      </c>
      <c r="E31" s="40">
        <f>E29*C31</f>
        <v>43480.200000000004</v>
      </c>
      <c r="F31" s="41"/>
      <c r="G31" s="40">
        <v>176250</v>
      </c>
      <c r="H31" s="40"/>
      <c r="I31" s="40">
        <v>23750</v>
      </c>
      <c r="J31" s="40"/>
      <c r="K31" s="40"/>
      <c r="L31" s="42"/>
      <c r="M31" s="40">
        <f>I31+G31+E31</f>
        <v>243480.2</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0.0391094</v>
      </c>
      <c r="F33" s="27"/>
      <c r="G33" s="44">
        <v>0.0401094</v>
      </c>
      <c r="H33" s="45"/>
      <c r="I33" s="44">
        <v>0.0504094</v>
      </c>
      <c r="J33" s="45"/>
      <c r="K33" s="44"/>
      <c r="L33" s="144"/>
      <c r="M33" s="45">
        <f>SUMPRODUCT(E33:I33,E30:I30)/M30</f>
        <v>0.04089742840336152</v>
      </c>
      <c r="N33" s="27"/>
      <c r="O33" s="6"/>
    </row>
    <row r="34" spans="1:15" ht="15.75">
      <c r="A34" s="26"/>
      <c r="B34" s="27" t="s">
        <v>22</v>
      </c>
      <c r="C34" s="27"/>
      <c r="D34" s="27"/>
      <c r="E34" s="44">
        <v>0.0387266</v>
      </c>
      <c r="F34" s="27"/>
      <c r="G34" s="44">
        <v>0.0397266</v>
      </c>
      <c r="H34" s="45"/>
      <c r="I34" s="44">
        <v>0.0500266</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34"/>
      <c r="H38" s="34"/>
      <c r="I38" s="3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0.10808709954298498</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37963</v>
      </c>
      <c r="N44" s="27"/>
      <c r="O44" s="6"/>
    </row>
    <row r="45" spans="1:15" ht="15.75">
      <c r="A45" s="26"/>
      <c r="B45" s="27" t="s">
        <v>31</v>
      </c>
      <c r="C45" s="27"/>
      <c r="D45" s="27"/>
      <c r="E45" s="27"/>
      <c r="F45" s="27"/>
      <c r="G45" s="27"/>
      <c r="H45" s="27"/>
      <c r="I45" s="27"/>
      <c r="J45" s="27">
        <f>M45-K45+1</f>
        <v>74</v>
      </c>
      <c r="K45" s="51">
        <v>37798</v>
      </c>
      <c r="L45" s="52"/>
      <c r="M45" s="51">
        <v>37871</v>
      </c>
      <c r="N45" s="27"/>
      <c r="O45" s="6"/>
    </row>
    <row r="46" spans="1:15" ht="15.75">
      <c r="A46" s="26"/>
      <c r="B46" s="27" t="s">
        <v>32</v>
      </c>
      <c r="C46" s="27"/>
      <c r="D46" s="27"/>
      <c r="E46" s="27"/>
      <c r="F46" s="27"/>
      <c r="G46" s="27"/>
      <c r="H46" s="27"/>
      <c r="I46" s="27"/>
      <c r="J46" s="27">
        <f>M46-K46+1</f>
        <v>91</v>
      </c>
      <c r="K46" s="51">
        <v>37872</v>
      </c>
      <c r="L46" s="52"/>
      <c r="M46" s="51">
        <v>37962</v>
      </c>
      <c r="N46" s="27"/>
      <c r="O46" s="6"/>
    </row>
    <row r="47" spans="1:15" ht="15.75">
      <c r="A47" s="26"/>
      <c r="B47" s="27" t="s">
        <v>33</v>
      </c>
      <c r="C47" s="27"/>
      <c r="D47" s="27"/>
      <c r="E47" s="27"/>
      <c r="F47" s="27"/>
      <c r="G47" s="27"/>
      <c r="H47" s="27"/>
      <c r="I47" s="27"/>
      <c r="J47" s="27"/>
      <c r="K47" s="51"/>
      <c r="L47" s="52"/>
      <c r="M47" s="51" t="s">
        <v>192</v>
      </c>
      <c r="N47" s="27"/>
      <c r="O47" s="6"/>
    </row>
    <row r="48" spans="1:15" ht="15.75">
      <c r="A48" s="26"/>
      <c r="B48" s="27" t="s">
        <v>34</v>
      </c>
      <c r="C48" s="27"/>
      <c r="D48" s="27"/>
      <c r="E48" s="27"/>
      <c r="F48" s="27"/>
      <c r="G48" s="27"/>
      <c r="H48" s="27"/>
      <c r="I48" s="27"/>
      <c r="J48" s="27"/>
      <c r="K48" s="51"/>
      <c r="L48" s="52"/>
      <c r="M48" s="51">
        <v>37956</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199</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248668</v>
      </c>
      <c r="F56" s="38"/>
      <c r="G56" s="38">
        <f>5188+3140+82</f>
        <v>8410</v>
      </c>
      <c r="H56" s="38"/>
      <c r="I56" s="38">
        <f>3140+82</f>
        <v>3222</v>
      </c>
      <c r="J56" s="38"/>
      <c r="K56" s="38">
        <v>0</v>
      </c>
      <c r="L56" s="38"/>
      <c r="M56" s="59">
        <f>E56-G56+I56-K56</f>
        <v>243480</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248668</v>
      </c>
      <c r="F59" s="38"/>
      <c r="G59" s="38">
        <f>SUM(G56:G58)</f>
        <v>8410</v>
      </c>
      <c r="H59" s="38"/>
      <c r="I59" s="38">
        <f>SUM(I56:I58)</f>
        <v>3222</v>
      </c>
      <c r="J59" s="38"/>
      <c r="K59" s="38">
        <f>SUM(K56:K58)</f>
        <v>0</v>
      </c>
      <c r="L59" s="38"/>
      <c r="M59" s="60">
        <f>SUM(M56:M58)</f>
        <v>243480</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248668</v>
      </c>
      <c r="F71" s="38"/>
      <c r="G71" s="60"/>
      <c r="H71" s="38"/>
      <c r="I71" s="60"/>
      <c r="J71" s="38"/>
      <c r="K71" s="60"/>
      <c r="L71" s="38"/>
      <c r="M71" s="60">
        <f>SUM(M59:M70)</f>
        <v>243480</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v>37953</v>
      </c>
      <c r="E76" s="63"/>
      <c r="F76" s="27"/>
      <c r="G76" s="27"/>
      <c r="H76" s="27"/>
      <c r="I76" s="27"/>
      <c r="J76" s="27"/>
      <c r="K76" s="38">
        <v>8410</v>
      </c>
      <c r="L76" s="27"/>
      <c r="M76" s="59"/>
      <c r="N76" s="27"/>
      <c r="O76" s="6"/>
    </row>
    <row r="77" spans="1:15" ht="15.75">
      <c r="A77" s="26"/>
      <c r="B77" s="27" t="s">
        <v>49</v>
      </c>
      <c r="C77" s="27"/>
      <c r="D77" s="27"/>
      <c r="E77" s="27"/>
      <c r="F77" s="27"/>
      <c r="G77" s="27"/>
      <c r="H77" s="27"/>
      <c r="I77" s="27"/>
      <c r="J77" s="27"/>
      <c r="K77" s="38"/>
      <c r="L77" s="27"/>
      <c r="M77" s="59">
        <f>3436</f>
        <v>3436</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8410</v>
      </c>
      <c r="L79" s="27"/>
      <c r="M79" s="60">
        <f>SUM(M75:M78)</f>
        <v>3436</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8410</v>
      </c>
      <c r="L81" s="27"/>
      <c r="M81" s="60">
        <f>M79+M80</f>
        <v>3436</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-186-5</f>
        <v>-191</v>
      </c>
      <c r="N85" s="27"/>
      <c r="O85" s="6"/>
    </row>
    <row r="86" spans="1:15" ht="15.75">
      <c r="A86" s="26">
        <v>4</v>
      </c>
      <c r="B86" s="27" t="s">
        <v>197</v>
      </c>
      <c r="C86" s="27"/>
      <c r="D86" s="27"/>
      <c r="E86" s="27"/>
      <c r="F86" s="27"/>
      <c r="G86" s="27"/>
      <c r="H86" s="27"/>
      <c r="I86" s="27"/>
      <c r="J86" s="27"/>
      <c r="K86" s="27"/>
      <c r="L86" s="27"/>
      <c r="M86" s="59">
        <v>-57</v>
      </c>
      <c r="N86" s="27"/>
      <c r="O86" s="6"/>
    </row>
    <row r="87" spans="1:15" ht="15.75">
      <c r="A87" s="26">
        <v>5</v>
      </c>
      <c r="B87" s="27" t="s">
        <v>58</v>
      </c>
      <c r="C87" s="27"/>
      <c r="D87" s="27"/>
      <c r="E87" s="27"/>
      <c r="F87" s="27"/>
      <c r="G87" s="27"/>
      <c r="H87" s="27"/>
      <c r="I87" s="27"/>
      <c r="J87" s="27"/>
      <c r="K87" s="27"/>
      <c r="L87" s="27"/>
      <c r="M87" s="59">
        <v>-2237</v>
      </c>
      <c r="N87" s="27"/>
      <c r="O87" s="6"/>
    </row>
    <row r="88" spans="1:15" ht="15.75">
      <c r="A88" s="26">
        <v>6</v>
      </c>
      <c r="B88" s="27" t="s">
        <v>59</v>
      </c>
      <c r="C88" s="27"/>
      <c r="D88" s="27"/>
      <c r="E88" s="27"/>
      <c r="F88" s="27"/>
      <c r="G88" s="27"/>
      <c r="H88" s="27"/>
      <c r="I88" s="27"/>
      <c r="J88" s="27"/>
      <c r="K88" s="27"/>
      <c r="L88" s="27"/>
      <c r="M88" s="59">
        <v>-298</v>
      </c>
      <c r="N88" s="27"/>
      <c r="O88" s="6"/>
    </row>
    <row r="89" spans="1:15" ht="15.75">
      <c r="A89" s="26">
        <v>7</v>
      </c>
      <c r="B89" s="27" t="s">
        <v>60</v>
      </c>
      <c r="C89" s="27"/>
      <c r="D89" s="27"/>
      <c r="E89" s="27"/>
      <c r="F89" s="27"/>
      <c r="G89" s="27"/>
      <c r="H89" s="27"/>
      <c r="I89" s="27"/>
      <c r="J89" s="27"/>
      <c r="K89" s="27"/>
      <c r="L89" s="27"/>
      <c r="M89" s="59">
        <v>-3</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-39-134</f>
        <v>-173</v>
      </c>
      <c r="N94" s="27"/>
      <c r="O94" s="6"/>
    </row>
    <row r="95" spans="1:15" ht="15.75">
      <c r="A95" s="26">
        <v>13</v>
      </c>
      <c r="B95" s="27" t="s">
        <v>65</v>
      </c>
      <c r="C95" s="27"/>
      <c r="D95" s="27"/>
      <c r="E95" s="27"/>
      <c r="F95" s="27"/>
      <c r="G95" s="27"/>
      <c r="H95" s="27"/>
      <c r="I95" s="27"/>
      <c r="J95" s="27"/>
      <c r="K95" s="27"/>
      <c r="L95" s="27"/>
      <c r="M95" s="59">
        <f>-M81-SUM(M83:M94)</f>
        <v>-475</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-82</v>
      </c>
      <c r="L97" s="38"/>
      <c r="M97" s="59"/>
      <c r="N97" s="27"/>
      <c r="O97" s="6"/>
    </row>
    <row r="98" spans="1:15" ht="15.75">
      <c r="A98" s="26"/>
      <c r="B98" s="27" t="s">
        <v>68</v>
      </c>
      <c r="C98" s="27"/>
      <c r="D98" s="27"/>
      <c r="E98" s="27"/>
      <c r="F98" s="27"/>
      <c r="G98" s="27"/>
      <c r="H98" s="27"/>
      <c r="I98" s="27"/>
      <c r="J98" s="27"/>
      <c r="K98" s="38">
        <f>-I143</f>
        <v>-3140</v>
      </c>
      <c r="L98" s="38"/>
      <c r="M98" s="59"/>
      <c r="N98" s="27"/>
      <c r="O98" s="6"/>
    </row>
    <row r="99" spans="1:15" ht="15.75">
      <c r="A99" s="26"/>
      <c r="B99" s="27" t="s">
        <v>69</v>
      </c>
      <c r="C99" s="27"/>
      <c r="D99" s="27"/>
      <c r="E99" s="27"/>
      <c r="F99" s="27"/>
      <c r="G99" s="27"/>
      <c r="H99" s="27"/>
      <c r="I99" s="27"/>
      <c r="J99" s="27"/>
      <c r="K99" s="38">
        <v>-5188</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-8410</v>
      </c>
      <c r="L102" s="38"/>
      <c r="M102" s="38">
        <f>SUM(M82:M101)</f>
        <v>-3436</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NOVEMBER 2003</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243480</v>
      </c>
      <c r="N136" s="27"/>
      <c r="O136" s="6"/>
    </row>
    <row r="137" spans="1:15" ht="15.75">
      <c r="A137" s="26"/>
      <c r="B137" s="27" t="s">
        <v>95</v>
      </c>
      <c r="C137" s="73"/>
      <c r="D137" s="73"/>
      <c r="E137" s="27"/>
      <c r="F137" s="27"/>
      <c r="G137" s="27"/>
      <c r="H137" s="27"/>
      <c r="I137" s="27"/>
      <c r="J137" s="27"/>
      <c r="K137" s="27"/>
      <c r="L137" s="27"/>
      <c r="M137" s="59">
        <f>M71</f>
        <v>243480</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+'Aug 03'!I144</f>
        <v>2364</v>
      </c>
      <c r="J142" s="27"/>
      <c r="K142" s="59">
        <f>+'Aug 03'!K144</f>
        <v>343</v>
      </c>
      <c r="L142" s="27"/>
      <c r="M142" s="59">
        <f>K142+I142</f>
        <v>2707</v>
      </c>
      <c r="N142" s="27"/>
      <c r="O142" s="6"/>
    </row>
    <row r="143" spans="1:15" ht="15.75">
      <c r="A143" s="26"/>
      <c r="B143" s="27" t="s">
        <v>99</v>
      </c>
      <c r="C143" s="27"/>
      <c r="D143" s="27"/>
      <c r="E143" s="27"/>
      <c r="F143" s="27"/>
      <c r="G143" s="27"/>
      <c r="H143" s="27"/>
      <c r="I143" s="38">
        <v>3140</v>
      </c>
      <c r="J143" s="27"/>
      <c r="K143" s="27">
        <v>82</v>
      </c>
      <c r="L143" s="27"/>
      <c r="M143" s="59">
        <f>K143+I143</f>
        <v>3222</v>
      </c>
      <c r="N143" s="27"/>
      <c r="O143" s="6"/>
    </row>
    <row r="144" spans="1:15" ht="15.75">
      <c r="A144" s="26"/>
      <c r="B144" s="27" t="s">
        <v>100</v>
      </c>
      <c r="C144" s="27"/>
      <c r="D144" s="27"/>
      <c r="E144" s="27"/>
      <c r="F144" s="27"/>
      <c r="G144" s="27"/>
      <c r="H144" s="27"/>
      <c r="I144" s="59">
        <f>I142+I143</f>
        <v>5504</v>
      </c>
      <c r="J144" s="27"/>
      <c r="K144" s="59">
        <f>K143+K142</f>
        <v>425</v>
      </c>
      <c r="L144" s="27"/>
      <c r="M144" s="59">
        <f>K144+I144</f>
        <v>5929</v>
      </c>
      <c r="N144" s="27"/>
      <c r="O144" s="6"/>
    </row>
    <row r="145" spans="1:15" ht="15.75">
      <c r="A145" s="26"/>
      <c r="B145" s="27" t="s">
        <v>101</v>
      </c>
      <c r="C145" s="27"/>
      <c r="D145" s="27"/>
      <c r="E145" s="27"/>
      <c r="F145" s="27"/>
      <c r="G145" s="27"/>
      <c r="H145" s="27"/>
      <c r="I145" s="59">
        <f>I141-I144-K144</f>
        <v>35071</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1.4242288779615557</v>
      </c>
      <c r="N149" s="27" t="s">
        <v>196</v>
      </c>
      <c r="O149" s="6"/>
    </row>
    <row r="150" spans="1:15" ht="15.75">
      <c r="A150" s="26"/>
      <c r="B150" s="27" t="s">
        <v>104</v>
      </c>
      <c r="C150" s="27"/>
      <c r="D150" s="27"/>
      <c r="E150" s="27"/>
      <c r="F150" s="27"/>
      <c r="G150" s="27"/>
      <c r="H150" s="27"/>
      <c r="I150" s="27"/>
      <c r="J150" s="27"/>
      <c r="K150" s="27"/>
      <c r="L150" s="27"/>
      <c r="M150" s="75">
        <v>1.34</v>
      </c>
      <c r="N150" s="27" t="s">
        <v>196</v>
      </c>
      <c r="O150" s="6"/>
    </row>
    <row r="151" spans="1:15" ht="15.75">
      <c r="A151" s="26"/>
      <c r="B151" s="27" t="s">
        <v>105</v>
      </c>
      <c r="C151" s="27"/>
      <c r="D151" s="27"/>
      <c r="E151" s="27"/>
      <c r="F151" s="27"/>
      <c r="G151" s="27"/>
      <c r="H151" s="27"/>
      <c r="I151" s="27"/>
      <c r="J151" s="27"/>
      <c r="K151" s="27"/>
      <c r="L151" s="27"/>
      <c r="M151" s="65">
        <f>(M81+M83+M84+M85+M86+M87)/-M88</f>
        <v>3.184563758389262</v>
      </c>
      <c r="N151" s="27" t="s">
        <v>196</v>
      </c>
      <c r="O151" s="6"/>
    </row>
    <row r="152" spans="1:15" ht="15.75">
      <c r="A152" s="26"/>
      <c r="B152" s="27" t="s">
        <v>106</v>
      </c>
      <c r="C152" s="27"/>
      <c r="D152" s="27"/>
      <c r="E152" s="27"/>
      <c r="F152" s="27"/>
      <c r="G152" s="27"/>
      <c r="H152" s="27"/>
      <c r="I152" s="27"/>
      <c r="J152" s="27"/>
      <c r="K152" s="27"/>
      <c r="L152" s="27"/>
      <c r="M152" s="76">
        <v>2.55</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NOVEMBER 2003</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f>D76</f>
        <v>37953</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0.05434</v>
      </c>
      <c r="L162" s="27"/>
      <c r="M162" s="27"/>
      <c r="N162" s="27"/>
      <c r="O162" s="6"/>
    </row>
    <row r="163" spans="1:15" ht="15.75">
      <c r="A163" s="85"/>
      <c r="B163" s="86" t="s">
        <v>112</v>
      </c>
      <c r="C163" s="87"/>
      <c r="D163" s="87"/>
      <c r="E163" s="87"/>
      <c r="F163" s="87"/>
      <c r="G163" s="87"/>
      <c r="H163" s="72"/>
      <c r="I163" s="72"/>
      <c r="J163" s="72"/>
      <c r="K163" s="88">
        <f>+M33</f>
        <v>0.04089742840336152</v>
      </c>
      <c r="L163" s="27"/>
      <c r="M163" s="27"/>
      <c r="N163" s="27"/>
      <c r="O163" s="6"/>
    </row>
    <row r="164" spans="1:15" ht="15.75">
      <c r="A164" s="85"/>
      <c r="B164" s="86" t="s">
        <v>113</v>
      </c>
      <c r="C164" s="87"/>
      <c r="D164" s="87"/>
      <c r="E164" s="87"/>
      <c r="F164" s="87"/>
      <c r="G164" s="87"/>
      <c r="H164" s="72"/>
      <c r="I164" s="72"/>
      <c r="J164" s="72"/>
      <c r="K164" s="88">
        <f>K162-K163</f>
        <v>0.013442571596638482</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90">
        <v>21.58</v>
      </c>
      <c r="L167" s="27" t="s">
        <v>188</v>
      </c>
      <c r="M167" s="27"/>
      <c r="N167" s="27"/>
      <c r="O167" s="6"/>
    </row>
    <row r="168" spans="1:15" ht="15.75">
      <c r="A168" s="85"/>
      <c r="B168" s="86" t="s">
        <v>117</v>
      </c>
      <c r="C168" s="87"/>
      <c r="D168" s="87"/>
      <c r="E168" s="87"/>
      <c r="F168" s="87"/>
      <c r="G168" s="87"/>
      <c r="H168" s="72"/>
      <c r="I168" s="72"/>
      <c r="J168" s="72"/>
      <c r="K168" s="90">
        <v>21.12</v>
      </c>
      <c r="L168" s="27" t="s">
        <v>188</v>
      </c>
      <c r="M168" s="27"/>
      <c r="N168" s="27"/>
      <c r="O168" s="6"/>
    </row>
    <row r="169" spans="1:15" ht="15.75">
      <c r="A169" s="85"/>
      <c r="B169" s="86" t="s">
        <v>118</v>
      </c>
      <c r="C169" s="87"/>
      <c r="D169" s="87"/>
      <c r="E169" s="87"/>
      <c r="F169" s="87"/>
      <c r="G169" s="87"/>
      <c r="H169" s="72"/>
      <c r="I169" s="72"/>
      <c r="J169" s="72"/>
      <c r="K169" s="88">
        <f>+G56/'Aug 03'!M56</f>
        <v>0.03382019399359789</v>
      </c>
      <c r="L169" s="27"/>
      <c r="M169" s="27"/>
      <c r="N169" s="27"/>
      <c r="O169" s="6"/>
    </row>
    <row r="170" spans="1:15" ht="15.75">
      <c r="A170" s="85"/>
      <c r="B170" s="86" t="s">
        <v>119</v>
      </c>
      <c r="C170" s="87"/>
      <c r="D170" s="87"/>
      <c r="E170" s="87"/>
      <c r="F170" s="87"/>
      <c r="G170" s="87"/>
      <c r="H170" s="72"/>
      <c r="I170" s="72"/>
      <c r="J170" s="72"/>
      <c r="K170" s="88">
        <v>0.0963</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3</v>
      </c>
      <c r="K173" s="97">
        <v>442</v>
      </c>
      <c r="L173" s="27"/>
      <c r="M173" s="91"/>
      <c r="N173" s="98"/>
      <c r="O173" s="6"/>
    </row>
    <row r="174" spans="1:15" ht="15.75">
      <c r="A174" s="96"/>
      <c r="B174" s="86" t="s">
        <v>122</v>
      </c>
      <c r="C174" s="60"/>
      <c r="D174" s="60"/>
      <c r="E174" s="60"/>
      <c r="F174" s="60"/>
      <c r="G174" s="27"/>
      <c r="H174" s="27"/>
      <c r="I174" s="27"/>
      <c r="J174" s="34">
        <v>0</v>
      </c>
      <c r="K174" s="97">
        <v>0</v>
      </c>
      <c r="L174" s="27"/>
      <c r="M174" s="91"/>
      <c r="N174" s="98"/>
      <c r="O174" s="6"/>
    </row>
    <row r="175" spans="1:15" ht="15.75">
      <c r="A175" s="96"/>
      <c r="B175" s="142" t="s">
        <v>123</v>
      </c>
      <c r="C175" s="60"/>
      <c r="D175" s="60"/>
      <c r="E175" s="60"/>
      <c r="F175" s="60"/>
      <c r="G175" s="27"/>
      <c r="H175" s="27"/>
      <c r="I175" s="27"/>
      <c r="J175" s="27"/>
      <c r="K175" s="97">
        <v>0</v>
      </c>
      <c r="L175" s="27"/>
      <c r="M175" s="91"/>
      <c r="N175" s="98"/>
      <c r="O175" s="6"/>
    </row>
    <row r="176" spans="1:15" ht="15.75">
      <c r="A176" s="96"/>
      <c r="B176" s="142" t="s">
        <v>124</v>
      </c>
      <c r="C176" s="60"/>
      <c r="D176" s="60"/>
      <c r="E176" s="60"/>
      <c r="F176" s="60"/>
      <c r="G176" s="27"/>
      <c r="H176" s="27"/>
      <c r="I176" s="27"/>
      <c r="J176" s="27"/>
      <c r="K176" s="70" t="s">
        <v>185</v>
      </c>
      <c r="L176" s="27"/>
      <c r="M176" s="91"/>
      <c r="N176" s="98"/>
      <c r="O176" s="6"/>
    </row>
    <row r="177" spans="1:15" ht="15.75">
      <c r="A177" s="99"/>
      <c r="B177" s="142" t="s">
        <v>125</v>
      </c>
      <c r="C177" s="60"/>
      <c r="D177" s="60"/>
      <c r="E177" s="86"/>
      <c r="F177" s="86"/>
      <c r="G177" s="86"/>
      <c r="H177" s="27"/>
      <c r="I177" s="27"/>
      <c r="J177" s="27"/>
      <c r="K177" s="97"/>
      <c r="L177" s="27"/>
      <c r="M177" s="91"/>
      <c r="N177" s="100"/>
      <c r="O177" s="6"/>
    </row>
    <row r="178" spans="1:15" ht="15.75">
      <c r="A178" s="96"/>
      <c r="B178" s="86" t="s">
        <v>126</v>
      </c>
      <c r="C178" s="60"/>
      <c r="D178" s="60"/>
      <c r="E178" s="60"/>
      <c r="F178" s="60"/>
      <c r="G178" s="60"/>
      <c r="H178" s="27"/>
      <c r="I178" s="27"/>
      <c r="J178" s="27">
        <v>0</v>
      </c>
      <c r="K178" s="97">
        <f>M128</f>
        <v>0</v>
      </c>
      <c r="L178" s="27" t="s">
        <v>189</v>
      </c>
      <c r="M178" s="91"/>
      <c r="N178" s="128"/>
      <c r="O178" s="127"/>
    </row>
    <row r="179" spans="1:15" ht="15.75">
      <c r="A179" s="96"/>
      <c r="B179" s="86" t="s">
        <v>127</v>
      </c>
      <c r="C179" s="60"/>
      <c r="D179" s="60"/>
      <c r="E179" s="60"/>
      <c r="F179" s="60"/>
      <c r="G179" s="60"/>
      <c r="H179" s="27"/>
      <c r="I179" s="27"/>
      <c r="J179" s="27">
        <v>0</v>
      </c>
      <c r="K179" s="97">
        <f>+'Aug 03'!K179+K178</f>
        <v>0</v>
      </c>
      <c r="L179" s="27"/>
      <c r="M179" s="91"/>
      <c r="N179" s="100"/>
      <c r="O179" s="6"/>
    </row>
    <row r="180" spans="1:15" ht="15.75">
      <c r="A180" s="96"/>
      <c r="B180" s="86" t="s">
        <v>128</v>
      </c>
      <c r="C180" s="60"/>
      <c r="D180" s="60"/>
      <c r="E180" s="60"/>
      <c r="F180" s="60"/>
      <c r="G180" s="60"/>
      <c r="H180" s="27"/>
      <c r="I180" s="27"/>
      <c r="J180" s="27"/>
      <c r="K180" s="97">
        <v>0</v>
      </c>
      <c r="L180" s="27"/>
      <c r="M180" s="91"/>
      <c r="N180" s="100"/>
      <c r="O180" s="6"/>
    </row>
    <row r="181" spans="1:15" ht="15.75">
      <c r="A181" s="99"/>
      <c r="B181" s="142" t="s">
        <v>129</v>
      </c>
      <c r="C181" s="60"/>
      <c r="D181" s="60"/>
      <c r="E181" s="86"/>
      <c r="F181" s="86"/>
      <c r="G181" s="86"/>
      <c r="H181" s="27"/>
      <c r="I181" s="27"/>
      <c r="J181" s="27"/>
      <c r="K181" s="97"/>
      <c r="L181" s="27"/>
      <c r="M181" s="91"/>
      <c r="N181" s="100"/>
      <c r="O181" s="6"/>
    </row>
    <row r="182" spans="1:15" ht="15.75">
      <c r="A182" s="99"/>
      <c r="B182" s="86" t="s">
        <v>130</v>
      </c>
      <c r="C182" s="60"/>
      <c r="D182" s="60"/>
      <c r="E182" s="86"/>
      <c r="F182" s="86"/>
      <c r="G182" s="86"/>
      <c r="H182" s="27"/>
      <c r="I182" s="27"/>
      <c r="J182" s="27">
        <v>0</v>
      </c>
      <c r="K182" s="97">
        <v>0</v>
      </c>
      <c r="L182" s="27"/>
      <c r="M182" s="91"/>
      <c r="N182" s="100"/>
      <c r="O182" s="6"/>
    </row>
    <row r="183" spans="1:15" ht="15.75">
      <c r="A183" s="96"/>
      <c r="B183" s="86" t="s">
        <v>131</v>
      </c>
      <c r="C183" s="60"/>
      <c r="D183" s="60"/>
      <c r="E183" s="101"/>
      <c r="F183" s="101"/>
      <c r="G183" s="102"/>
      <c r="H183" s="27"/>
      <c r="I183" s="27"/>
      <c r="J183" s="27"/>
      <c r="K183" s="70">
        <v>0</v>
      </c>
      <c r="L183" s="27"/>
      <c r="M183" s="91"/>
      <c r="N183" s="100"/>
      <c r="O183" s="6"/>
    </row>
    <row r="184" spans="1:15" ht="15.75">
      <c r="A184" s="96"/>
      <c r="B184" s="86" t="s">
        <v>132</v>
      </c>
      <c r="C184" s="60"/>
      <c r="D184" s="60"/>
      <c r="E184" s="101"/>
      <c r="F184" s="101"/>
      <c r="G184" s="102"/>
      <c r="H184" s="27"/>
      <c r="I184" s="27"/>
      <c r="J184" s="27"/>
      <c r="K184" s="70">
        <v>0</v>
      </c>
      <c r="L184" s="27"/>
      <c r="M184" s="91"/>
      <c r="N184" s="100"/>
      <c r="O184" s="6"/>
    </row>
    <row r="185" spans="1:15" ht="15.75">
      <c r="A185" s="96"/>
      <c r="B185" s="86" t="s">
        <v>133</v>
      </c>
      <c r="C185" s="60"/>
      <c r="D185" s="60"/>
      <c r="E185" s="103"/>
      <c r="F185" s="101"/>
      <c r="G185" s="102"/>
      <c r="H185" s="27"/>
      <c r="I185" s="27"/>
      <c r="J185" s="27"/>
      <c r="K185" s="104">
        <v>0</v>
      </c>
      <c r="L185" s="27"/>
      <c r="M185" s="91"/>
      <c r="N185" s="100"/>
      <c r="O185" s="6"/>
    </row>
    <row r="186" spans="1:15" ht="15.75">
      <c r="A186" s="96"/>
      <c r="B186" s="86"/>
      <c r="C186" s="60"/>
      <c r="D186" s="60"/>
      <c r="E186" s="103"/>
      <c r="F186" s="101"/>
      <c r="G186" s="102"/>
      <c r="H186" s="27"/>
      <c r="I186" s="27"/>
      <c r="J186" s="27"/>
      <c r="K186" s="104"/>
      <c r="L186" s="27"/>
      <c r="M186" s="91"/>
      <c r="N186" s="100"/>
      <c r="O186" s="6"/>
    </row>
    <row r="187" spans="1:15" ht="15.75">
      <c r="A187" s="7"/>
      <c r="B187" s="16" t="s">
        <v>134</v>
      </c>
      <c r="C187" s="93"/>
      <c r="D187" s="93"/>
      <c r="E187" s="94"/>
      <c r="F187" s="93"/>
      <c r="G187" s="94"/>
      <c r="H187" s="93"/>
      <c r="I187" s="95" t="s">
        <v>173</v>
      </c>
      <c r="J187" s="19" t="s">
        <v>174</v>
      </c>
      <c r="K187" s="95" t="s">
        <v>186</v>
      </c>
      <c r="L187" s="19" t="s">
        <v>174</v>
      </c>
      <c r="M187" s="9"/>
      <c r="N187" s="105"/>
      <c r="O187" s="6"/>
    </row>
    <row r="188" spans="1:15" ht="15.75">
      <c r="A188" s="26"/>
      <c r="B188" s="60" t="s">
        <v>135</v>
      </c>
      <c r="C188" s="106"/>
      <c r="D188" s="106"/>
      <c r="E188" s="60"/>
      <c r="F188" s="106"/>
      <c r="G188" s="27"/>
      <c r="H188" s="106"/>
      <c r="I188" s="60">
        <v>2506</v>
      </c>
      <c r="J188" s="108">
        <f>I188/I193</f>
        <v>0.9944444444444445</v>
      </c>
      <c r="K188" s="59">
        <v>241644</v>
      </c>
      <c r="L188" s="151">
        <f>K188/K193</f>
        <v>0.9924593395761458</v>
      </c>
      <c r="M188" s="91"/>
      <c r="N188" s="100"/>
      <c r="O188" s="6"/>
    </row>
    <row r="189" spans="1:15" ht="15.75">
      <c r="A189" s="26"/>
      <c r="B189" s="60" t="s">
        <v>136</v>
      </c>
      <c r="C189" s="106"/>
      <c r="D189" s="106"/>
      <c r="E189" s="60"/>
      <c r="F189" s="106"/>
      <c r="G189" s="27"/>
      <c r="H189" s="108"/>
      <c r="I189" s="60">
        <v>6</v>
      </c>
      <c r="J189" s="108">
        <f>I189/I193</f>
        <v>0.002380952380952381</v>
      </c>
      <c r="K189" s="59">
        <v>1080</v>
      </c>
      <c r="L189" s="151">
        <f>K189/K193</f>
        <v>0.004435682602267127</v>
      </c>
      <c r="M189" s="91"/>
      <c r="N189" s="100"/>
      <c r="O189" s="6"/>
    </row>
    <row r="190" spans="1:15" ht="15.75">
      <c r="A190" s="26"/>
      <c r="B190" s="60" t="s">
        <v>137</v>
      </c>
      <c r="C190" s="106"/>
      <c r="D190" s="106"/>
      <c r="E190" s="60"/>
      <c r="F190" s="106"/>
      <c r="G190" s="27"/>
      <c r="H190" s="108"/>
      <c r="I190" s="60">
        <v>4</v>
      </c>
      <c r="J190" s="108">
        <f>I190/I193</f>
        <v>0.0015873015873015873</v>
      </c>
      <c r="K190" s="59">
        <v>363</v>
      </c>
      <c r="L190" s="151">
        <f>K190/K193</f>
        <v>0.0014908822079842286</v>
      </c>
      <c r="M190" s="91"/>
      <c r="N190" s="100"/>
      <c r="O190" s="6"/>
    </row>
    <row r="191" spans="1:15" ht="15.75">
      <c r="A191" s="26"/>
      <c r="B191" s="60" t="s">
        <v>138</v>
      </c>
      <c r="C191" s="106"/>
      <c r="D191" s="106"/>
      <c r="E191" s="60"/>
      <c r="F191" s="106"/>
      <c r="G191" s="27"/>
      <c r="H191" s="108"/>
      <c r="I191" s="60">
        <v>4</v>
      </c>
      <c r="J191" s="108">
        <f>I191/I193</f>
        <v>0.0015873015873015873</v>
      </c>
      <c r="K191" s="59">
        <v>393</v>
      </c>
      <c r="L191" s="151">
        <f>K191/K193</f>
        <v>0.00161409561360276</v>
      </c>
      <c r="M191" s="91"/>
      <c r="N191" s="100"/>
      <c r="O191" s="6"/>
    </row>
    <row r="192" spans="1:15" ht="15.75">
      <c r="A192" s="26"/>
      <c r="B192" s="144"/>
      <c r="C192" s="106"/>
      <c r="D192" s="106"/>
      <c r="E192" s="60"/>
      <c r="F192" s="106"/>
      <c r="G192" s="27"/>
      <c r="H192" s="108"/>
      <c r="I192" s="60"/>
      <c r="J192" s="106"/>
      <c r="K192" s="59"/>
      <c r="L192" s="107"/>
      <c r="M192" s="91"/>
      <c r="N192" s="100"/>
      <c r="O192" s="6"/>
    </row>
    <row r="193" spans="1:15" ht="15.75">
      <c r="A193" s="26"/>
      <c r="B193" s="27"/>
      <c r="C193" s="27"/>
      <c r="D193" s="27"/>
      <c r="E193" s="27"/>
      <c r="F193" s="27"/>
      <c r="G193" s="27"/>
      <c r="H193" s="27"/>
      <c r="I193" s="38">
        <f>SUM(I188:I192)</f>
        <v>2520</v>
      </c>
      <c r="J193" s="109">
        <f>SUM(J188:J192)</f>
        <v>1</v>
      </c>
      <c r="K193" s="59">
        <f>SUM(K188:K192)</f>
        <v>243480</v>
      </c>
      <c r="L193" s="109">
        <f>SUM(L188:L192)</f>
        <v>0.9999999999999999</v>
      </c>
      <c r="M193" s="27"/>
      <c r="N193" s="27"/>
      <c r="O193" s="6"/>
    </row>
    <row r="194" spans="1:15" ht="15.75">
      <c r="A194" s="26"/>
      <c r="B194" s="27"/>
      <c r="C194" s="27"/>
      <c r="D194" s="27"/>
      <c r="E194" s="27"/>
      <c r="F194" s="27"/>
      <c r="G194" s="27"/>
      <c r="H194" s="27"/>
      <c r="I194" s="38"/>
      <c r="J194" s="109"/>
      <c r="K194" s="59"/>
      <c r="L194" s="109"/>
      <c r="M194" s="27"/>
      <c r="N194" s="27"/>
      <c r="O194" s="6"/>
    </row>
    <row r="195" spans="1:15" ht="15.75">
      <c r="A195" s="7"/>
      <c r="B195" s="9"/>
      <c r="C195" s="9"/>
      <c r="D195" s="9"/>
      <c r="E195" s="9"/>
      <c r="F195" s="9"/>
      <c r="G195" s="9"/>
      <c r="H195" s="9"/>
      <c r="I195" s="61"/>
      <c r="J195" s="110"/>
      <c r="K195" s="111"/>
      <c r="L195" s="110"/>
      <c r="M195" s="9"/>
      <c r="N195" s="9"/>
      <c r="O195" s="6"/>
    </row>
    <row r="196" spans="1:15" ht="15.75">
      <c r="A196" s="148"/>
      <c r="B196" s="16" t="s">
        <v>139</v>
      </c>
      <c r="C196" s="113"/>
      <c r="D196" s="113"/>
      <c r="E196" s="19" t="s">
        <v>154</v>
      </c>
      <c r="F196" s="17"/>
      <c r="G196" s="16" t="s">
        <v>162</v>
      </c>
      <c r="H196" s="143"/>
      <c r="I196" s="143"/>
      <c r="J196" s="143"/>
      <c r="K196" s="143"/>
      <c r="L196" s="143"/>
      <c r="M196" s="143"/>
      <c r="N196" s="143"/>
      <c r="O196" s="6"/>
    </row>
    <row r="197" spans="1:15" ht="15.75">
      <c r="A197" s="148"/>
      <c r="B197" s="143"/>
      <c r="C197" s="143"/>
      <c r="D197" s="143"/>
      <c r="E197" s="9"/>
      <c r="F197" s="9"/>
      <c r="G197" s="9"/>
      <c r="H197" s="143"/>
      <c r="I197" s="143"/>
      <c r="J197" s="143"/>
      <c r="K197" s="143"/>
      <c r="L197" s="143"/>
      <c r="M197" s="143"/>
      <c r="N197" s="143"/>
      <c r="O197" s="6"/>
    </row>
    <row r="198" spans="1:15" ht="15.75">
      <c r="A198" s="148"/>
      <c r="B198" s="15" t="s">
        <v>140</v>
      </c>
      <c r="C198" s="114"/>
      <c r="D198" s="114"/>
      <c r="E198" s="115" t="s">
        <v>155</v>
      </c>
      <c r="F198" s="15"/>
      <c r="G198" s="15" t="s">
        <v>163</v>
      </c>
      <c r="H198" s="114"/>
      <c r="I198" s="114"/>
      <c r="J198" s="143"/>
      <c r="K198" s="143"/>
      <c r="L198" s="143"/>
      <c r="M198" s="143"/>
      <c r="N198" s="143"/>
      <c r="O198" s="6"/>
    </row>
    <row r="199" spans="1:15" ht="15.75">
      <c r="A199" s="148"/>
      <c r="B199" s="15" t="s">
        <v>141</v>
      </c>
      <c r="C199" s="114"/>
      <c r="D199" s="114"/>
      <c r="E199" s="115" t="s">
        <v>156</v>
      </c>
      <c r="F199" s="15"/>
      <c r="G199" s="15" t="s">
        <v>164</v>
      </c>
      <c r="H199" s="114"/>
      <c r="I199" s="114"/>
      <c r="J199" s="143"/>
      <c r="K199" s="143"/>
      <c r="L199" s="143"/>
      <c r="M199" s="143"/>
      <c r="N199" s="143"/>
      <c r="O199" s="6"/>
    </row>
    <row r="200" spans="1:15" ht="15.75">
      <c r="A200" s="148"/>
      <c r="B200" s="15"/>
      <c r="C200" s="114"/>
      <c r="D200" s="114"/>
      <c r="E200" s="115"/>
      <c r="F200" s="15"/>
      <c r="G200" s="15"/>
      <c r="H200" s="114"/>
      <c r="I200" s="114"/>
      <c r="J200" s="143"/>
      <c r="K200" s="143"/>
      <c r="L200" s="143"/>
      <c r="M200" s="143"/>
      <c r="N200" s="143"/>
      <c r="O200" s="6"/>
    </row>
    <row r="201" spans="1:15" ht="15.75">
      <c r="A201" s="148"/>
      <c r="B201" s="15"/>
      <c r="C201" s="114"/>
      <c r="D201" s="114"/>
      <c r="E201" s="115"/>
      <c r="F201" s="15"/>
      <c r="G201" s="15"/>
      <c r="H201" s="114"/>
      <c r="I201" s="114"/>
      <c r="J201" s="143"/>
      <c r="K201" s="143"/>
      <c r="L201" s="143"/>
      <c r="M201" s="143"/>
      <c r="N201" s="143"/>
      <c r="O201" s="6"/>
    </row>
    <row r="202" spans="1:15" ht="18.75">
      <c r="A202" s="148"/>
      <c r="B202" s="55" t="str">
        <f>B156</f>
        <v>PM5 INVESTOR REPORT QUARTER ENDING NOVEMBER 2003</v>
      </c>
      <c r="C202" s="114"/>
      <c r="D202" s="114"/>
      <c r="E202" s="115"/>
      <c r="F202" s="15"/>
      <c r="G202" s="15"/>
      <c r="H202" s="114"/>
      <c r="I202" s="114"/>
      <c r="J202" s="143"/>
      <c r="K202" s="143"/>
      <c r="L202" s="143"/>
      <c r="M202" s="143"/>
      <c r="N202" s="143"/>
      <c r="O202" s="6"/>
    </row>
    <row r="203" spans="1:14" ht="15">
      <c r="A203" s="116"/>
      <c r="B203" s="116"/>
      <c r="C203" s="116"/>
      <c r="D203" s="116"/>
      <c r="E203" s="116"/>
      <c r="F203" s="116"/>
      <c r="G203" s="116"/>
      <c r="H203" s="116"/>
      <c r="I203" s="116"/>
      <c r="J203" s="116"/>
      <c r="K203" s="116"/>
      <c r="L203" s="116"/>
      <c r="M203" s="116"/>
      <c r="N203" s="116"/>
    </row>
    <row r="205" ht="15">
      <c r="I205"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3.xml><?xml version="1.0" encoding="utf-8"?>
<worksheet xmlns="http://schemas.openxmlformats.org/spreadsheetml/2006/main" xmlns:r="http://schemas.openxmlformats.org/officeDocument/2006/relationships">
  <sheetPr>
    <tabColor indexed="52"/>
  </sheetPr>
  <dimension ref="A1:O20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38062</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0.869604</v>
      </c>
      <c r="D30" s="39">
        <v>1</v>
      </c>
      <c r="E30" s="35">
        <f>E29*C30</f>
        <v>43480.200000000004</v>
      </c>
      <c r="F30" s="36"/>
      <c r="G30" s="35">
        <v>176250</v>
      </c>
      <c r="H30" s="35"/>
      <c r="I30" s="35">
        <v>23750</v>
      </c>
      <c r="J30" s="35"/>
      <c r="K30" s="35"/>
      <c r="L30" s="145"/>
      <c r="M30" s="35">
        <f>I30+G30+E30</f>
        <v>243480.2</v>
      </c>
      <c r="N30" s="38"/>
      <c r="O30" s="6"/>
    </row>
    <row r="31" spans="1:15" ht="15.75">
      <c r="A31" s="31"/>
      <c r="B31" s="32" t="s">
        <v>19</v>
      </c>
      <c r="C31" s="39">
        <v>0.814598</v>
      </c>
      <c r="D31" s="39">
        <v>1</v>
      </c>
      <c r="E31" s="40">
        <f>E29*C31</f>
        <v>40729.9</v>
      </c>
      <c r="F31" s="41"/>
      <c r="G31" s="40">
        <v>176250</v>
      </c>
      <c r="H31" s="40"/>
      <c r="I31" s="40">
        <v>23750</v>
      </c>
      <c r="J31" s="40"/>
      <c r="K31" s="40"/>
      <c r="L31" s="42"/>
      <c r="M31" s="40">
        <f>I31+G31+E31</f>
        <v>240729.9</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0.0423375</v>
      </c>
      <c r="F33" s="27"/>
      <c r="G33" s="44">
        <v>0.0433375</v>
      </c>
      <c r="H33" s="45"/>
      <c r="I33" s="44">
        <v>0.0536375</v>
      </c>
      <c r="J33" s="45"/>
      <c r="K33" s="44"/>
      <c r="L33" s="144"/>
      <c r="M33" s="45">
        <f>SUMPRODUCT(E33:I33,E30:I30)/M30</f>
        <v>0.04416362384908506</v>
      </c>
      <c r="N33" s="27"/>
      <c r="O33" s="6"/>
    </row>
    <row r="34" spans="1:15" ht="15.75">
      <c r="A34" s="26"/>
      <c r="B34" s="27" t="s">
        <v>22</v>
      </c>
      <c r="C34" s="27"/>
      <c r="D34" s="27"/>
      <c r="E34" s="44">
        <v>0.0391094</v>
      </c>
      <c r="F34" s="27"/>
      <c r="G34" s="44">
        <v>0.0401094</v>
      </c>
      <c r="H34" s="45"/>
      <c r="I34" s="44">
        <v>0.0504094</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34"/>
      <c r="H38" s="34"/>
      <c r="I38" s="3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0.10945714326534393</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38054</v>
      </c>
      <c r="N44" s="27"/>
      <c r="O44" s="6"/>
    </row>
    <row r="45" spans="1:15" ht="15.75">
      <c r="A45" s="26"/>
      <c r="B45" s="27" t="s">
        <v>31</v>
      </c>
      <c r="C45" s="27"/>
      <c r="D45" s="27"/>
      <c r="E45" s="27"/>
      <c r="F45" s="27"/>
      <c r="G45" s="27"/>
      <c r="H45" s="27"/>
      <c r="I45" s="27"/>
      <c r="J45" s="27">
        <f>M45-K45+1</f>
        <v>91</v>
      </c>
      <c r="K45" s="51">
        <v>37872</v>
      </c>
      <c r="L45" s="52"/>
      <c r="M45" s="51">
        <v>37962</v>
      </c>
      <c r="N45" s="27"/>
      <c r="O45" s="6"/>
    </row>
    <row r="46" spans="1:15" ht="15.75">
      <c r="A46" s="26"/>
      <c r="B46" s="27" t="s">
        <v>32</v>
      </c>
      <c r="C46" s="27"/>
      <c r="D46" s="27"/>
      <c r="E46" s="27"/>
      <c r="F46" s="27"/>
      <c r="G46" s="27"/>
      <c r="H46" s="27"/>
      <c r="I46" s="27"/>
      <c r="J46" s="27">
        <f>M46-K46+1</f>
        <v>91</v>
      </c>
      <c r="K46" s="51">
        <v>37963</v>
      </c>
      <c r="L46" s="52"/>
      <c r="M46" s="51">
        <v>38053</v>
      </c>
      <c r="N46" s="27"/>
      <c r="O46" s="6"/>
    </row>
    <row r="47" spans="1:15" ht="15.75">
      <c r="A47" s="26"/>
      <c r="B47" s="27" t="s">
        <v>33</v>
      </c>
      <c r="C47" s="27"/>
      <c r="D47" s="27"/>
      <c r="E47" s="27"/>
      <c r="F47" s="27"/>
      <c r="G47" s="27"/>
      <c r="H47" s="27"/>
      <c r="I47" s="27"/>
      <c r="J47" s="27"/>
      <c r="K47" s="51"/>
      <c r="L47" s="52"/>
      <c r="M47" s="51" t="s">
        <v>203</v>
      </c>
      <c r="N47" s="27"/>
      <c r="O47" s="6"/>
    </row>
    <row r="48" spans="1:15" ht="15.75">
      <c r="A48" s="26"/>
      <c r="B48" s="27" t="s">
        <v>34</v>
      </c>
      <c r="C48" s="27"/>
      <c r="D48" s="27"/>
      <c r="E48" s="27"/>
      <c r="F48" s="27"/>
      <c r="G48" s="27"/>
      <c r="H48" s="27"/>
      <c r="I48" s="27"/>
      <c r="J48" s="27"/>
      <c r="K48" s="51"/>
      <c r="L48" s="52"/>
      <c r="M48" s="51">
        <v>38047</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201</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243480</v>
      </c>
      <c r="F56" s="38"/>
      <c r="G56" s="38">
        <f>2750+36+2824</f>
        <v>5610</v>
      </c>
      <c r="H56" s="38"/>
      <c r="I56" s="38">
        <f>2824+36</f>
        <v>2860</v>
      </c>
      <c r="J56" s="38"/>
      <c r="K56" s="38">
        <v>0</v>
      </c>
      <c r="L56" s="38"/>
      <c r="M56" s="59">
        <f>E56-G56+I56-K56</f>
        <v>240730</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243480</v>
      </c>
      <c r="F59" s="38"/>
      <c r="G59" s="38">
        <f>SUM(G56:G58)</f>
        <v>5610</v>
      </c>
      <c r="H59" s="38"/>
      <c r="I59" s="38">
        <f>SUM(I56:I58)</f>
        <v>2860</v>
      </c>
      <c r="J59" s="38"/>
      <c r="K59" s="38">
        <f>SUM(K56:K58)</f>
        <v>0</v>
      </c>
      <c r="L59" s="38"/>
      <c r="M59" s="60">
        <f>SUM(M56:M58)</f>
        <v>240730</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243480</v>
      </c>
      <c r="F71" s="38"/>
      <c r="G71" s="60"/>
      <c r="H71" s="38"/>
      <c r="I71" s="60"/>
      <c r="J71" s="38"/>
      <c r="K71" s="60"/>
      <c r="L71" s="38"/>
      <c r="M71" s="60">
        <f>SUM(M59:M70)</f>
        <v>240730</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v>38044</v>
      </c>
      <c r="E76" s="63"/>
      <c r="F76" s="27"/>
      <c r="G76" s="27"/>
      <c r="H76" s="27"/>
      <c r="I76" s="27"/>
      <c r="J76" s="27"/>
      <c r="K76" s="38">
        <v>5610</v>
      </c>
      <c r="L76" s="27"/>
      <c r="M76" s="59"/>
      <c r="N76" s="27"/>
      <c r="O76" s="6"/>
    </row>
    <row r="77" spans="1:15" ht="15.75">
      <c r="A77" s="26"/>
      <c r="B77" s="27" t="s">
        <v>49</v>
      </c>
      <c r="C77" s="27"/>
      <c r="D77" s="27"/>
      <c r="E77" s="27"/>
      <c r="F77" s="27"/>
      <c r="G77" s="27"/>
      <c r="H77" s="27"/>
      <c r="I77" s="27"/>
      <c r="J77" s="27"/>
      <c r="K77" s="38"/>
      <c r="L77" s="27"/>
      <c r="M77" s="59">
        <v>3518</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5610</v>
      </c>
      <c r="L79" s="27"/>
      <c r="M79" s="60">
        <f>SUM(M75:M78)</f>
        <v>3518</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5610</v>
      </c>
      <c r="L81" s="27"/>
      <c r="M81" s="60">
        <f>M79+M80</f>
        <v>3518</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-182-5</f>
        <v>-187</v>
      </c>
      <c r="N85" s="27"/>
      <c r="O85" s="6"/>
    </row>
    <row r="86" spans="1:15" ht="15.75">
      <c r="A86" s="26">
        <v>4</v>
      </c>
      <c r="B86" s="27" t="s">
        <v>197</v>
      </c>
      <c r="C86" s="27"/>
      <c r="D86" s="27"/>
      <c r="E86" s="27"/>
      <c r="F86" s="27"/>
      <c r="G86" s="27"/>
      <c r="H86" s="27"/>
      <c r="I86" s="27"/>
      <c r="J86" s="27"/>
      <c r="K86" s="27"/>
      <c r="L86" s="27"/>
      <c r="M86" s="59">
        <v>-52</v>
      </c>
      <c r="N86" s="27"/>
      <c r="O86" s="6"/>
    </row>
    <row r="87" spans="1:15" ht="15.75">
      <c r="A87" s="26">
        <v>5</v>
      </c>
      <c r="B87" s="27" t="s">
        <v>58</v>
      </c>
      <c r="C87" s="27"/>
      <c r="D87" s="27"/>
      <c r="E87" s="27"/>
      <c r="F87" s="27"/>
      <c r="G87" s="27"/>
      <c r="H87" s="27"/>
      <c r="I87" s="27"/>
      <c r="J87" s="27"/>
      <c r="K87" s="27"/>
      <c r="L87" s="27"/>
      <c r="M87" s="59">
        <v>-2357</v>
      </c>
      <c r="N87" s="27"/>
      <c r="O87" s="6"/>
    </row>
    <row r="88" spans="1:15" ht="15.75">
      <c r="A88" s="26">
        <v>6</v>
      </c>
      <c r="B88" s="27" t="s">
        <v>59</v>
      </c>
      <c r="C88" s="27"/>
      <c r="D88" s="27"/>
      <c r="E88" s="27"/>
      <c r="F88" s="27"/>
      <c r="G88" s="27"/>
      <c r="H88" s="27"/>
      <c r="I88" s="27"/>
      <c r="J88" s="27"/>
      <c r="K88" s="27"/>
      <c r="L88" s="27"/>
      <c r="M88" s="59">
        <v>-317</v>
      </c>
      <c r="N88" s="27"/>
      <c r="O88" s="6"/>
    </row>
    <row r="89" spans="1:15" ht="15.75">
      <c r="A89" s="26">
        <v>7</v>
      </c>
      <c r="B89" s="27" t="s">
        <v>60</v>
      </c>
      <c r="C89" s="27"/>
      <c r="D89" s="27"/>
      <c r="E89" s="27"/>
      <c r="F89" s="27"/>
      <c r="G89" s="27"/>
      <c r="H89" s="27"/>
      <c r="I89" s="27"/>
      <c r="J89" s="27"/>
      <c r="K89" s="27"/>
      <c r="L89" s="27"/>
      <c r="M89" s="59">
        <v>-5</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-41-143</f>
        <v>-184</v>
      </c>
      <c r="N94" s="27"/>
      <c r="O94" s="6"/>
    </row>
    <row r="95" spans="1:15" ht="15.75">
      <c r="A95" s="26">
        <v>13</v>
      </c>
      <c r="B95" s="27" t="s">
        <v>65</v>
      </c>
      <c r="C95" s="27"/>
      <c r="D95" s="27"/>
      <c r="E95" s="27"/>
      <c r="F95" s="27"/>
      <c r="G95" s="27"/>
      <c r="H95" s="27"/>
      <c r="I95" s="27"/>
      <c r="J95" s="27"/>
      <c r="K95" s="27"/>
      <c r="L95" s="27"/>
      <c r="M95" s="59">
        <f>-M81-SUM(M83:M94)</f>
        <v>-414</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-36</v>
      </c>
      <c r="L97" s="38"/>
      <c r="M97" s="59"/>
      <c r="N97" s="27"/>
      <c r="O97" s="6"/>
    </row>
    <row r="98" spans="1:15" ht="15.75">
      <c r="A98" s="26"/>
      <c r="B98" s="27" t="s">
        <v>68</v>
      </c>
      <c r="C98" s="27"/>
      <c r="D98" s="27"/>
      <c r="E98" s="27"/>
      <c r="F98" s="27"/>
      <c r="G98" s="27"/>
      <c r="H98" s="27"/>
      <c r="I98" s="27"/>
      <c r="J98" s="27"/>
      <c r="K98" s="38">
        <f>-I143</f>
        <v>-2824</v>
      </c>
      <c r="L98" s="38"/>
      <c r="M98" s="59"/>
      <c r="N98" s="27"/>
      <c r="O98" s="6"/>
    </row>
    <row r="99" spans="1:15" ht="15.75">
      <c r="A99" s="26"/>
      <c r="B99" s="27" t="s">
        <v>69</v>
      </c>
      <c r="C99" s="27"/>
      <c r="D99" s="27"/>
      <c r="E99" s="27"/>
      <c r="F99" s="27"/>
      <c r="G99" s="27"/>
      <c r="H99" s="27"/>
      <c r="I99" s="27"/>
      <c r="J99" s="27"/>
      <c r="K99" s="38">
        <v>-2750</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-5610</v>
      </c>
      <c r="L102" s="38"/>
      <c r="M102" s="38">
        <f>SUM(M82:M101)</f>
        <v>-3518</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FEBRUARY 2004</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240730</v>
      </c>
      <c r="N136" s="27"/>
      <c r="O136" s="6"/>
    </row>
    <row r="137" spans="1:15" ht="15.75">
      <c r="A137" s="26"/>
      <c r="B137" s="27" t="s">
        <v>95</v>
      </c>
      <c r="C137" s="73"/>
      <c r="D137" s="73"/>
      <c r="E137" s="27"/>
      <c r="F137" s="27"/>
      <c r="G137" s="27"/>
      <c r="H137" s="27"/>
      <c r="I137" s="27"/>
      <c r="J137" s="27"/>
      <c r="K137" s="27"/>
      <c r="L137" s="27"/>
      <c r="M137" s="59">
        <f>M71</f>
        <v>240730</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+'Nov 03'!I144</f>
        <v>5504</v>
      </c>
      <c r="J142" s="27"/>
      <c r="K142" s="59">
        <f>+'Nov 03'!K144</f>
        <v>425</v>
      </c>
      <c r="L142" s="27"/>
      <c r="M142" s="59">
        <f>K142+I142</f>
        <v>5929</v>
      </c>
      <c r="N142" s="27"/>
      <c r="O142" s="6"/>
    </row>
    <row r="143" spans="1:15" ht="15.75">
      <c r="A143" s="26"/>
      <c r="B143" s="27" t="s">
        <v>99</v>
      </c>
      <c r="C143" s="27"/>
      <c r="D143" s="27"/>
      <c r="E143" s="27"/>
      <c r="F143" s="27"/>
      <c r="G143" s="27"/>
      <c r="H143" s="27"/>
      <c r="I143" s="38">
        <v>2824</v>
      </c>
      <c r="J143" s="27"/>
      <c r="K143" s="27">
        <v>36</v>
      </c>
      <c r="L143" s="27"/>
      <c r="M143" s="59">
        <f>K143+I143</f>
        <v>2860</v>
      </c>
      <c r="N143" s="27"/>
      <c r="O143" s="6"/>
    </row>
    <row r="144" spans="1:15" ht="15.75">
      <c r="A144" s="26"/>
      <c r="B144" s="27" t="s">
        <v>100</v>
      </c>
      <c r="C144" s="27"/>
      <c r="D144" s="27"/>
      <c r="E144" s="27"/>
      <c r="F144" s="27"/>
      <c r="G144" s="27"/>
      <c r="H144" s="27"/>
      <c r="I144" s="59">
        <f>I142+I143</f>
        <v>8328</v>
      </c>
      <c r="J144" s="27"/>
      <c r="K144" s="59">
        <f>K143+K142</f>
        <v>461</v>
      </c>
      <c r="L144" s="27"/>
      <c r="M144" s="59">
        <f>K144+I144</f>
        <v>8789</v>
      </c>
      <c r="N144" s="27"/>
      <c r="O144" s="6"/>
    </row>
    <row r="145" spans="1:15" ht="15.75">
      <c r="A145" s="26"/>
      <c r="B145" s="27" t="s">
        <v>101</v>
      </c>
      <c r="C145" s="27"/>
      <c r="D145" s="27"/>
      <c r="E145" s="27"/>
      <c r="F145" s="27"/>
      <c r="G145" s="27"/>
      <c r="H145" s="27"/>
      <c r="I145" s="59">
        <f>I141-I144-K144</f>
        <v>32211</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1.3903266864658463</v>
      </c>
      <c r="N149" s="27" t="s">
        <v>196</v>
      </c>
      <c r="O149" s="6"/>
    </row>
    <row r="150" spans="1:15" ht="15.75">
      <c r="A150" s="26"/>
      <c r="B150" s="27" t="s">
        <v>104</v>
      </c>
      <c r="C150" s="27"/>
      <c r="D150" s="27"/>
      <c r="E150" s="27"/>
      <c r="F150" s="27"/>
      <c r="G150" s="27"/>
      <c r="H150" s="27"/>
      <c r="I150" s="27"/>
      <c r="J150" s="27"/>
      <c r="K150" s="27"/>
      <c r="L150" s="27"/>
      <c r="M150" s="75">
        <v>1.36</v>
      </c>
      <c r="N150" s="27" t="s">
        <v>196</v>
      </c>
      <c r="O150" s="6"/>
    </row>
    <row r="151" spans="1:15" ht="15.75">
      <c r="A151" s="26"/>
      <c r="B151" s="27" t="s">
        <v>105</v>
      </c>
      <c r="C151" s="27"/>
      <c r="D151" s="27"/>
      <c r="E151" s="27"/>
      <c r="F151" s="27"/>
      <c r="G151" s="27"/>
      <c r="H151" s="27"/>
      <c r="I151" s="27"/>
      <c r="J151" s="27"/>
      <c r="K151" s="27"/>
      <c r="L151" s="27"/>
      <c r="M151" s="65">
        <f>(M81+M83+M84+M85+M86+M87)/-M88</f>
        <v>2.9022082018927446</v>
      </c>
      <c r="N151" s="27" t="s">
        <v>196</v>
      </c>
      <c r="O151" s="6"/>
    </row>
    <row r="152" spans="1:15" ht="15.75">
      <c r="A152" s="26"/>
      <c r="B152" s="27" t="s">
        <v>106</v>
      </c>
      <c r="C152" s="27"/>
      <c r="D152" s="27"/>
      <c r="E152" s="27"/>
      <c r="F152" s="27"/>
      <c r="G152" s="27"/>
      <c r="H152" s="27"/>
      <c r="I152" s="27"/>
      <c r="J152" s="27"/>
      <c r="K152" s="27"/>
      <c r="L152" s="27"/>
      <c r="M152" s="76">
        <v>2.68</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FEBRUARY 2004</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v>38044</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0.05711</v>
      </c>
      <c r="L162" s="27"/>
      <c r="M162" s="27"/>
      <c r="N162" s="27"/>
      <c r="O162" s="6"/>
    </row>
    <row r="163" spans="1:15" ht="15.75">
      <c r="A163" s="85"/>
      <c r="B163" s="86" t="s">
        <v>112</v>
      </c>
      <c r="C163" s="87"/>
      <c r="D163" s="87"/>
      <c r="E163" s="87"/>
      <c r="F163" s="87"/>
      <c r="G163" s="87"/>
      <c r="H163" s="72"/>
      <c r="I163" s="72"/>
      <c r="J163" s="72"/>
      <c r="K163" s="88">
        <f>+M33</f>
        <v>0.04416362384908506</v>
      </c>
      <c r="L163" s="27"/>
      <c r="M163" s="27"/>
      <c r="N163" s="27"/>
      <c r="O163" s="6"/>
    </row>
    <row r="164" spans="1:15" ht="15.75">
      <c r="A164" s="85"/>
      <c r="B164" s="86" t="s">
        <v>113</v>
      </c>
      <c r="C164" s="87"/>
      <c r="D164" s="87"/>
      <c r="E164" s="87"/>
      <c r="F164" s="87"/>
      <c r="G164" s="87"/>
      <c r="H164" s="72"/>
      <c r="I164" s="72"/>
      <c r="J164" s="72"/>
      <c r="K164" s="88">
        <f>K162-K163</f>
        <v>0.012946376150914943</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90">
        <v>21.58</v>
      </c>
      <c r="L167" s="27" t="s">
        <v>188</v>
      </c>
      <c r="M167" s="27"/>
      <c r="N167" s="27"/>
      <c r="O167" s="6"/>
    </row>
    <row r="168" spans="1:15" ht="15.75">
      <c r="A168" s="85"/>
      <c r="B168" s="86" t="s">
        <v>117</v>
      </c>
      <c r="C168" s="87"/>
      <c r="D168" s="87"/>
      <c r="E168" s="87"/>
      <c r="F168" s="87"/>
      <c r="G168" s="87"/>
      <c r="H168" s="72"/>
      <c r="I168" s="72"/>
      <c r="J168" s="72"/>
      <c r="K168" s="90">
        <v>20.9</v>
      </c>
      <c r="L168" s="27" t="s">
        <v>188</v>
      </c>
      <c r="M168" s="27"/>
      <c r="N168" s="27"/>
      <c r="O168" s="6"/>
    </row>
    <row r="169" spans="1:15" ht="15.75">
      <c r="A169" s="85"/>
      <c r="B169" s="86" t="s">
        <v>118</v>
      </c>
      <c r="C169" s="87"/>
      <c r="D169" s="87"/>
      <c r="E169" s="87"/>
      <c r="F169" s="87"/>
      <c r="G169" s="87"/>
      <c r="H169" s="72"/>
      <c r="I169" s="72"/>
      <c r="J169" s="72"/>
      <c r="K169" s="88">
        <f>+G56/'Nov 03'!M56</f>
        <v>0.023040906850665354</v>
      </c>
      <c r="L169" s="27"/>
      <c r="M169" s="27"/>
      <c r="N169" s="27"/>
      <c r="O169" s="6"/>
    </row>
    <row r="170" spans="1:15" ht="15.75">
      <c r="A170" s="85"/>
      <c r="B170" s="86" t="s">
        <v>119</v>
      </c>
      <c r="C170" s="87"/>
      <c r="D170" s="87"/>
      <c r="E170" s="87"/>
      <c r="F170" s="87"/>
      <c r="G170" s="87"/>
      <c r="H170" s="72"/>
      <c r="I170" s="72"/>
      <c r="J170" s="72"/>
      <c r="K170" s="88">
        <v>0.0938</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7</v>
      </c>
      <c r="K173" s="97">
        <v>1168</v>
      </c>
      <c r="L173" s="27"/>
      <c r="M173" s="91"/>
      <c r="N173" s="98"/>
      <c r="O173" s="6"/>
    </row>
    <row r="174" spans="1:15" ht="15.75">
      <c r="A174" s="96"/>
      <c r="B174" s="86" t="s">
        <v>202</v>
      </c>
      <c r="C174" s="60"/>
      <c r="D174" s="60"/>
      <c r="E174" s="60"/>
      <c r="F174" s="60"/>
      <c r="G174" s="27"/>
      <c r="H174" s="27"/>
      <c r="I174" s="27"/>
      <c r="J174" s="34">
        <v>2</v>
      </c>
      <c r="K174" s="97">
        <v>605</v>
      </c>
      <c r="L174" s="27"/>
      <c r="M174" s="91"/>
      <c r="N174" s="98"/>
      <c r="O174" s="6"/>
    </row>
    <row r="175" spans="1:15" ht="15.75">
      <c r="A175" s="96"/>
      <c r="B175" s="86" t="s">
        <v>122</v>
      </c>
      <c r="C175" s="60"/>
      <c r="D175" s="60"/>
      <c r="E175" s="60"/>
      <c r="F175" s="60"/>
      <c r="G175" s="27"/>
      <c r="H175" s="27"/>
      <c r="I175" s="27"/>
      <c r="J175" s="34">
        <v>0</v>
      </c>
      <c r="K175" s="97">
        <v>0</v>
      </c>
      <c r="L175" s="27"/>
      <c r="M175" s="91"/>
      <c r="N175" s="98"/>
      <c r="O175" s="6"/>
    </row>
    <row r="176" spans="1:15" ht="15.75">
      <c r="A176" s="96"/>
      <c r="B176" s="142" t="s">
        <v>123</v>
      </c>
      <c r="C176" s="60"/>
      <c r="D176" s="60"/>
      <c r="E176" s="60"/>
      <c r="F176" s="60"/>
      <c r="G176" s="27"/>
      <c r="H176" s="27"/>
      <c r="I176" s="27"/>
      <c r="J176" s="27"/>
      <c r="K176" s="97">
        <v>0</v>
      </c>
      <c r="L176" s="27"/>
      <c r="M176" s="91"/>
      <c r="N176" s="98"/>
      <c r="O176" s="6"/>
    </row>
    <row r="177" spans="1:15" ht="15.75">
      <c r="A177" s="96"/>
      <c r="B177" s="142" t="s">
        <v>124</v>
      </c>
      <c r="C177" s="60"/>
      <c r="D177" s="60"/>
      <c r="E177" s="60"/>
      <c r="F177" s="60"/>
      <c r="G177" s="27"/>
      <c r="H177" s="27"/>
      <c r="I177" s="27"/>
      <c r="J177" s="27"/>
      <c r="K177" s="70" t="s">
        <v>185</v>
      </c>
      <c r="L177" s="27"/>
      <c r="M177" s="91"/>
      <c r="N177" s="98"/>
      <c r="O177" s="6"/>
    </row>
    <row r="178" spans="1:15" ht="15.75">
      <c r="A178" s="99"/>
      <c r="B178" s="142" t="s">
        <v>125</v>
      </c>
      <c r="C178" s="60"/>
      <c r="D178" s="60"/>
      <c r="E178" s="86"/>
      <c r="F178" s="86"/>
      <c r="G178" s="86"/>
      <c r="H178" s="27"/>
      <c r="I178" s="27"/>
      <c r="J178" s="27"/>
      <c r="K178" s="97"/>
      <c r="L178" s="27"/>
      <c r="M178" s="91"/>
      <c r="N178" s="100"/>
      <c r="O178" s="6"/>
    </row>
    <row r="179" spans="1:15" ht="15.75">
      <c r="A179" s="96"/>
      <c r="B179" s="86" t="s">
        <v>126</v>
      </c>
      <c r="C179" s="60"/>
      <c r="D179" s="60"/>
      <c r="E179" s="60"/>
      <c r="F179" s="60"/>
      <c r="G179" s="60"/>
      <c r="H179" s="27"/>
      <c r="I179" s="27"/>
      <c r="J179" s="27">
        <v>0</v>
      </c>
      <c r="K179" s="97">
        <f>M128</f>
        <v>0</v>
      </c>
      <c r="L179" s="27" t="s">
        <v>189</v>
      </c>
      <c r="M179" s="91"/>
      <c r="N179" s="128"/>
      <c r="O179" s="127"/>
    </row>
    <row r="180" spans="1:15" ht="15.75">
      <c r="A180" s="96"/>
      <c r="B180" s="86" t="s">
        <v>127</v>
      </c>
      <c r="C180" s="60"/>
      <c r="D180" s="60"/>
      <c r="E180" s="60"/>
      <c r="F180" s="60"/>
      <c r="G180" s="60"/>
      <c r="H180" s="27"/>
      <c r="I180" s="27"/>
      <c r="J180" s="27">
        <v>0</v>
      </c>
      <c r="K180" s="97">
        <f>+'Nov 03'!K179+K179</f>
        <v>0</v>
      </c>
      <c r="L180" s="27"/>
      <c r="M180" s="91"/>
      <c r="N180" s="100"/>
      <c r="O180" s="6"/>
    </row>
    <row r="181" spans="1:15" ht="15.75">
      <c r="A181" s="96"/>
      <c r="B181" s="86" t="s">
        <v>128</v>
      </c>
      <c r="C181" s="60"/>
      <c r="D181" s="60"/>
      <c r="E181" s="60"/>
      <c r="F181" s="60"/>
      <c r="G181" s="60"/>
      <c r="H181" s="27"/>
      <c r="I181" s="27"/>
      <c r="J181" s="27"/>
      <c r="K181" s="97">
        <v>0</v>
      </c>
      <c r="L181" s="27"/>
      <c r="M181" s="91"/>
      <c r="N181" s="100"/>
      <c r="O181" s="6"/>
    </row>
    <row r="182" spans="1:15" ht="15.75">
      <c r="A182" s="99"/>
      <c r="B182" s="142" t="s">
        <v>129</v>
      </c>
      <c r="C182" s="60"/>
      <c r="D182" s="60"/>
      <c r="E182" s="86"/>
      <c r="F182" s="86"/>
      <c r="G182" s="86"/>
      <c r="H182" s="27"/>
      <c r="I182" s="27"/>
      <c r="J182" s="27"/>
      <c r="K182" s="97"/>
      <c r="L182" s="27"/>
      <c r="M182" s="91"/>
      <c r="N182" s="100"/>
      <c r="O182" s="6"/>
    </row>
    <row r="183" spans="1:15" ht="15.75">
      <c r="A183" s="99"/>
      <c r="B183" s="86" t="s">
        <v>130</v>
      </c>
      <c r="C183" s="60"/>
      <c r="D183" s="60"/>
      <c r="E183" s="86"/>
      <c r="F183" s="86"/>
      <c r="G183" s="86"/>
      <c r="H183" s="27"/>
      <c r="I183" s="27"/>
      <c r="J183" s="27">
        <v>0</v>
      </c>
      <c r="K183" s="97">
        <v>0</v>
      </c>
      <c r="L183" s="27"/>
      <c r="M183" s="91"/>
      <c r="N183" s="100"/>
      <c r="O183" s="6"/>
    </row>
    <row r="184" spans="1:15" ht="15.75">
      <c r="A184" s="96"/>
      <c r="B184" s="86" t="s">
        <v>131</v>
      </c>
      <c r="C184" s="60"/>
      <c r="D184" s="60"/>
      <c r="E184" s="101"/>
      <c r="F184" s="101"/>
      <c r="G184" s="102"/>
      <c r="H184" s="27"/>
      <c r="I184" s="27"/>
      <c r="J184" s="27"/>
      <c r="K184" s="70">
        <v>0</v>
      </c>
      <c r="L184" s="27"/>
      <c r="M184" s="91"/>
      <c r="N184" s="100"/>
      <c r="O184" s="6"/>
    </row>
    <row r="185" spans="1:15" ht="15.75">
      <c r="A185" s="96"/>
      <c r="B185" s="86" t="s">
        <v>132</v>
      </c>
      <c r="C185" s="60"/>
      <c r="D185" s="60"/>
      <c r="E185" s="101"/>
      <c r="F185" s="101"/>
      <c r="G185" s="102"/>
      <c r="H185" s="27"/>
      <c r="I185" s="27"/>
      <c r="J185" s="27"/>
      <c r="K185" s="70">
        <v>0</v>
      </c>
      <c r="L185" s="27"/>
      <c r="M185" s="91"/>
      <c r="N185" s="100"/>
      <c r="O185" s="6"/>
    </row>
    <row r="186" spans="1:15" ht="15.75">
      <c r="A186" s="96"/>
      <c r="B186" s="86" t="s">
        <v>133</v>
      </c>
      <c r="C186" s="60"/>
      <c r="D186" s="60"/>
      <c r="E186" s="103"/>
      <c r="F186" s="101"/>
      <c r="G186" s="102"/>
      <c r="H186" s="27"/>
      <c r="I186" s="27"/>
      <c r="J186" s="27"/>
      <c r="K186" s="104">
        <v>0</v>
      </c>
      <c r="L186" s="27"/>
      <c r="M186" s="91"/>
      <c r="N186" s="100"/>
      <c r="O186" s="6"/>
    </row>
    <row r="187" spans="1:15" ht="15.75">
      <c r="A187" s="96"/>
      <c r="B187" s="86"/>
      <c r="C187" s="60"/>
      <c r="D187" s="60"/>
      <c r="E187" s="103"/>
      <c r="F187" s="101"/>
      <c r="G187" s="102"/>
      <c r="H187" s="27"/>
      <c r="I187" s="27"/>
      <c r="J187" s="27"/>
      <c r="K187" s="104"/>
      <c r="L187" s="27"/>
      <c r="M187" s="91"/>
      <c r="N187" s="100"/>
      <c r="O187" s="6"/>
    </row>
    <row r="188" spans="1:15" ht="15.75">
      <c r="A188" s="7"/>
      <c r="B188" s="16" t="s">
        <v>134</v>
      </c>
      <c r="C188" s="93"/>
      <c r="D188" s="93"/>
      <c r="E188" s="94"/>
      <c r="F188" s="93"/>
      <c r="G188" s="94"/>
      <c r="H188" s="93"/>
      <c r="I188" s="95" t="s">
        <v>173</v>
      </c>
      <c r="J188" s="19" t="s">
        <v>174</v>
      </c>
      <c r="K188" s="95" t="s">
        <v>186</v>
      </c>
      <c r="L188" s="19" t="s">
        <v>174</v>
      </c>
      <c r="M188" s="9"/>
      <c r="N188" s="105"/>
      <c r="O188" s="6"/>
    </row>
    <row r="189" spans="1:15" ht="15.75">
      <c r="A189" s="26"/>
      <c r="B189" s="60" t="s">
        <v>135</v>
      </c>
      <c r="C189" s="106"/>
      <c r="D189" s="106"/>
      <c r="E189" s="60"/>
      <c r="F189" s="106"/>
      <c r="G189" s="27"/>
      <c r="H189" s="106"/>
      <c r="I189" s="60">
        <v>2425</v>
      </c>
      <c r="J189" s="108">
        <f>I189/I194</f>
        <v>0.993038493038493</v>
      </c>
      <c r="K189" s="59">
        <v>238477</v>
      </c>
      <c r="L189" s="151">
        <f>K189/K194</f>
        <v>0.9906409670585303</v>
      </c>
      <c r="M189" s="91"/>
      <c r="N189" s="100"/>
      <c r="O189" s="6"/>
    </row>
    <row r="190" spans="1:15" ht="15.75">
      <c r="A190" s="26"/>
      <c r="B190" s="60" t="s">
        <v>136</v>
      </c>
      <c r="C190" s="106"/>
      <c r="D190" s="106"/>
      <c r="E190" s="60"/>
      <c r="F190" s="106"/>
      <c r="G190" s="27"/>
      <c r="H190" s="108"/>
      <c r="I190" s="60">
        <v>9</v>
      </c>
      <c r="J190" s="108">
        <f>I190/I194</f>
        <v>0.0036855036855036856</v>
      </c>
      <c r="K190" s="59">
        <v>1011</v>
      </c>
      <c r="L190" s="151">
        <f>K190/K194</f>
        <v>0.004199725833921821</v>
      </c>
      <c r="M190" s="91"/>
      <c r="N190" s="100"/>
      <c r="O190" s="6"/>
    </row>
    <row r="191" spans="1:15" ht="15.75">
      <c r="A191" s="26"/>
      <c r="B191" s="60" t="s">
        <v>137</v>
      </c>
      <c r="C191" s="106"/>
      <c r="D191" s="106"/>
      <c r="E191" s="60"/>
      <c r="F191" s="106"/>
      <c r="G191" s="27"/>
      <c r="H191" s="108"/>
      <c r="I191" s="60">
        <v>2</v>
      </c>
      <c r="J191" s="108">
        <f>I191/I194</f>
        <v>0.000819000819000819</v>
      </c>
      <c r="K191" s="59">
        <v>197</v>
      </c>
      <c r="L191" s="151">
        <f>K191/K194</f>
        <v>0.0008183442030490592</v>
      </c>
      <c r="M191" s="91"/>
      <c r="N191" s="100"/>
      <c r="O191" s="6"/>
    </row>
    <row r="192" spans="1:15" ht="15.75">
      <c r="A192" s="26"/>
      <c r="B192" s="60" t="s">
        <v>138</v>
      </c>
      <c r="C192" s="106"/>
      <c r="D192" s="106"/>
      <c r="E192" s="60"/>
      <c r="F192" s="106"/>
      <c r="G192" s="27"/>
      <c r="H192" s="108"/>
      <c r="I192" s="60">
        <v>6</v>
      </c>
      <c r="J192" s="108">
        <f>I192/I194</f>
        <v>0.002457002457002457</v>
      </c>
      <c r="K192" s="59">
        <v>1045</v>
      </c>
      <c r="L192" s="151">
        <f>K192/K194</f>
        <v>0.004340962904498816</v>
      </c>
      <c r="M192" s="91"/>
      <c r="N192" s="100"/>
      <c r="O192" s="6"/>
    </row>
    <row r="193" spans="1:15" ht="15.75">
      <c r="A193" s="26"/>
      <c r="B193" s="144"/>
      <c r="C193" s="106"/>
      <c r="D193" s="106"/>
      <c r="E193" s="60"/>
      <c r="F193" s="106"/>
      <c r="G193" s="27"/>
      <c r="H193" s="108"/>
      <c r="I193" s="60"/>
      <c r="J193" s="106"/>
      <c r="K193" s="59"/>
      <c r="L193" s="107"/>
      <c r="M193" s="91"/>
      <c r="N193" s="100"/>
      <c r="O193" s="6"/>
    </row>
    <row r="194" spans="1:15" ht="15.75">
      <c r="A194" s="26"/>
      <c r="B194" s="27"/>
      <c r="C194" s="27"/>
      <c r="D194" s="27"/>
      <c r="E194" s="27"/>
      <c r="F194" s="27"/>
      <c r="G194" s="27"/>
      <c r="H194" s="27"/>
      <c r="I194" s="38">
        <f>SUM(I189:I193)</f>
        <v>2442</v>
      </c>
      <c r="J194" s="109">
        <f>SUM(J189:J193)</f>
        <v>0.9999999999999999</v>
      </c>
      <c r="K194" s="59">
        <f>SUM(K189:K193)</f>
        <v>240730</v>
      </c>
      <c r="L194" s="109">
        <f>SUM(L189:L193)</f>
        <v>1</v>
      </c>
      <c r="M194" s="27"/>
      <c r="N194" s="27"/>
      <c r="O194" s="6"/>
    </row>
    <row r="195" spans="1:15" ht="15.75">
      <c r="A195" s="26"/>
      <c r="B195" s="27"/>
      <c r="C195" s="27"/>
      <c r="D195" s="27"/>
      <c r="E195" s="27"/>
      <c r="F195" s="27"/>
      <c r="G195" s="27"/>
      <c r="H195" s="27"/>
      <c r="I195" s="38"/>
      <c r="J195" s="109"/>
      <c r="K195" s="59"/>
      <c r="L195" s="109"/>
      <c r="M195" s="27"/>
      <c r="N195" s="27"/>
      <c r="O195" s="6"/>
    </row>
    <row r="196" spans="1:15" ht="15.75">
      <c r="A196" s="7"/>
      <c r="B196" s="9"/>
      <c r="C196" s="9"/>
      <c r="D196" s="9"/>
      <c r="E196" s="9"/>
      <c r="F196" s="9"/>
      <c r="G196" s="9"/>
      <c r="H196" s="9"/>
      <c r="I196" s="61"/>
      <c r="J196" s="110"/>
      <c r="K196" s="111"/>
      <c r="L196" s="110"/>
      <c r="M196" s="9"/>
      <c r="N196" s="9"/>
      <c r="O196" s="6"/>
    </row>
    <row r="197" spans="1:15" ht="15.75">
      <c r="A197" s="148"/>
      <c r="B197" s="16" t="s">
        <v>139</v>
      </c>
      <c r="C197" s="113"/>
      <c r="D197" s="113"/>
      <c r="E197" s="19" t="s">
        <v>154</v>
      </c>
      <c r="F197" s="17"/>
      <c r="G197" s="16" t="s">
        <v>162</v>
      </c>
      <c r="H197" s="143"/>
      <c r="I197" s="143"/>
      <c r="J197" s="143"/>
      <c r="K197" s="143"/>
      <c r="L197" s="143"/>
      <c r="M197" s="143"/>
      <c r="N197" s="143"/>
      <c r="O197" s="6"/>
    </row>
    <row r="198" spans="1:15" ht="15.75">
      <c r="A198" s="148"/>
      <c r="B198" s="143"/>
      <c r="C198" s="143"/>
      <c r="D198" s="143"/>
      <c r="E198" s="9"/>
      <c r="F198" s="9"/>
      <c r="G198" s="9"/>
      <c r="H198" s="143"/>
      <c r="I198" s="143"/>
      <c r="J198" s="143"/>
      <c r="K198" s="143"/>
      <c r="L198" s="143"/>
      <c r="M198" s="143"/>
      <c r="N198" s="143"/>
      <c r="O198" s="6"/>
    </row>
    <row r="199" spans="1:15" ht="15.75">
      <c r="A199" s="148"/>
      <c r="B199" s="15" t="s">
        <v>140</v>
      </c>
      <c r="C199" s="114"/>
      <c r="D199" s="114"/>
      <c r="E199" s="115" t="s">
        <v>155</v>
      </c>
      <c r="F199" s="15"/>
      <c r="G199" s="15" t="s">
        <v>163</v>
      </c>
      <c r="H199" s="114"/>
      <c r="I199" s="114"/>
      <c r="J199" s="143"/>
      <c r="K199" s="143"/>
      <c r="L199" s="143"/>
      <c r="M199" s="143"/>
      <c r="N199" s="143"/>
      <c r="O199" s="6"/>
    </row>
    <row r="200" spans="1:15" ht="15.75">
      <c r="A200" s="148"/>
      <c r="B200" s="15" t="s">
        <v>141</v>
      </c>
      <c r="C200" s="114"/>
      <c r="D200" s="114"/>
      <c r="E200" s="115" t="s">
        <v>156</v>
      </c>
      <c r="F200" s="15"/>
      <c r="G200" s="15" t="s">
        <v>164</v>
      </c>
      <c r="H200" s="114"/>
      <c r="I200" s="114"/>
      <c r="J200" s="143"/>
      <c r="K200" s="143"/>
      <c r="L200" s="143"/>
      <c r="M200" s="143"/>
      <c r="N200" s="143"/>
      <c r="O200" s="6"/>
    </row>
    <row r="201" spans="1:15" ht="15.75">
      <c r="A201" s="148"/>
      <c r="B201" s="15"/>
      <c r="C201" s="114"/>
      <c r="D201" s="114"/>
      <c r="E201" s="115"/>
      <c r="F201" s="15"/>
      <c r="G201" s="15"/>
      <c r="H201" s="114"/>
      <c r="I201" s="114"/>
      <c r="J201" s="143"/>
      <c r="K201" s="143"/>
      <c r="L201" s="143"/>
      <c r="M201" s="143"/>
      <c r="N201" s="143"/>
      <c r="O201" s="6"/>
    </row>
    <row r="202" spans="1:15" ht="15.75">
      <c r="A202" s="148"/>
      <c r="B202" s="15"/>
      <c r="C202" s="114"/>
      <c r="D202" s="114"/>
      <c r="E202" s="115"/>
      <c r="F202" s="15"/>
      <c r="G202" s="15"/>
      <c r="H202" s="114"/>
      <c r="I202" s="114"/>
      <c r="J202" s="143"/>
      <c r="K202" s="143"/>
      <c r="L202" s="143"/>
      <c r="M202" s="143"/>
      <c r="N202" s="143"/>
      <c r="O202" s="6"/>
    </row>
    <row r="203" spans="1:15" ht="18.75">
      <c r="A203" s="148"/>
      <c r="B203" s="55" t="str">
        <f>B156</f>
        <v>PM5 INVESTOR REPORT QUARTER ENDING FEBRUARY 2004</v>
      </c>
      <c r="C203" s="114"/>
      <c r="D203" s="114"/>
      <c r="E203" s="115"/>
      <c r="F203" s="15"/>
      <c r="G203" s="15"/>
      <c r="H203" s="114"/>
      <c r="I203" s="114"/>
      <c r="J203" s="143"/>
      <c r="K203" s="143"/>
      <c r="L203" s="143"/>
      <c r="M203" s="143"/>
      <c r="N203" s="143"/>
      <c r="O203" s="6"/>
    </row>
    <row r="204" spans="1:14" ht="15">
      <c r="A204" s="116"/>
      <c r="B204" s="116"/>
      <c r="C204" s="116"/>
      <c r="D204" s="116"/>
      <c r="E204" s="116"/>
      <c r="F204" s="116"/>
      <c r="G204" s="116"/>
      <c r="H204" s="116"/>
      <c r="I204" s="116"/>
      <c r="J204" s="116"/>
      <c r="K204" s="116"/>
      <c r="L204" s="116"/>
      <c r="M204" s="116"/>
      <c r="N204" s="116"/>
    </row>
    <row r="206" ht="15">
      <c r="I206"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4.xml><?xml version="1.0" encoding="utf-8"?>
<worksheet xmlns="http://schemas.openxmlformats.org/spreadsheetml/2006/main" xmlns:r="http://schemas.openxmlformats.org/officeDocument/2006/relationships">
  <sheetPr>
    <tabColor indexed="54"/>
  </sheetPr>
  <dimension ref="A1:O20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38159</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0.814598</v>
      </c>
      <c r="D30" s="39">
        <v>1</v>
      </c>
      <c r="E30" s="35">
        <f>E29*C30</f>
        <v>40729.9</v>
      </c>
      <c r="F30" s="36"/>
      <c r="G30" s="35">
        <v>176250</v>
      </c>
      <c r="H30" s="35"/>
      <c r="I30" s="35">
        <v>23750</v>
      </c>
      <c r="J30" s="35"/>
      <c r="K30" s="35"/>
      <c r="L30" s="145"/>
      <c r="M30" s="35">
        <f>I30+G30+E30</f>
        <v>240729.9</v>
      </c>
      <c r="N30" s="38"/>
      <c r="O30" s="6"/>
    </row>
    <row r="31" spans="1:15" ht="15.75">
      <c r="A31" s="31"/>
      <c r="B31" s="32" t="s">
        <v>19</v>
      </c>
      <c r="C31" s="39">
        <v>0.70818</v>
      </c>
      <c r="D31" s="39">
        <v>1</v>
      </c>
      <c r="E31" s="40">
        <f>E29*C31</f>
        <v>35409</v>
      </c>
      <c r="F31" s="41"/>
      <c r="G31" s="40">
        <v>176250</v>
      </c>
      <c r="H31" s="40"/>
      <c r="I31" s="40">
        <v>23750</v>
      </c>
      <c r="J31" s="40"/>
      <c r="K31" s="40"/>
      <c r="L31" s="42"/>
      <c r="M31" s="40">
        <f>I31+G31+E31</f>
        <v>235409</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0.0450625</v>
      </c>
      <c r="F33" s="27"/>
      <c r="G33" s="44">
        <v>0.0460625</v>
      </c>
      <c r="H33" s="45"/>
      <c r="I33" s="44">
        <v>0.0563625</v>
      </c>
      <c r="J33" s="45"/>
      <c r="K33" s="44"/>
      <c r="L33" s="144"/>
      <c r="M33" s="45">
        <f>SUMPRODUCT(E33:I33,E30:I30)/M30</f>
        <v>0.0469094870174</v>
      </c>
      <c r="N33" s="27"/>
      <c r="O33" s="6"/>
    </row>
    <row r="34" spans="1:15" ht="15.75">
      <c r="A34" s="26"/>
      <c r="B34" s="27" t="s">
        <v>22</v>
      </c>
      <c r="C34" s="27"/>
      <c r="D34" s="27"/>
      <c r="E34" s="44">
        <v>0.0423375</v>
      </c>
      <c r="F34" s="27"/>
      <c r="G34" s="44">
        <v>0.0433375</v>
      </c>
      <c r="H34" s="45"/>
      <c r="I34" s="44">
        <v>0.0536375</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44"/>
      <c r="H38" s="34"/>
      <c r="I38" s="4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0.11220878866478629</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38145</v>
      </c>
      <c r="N44" s="27"/>
      <c r="O44" s="6"/>
    </row>
    <row r="45" spans="1:15" ht="15.75">
      <c r="A45" s="26"/>
      <c r="B45" s="27" t="s">
        <v>31</v>
      </c>
      <c r="C45" s="27"/>
      <c r="D45" s="27"/>
      <c r="E45" s="27"/>
      <c r="F45" s="27"/>
      <c r="G45" s="27"/>
      <c r="H45" s="27"/>
      <c r="I45" s="27"/>
      <c r="J45" s="27">
        <f>M45-K45+1</f>
        <v>91</v>
      </c>
      <c r="K45" s="51">
        <v>37963</v>
      </c>
      <c r="L45" s="52"/>
      <c r="M45" s="51">
        <v>38053</v>
      </c>
      <c r="N45" s="27"/>
      <c r="O45" s="6"/>
    </row>
    <row r="46" spans="1:15" ht="15.75">
      <c r="A46" s="26"/>
      <c r="B46" s="27" t="s">
        <v>32</v>
      </c>
      <c r="C46" s="27"/>
      <c r="D46" s="27"/>
      <c r="E46" s="27"/>
      <c r="F46" s="27"/>
      <c r="G46" s="27"/>
      <c r="H46" s="27"/>
      <c r="I46" s="27"/>
      <c r="J46" s="27">
        <f>M46-K46+1</f>
        <v>91</v>
      </c>
      <c r="K46" s="51">
        <v>38054</v>
      </c>
      <c r="L46" s="52"/>
      <c r="M46" s="51">
        <v>38144</v>
      </c>
      <c r="N46" s="27"/>
      <c r="O46" s="6"/>
    </row>
    <row r="47" spans="1:15" ht="15.75">
      <c r="A47" s="26"/>
      <c r="B47" s="27" t="s">
        <v>33</v>
      </c>
      <c r="C47" s="27"/>
      <c r="D47" s="27"/>
      <c r="E47" s="27"/>
      <c r="F47" s="27"/>
      <c r="G47" s="27"/>
      <c r="H47" s="27"/>
      <c r="I47" s="27"/>
      <c r="J47" s="27"/>
      <c r="K47" s="51"/>
      <c r="L47" s="52"/>
      <c r="M47" s="51" t="s">
        <v>203</v>
      </c>
      <c r="N47" s="27"/>
      <c r="O47" s="6"/>
    </row>
    <row r="48" spans="1:15" ht="15.75">
      <c r="A48" s="26"/>
      <c r="B48" s="27" t="s">
        <v>34</v>
      </c>
      <c r="C48" s="27"/>
      <c r="D48" s="27"/>
      <c r="E48" s="27"/>
      <c r="F48" s="27"/>
      <c r="G48" s="27"/>
      <c r="H48" s="27"/>
      <c r="I48" s="27"/>
      <c r="J48" s="27"/>
      <c r="K48" s="51"/>
      <c r="L48" s="52"/>
      <c r="M48" s="51">
        <v>38140</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204</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240730</v>
      </c>
      <c r="F56" s="38"/>
      <c r="G56" s="38">
        <f>5321+3090+9+15</f>
        <v>8435</v>
      </c>
      <c r="H56" s="38"/>
      <c r="I56" s="38">
        <f>3090+9+15</f>
        <v>3114</v>
      </c>
      <c r="J56" s="38"/>
      <c r="K56" s="38">
        <v>0</v>
      </c>
      <c r="L56" s="38"/>
      <c r="M56" s="59">
        <f>E56-G56+I56-K56</f>
        <v>235409</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240730</v>
      </c>
      <c r="F59" s="38"/>
      <c r="G59" s="38">
        <f>SUM(G56:G58)</f>
        <v>8435</v>
      </c>
      <c r="H59" s="38"/>
      <c r="I59" s="38">
        <f>SUM(I56:I58)</f>
        <v>3114</v>
      </c>
      <c r="J59" s="38"/>
      <c r="K59" s="38">
        <f>SUM(K56:K58)</f>
        <v>0</v>
      </c>
      <c r="L59" s="38"/>
      <c r="M59" s="60">
        <f>SUM(M56:M58)</f>
        <v>235409</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240730</v>
      </c>
      <c r="F71" s="38"/>
      <c r="G71" s="60"/>
      <c r="H71" s="38"/>
      <c r="I71" s="60"/>
      <c r="J71" s="38"/>
      <c r="K71" s="60"/>
      <c r="L71" s="38"/>
      <c r="M71" s="60">
        <f>SUM(M59:M70)</f>
        <v>235409</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v>38135</v>
      </c>
      <c r="E76" s="63"/>
      <c r="F76" s="27"/>
      <c r="G76" s="27"/>
      <c r="H76" s="27"/>
      <c r="I76" s="27"/>
      <c r="J76" s="27"/>
      <c r="K76" s="38">
        <v>8435</v>
      </c>
      <c r="L76" s="27"/>
      <c r="M76" s="59"/>
      <c r="N76" s="27"/>
      <c r="O76" s="6"/>
    </row>
    <row r="77" spans="1:15" ht="15.75">
      <c r="A77" s="26"/>
      <c r="B77" s="27" t="s">
        <v>49</v>
      </c>
      <c r="C77" s="27"/>
      <c r="D77" s="27"/>
      <c r="E77" s="27"/>
      <c r="F77" s="27"/>
      <c r="G77" s="27"/>
      <c r="H77" s="27"/>
      <c r="I77" s="27"/>
      <c r="J77" s="27"/>
      <c r="K77" s="38"/>
      <c r="L77" s="27"/>
      <c r="M77" s="59">
        <v>3703</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8435</v>
      </c>
      <c r="L79" s="27"/>
      <c r="M79" s="60">
        <f>SUM(M75:M78)</f>
        <v>3703</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8435</v>
      </c>
      <c r="L81" s="27"/>
      <c r="M81" s="60">
        <f>M79+M80</f>
        <v>3703</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-182-5</f>
        <v>-187</v>
      </c>
      <c r="N85" s="27"/>
      <c r="O85" s="6"/>
    </row>
    <row r="86" spans="1:15" ht="15.75">
      <c r="A86" s="26">
        <v>4</v>
      </c>
      <c r="B86" s="27" t="s">
        <v>197</v>
      </c>
      <c r="C86" s="27"/>
      <c r="D86" s="27"/>
      <c r="E86" s="27"/>
      <c r="F86" s="27"/>
      <c r="G86" s="27"/>
      <c r="H86" s="27"/>
      <c r="I86" s="27"/>
      <c r="J86" s="27"/>
      <c r="K86" s="27"/>
      <c r="L86" s="27"/>
      <c r="M86" s="59">
        <v>-34</v>
      </c>
      <c r="N86" s="27"/>
      <c r="O86" s="6"/>
    </row>
    <row r="87" spans="1:15" ht="15.75">
      <c r="A87" s="26">
        <v>5</v>
      </c>
      <c r="B87" s="27" t="s">
        <v>58</v>
      </c>
      <c r="C87" s="27"/>
      <c r="D87" s="27"/>
      <c r="E87" s="27"/>
      <c r="F87" s="27"/>
      <c r="G87" s="27"/>
      <c r="H87" s="27"/>
      <c r="I87" s="27"/>
      <c r="J87" s="27"/>
      <c r="K87" s="27"/>
      <c r="L87" s="27"/>
      <c r="M87" s="59">
        <v>-2475</v>
      </c>
      <c r="N87" s="27"/>
      <c r="O87" s="6"/>
    </row>
    <row r="88" spans="1:15" ht="15.75">
      <c r="A88" s="26">
        <v>6</v>
      </c>
      <c r="B88" s="27" t="s">
        <v>59</v>
      </c>
      <c r="C88" s="27"/>
      <c r="D88" s="27"/>
      <c r="E88" s="27"/>
      <c r="F88" s="27"/>
      <c r="G88" s="27"/>
      <c r="H88" s="27"/>
      <c r="I88" s="27"/>
      <c r="J88" s="27"/>
      <c r="K88" s="27"/>
      <c r="L88" s="27"/>
      <c r="M88" s="59">
        <v>-333</v>
      </c>
      <c r="N88" s="27"/>
      <c r="O88" s="6"/>
    </row>
    <row r="89" spans="1:15" ht="15.75">
      <c r="A89" s="26">
        <v>7</v>
      </c>
      <c r="B89" s="27" t="s">
        <v>60</v>
      </c>
      <c r="C89" s="27"/>
      <c r="D89" s="27"/>
      <c r="E89" s="27"/>
      <c r="F89" s="27"/>
      <c r="G89" s="27"/>
      <c r="H89" s="27"/>
      <c r="I89" s="27"/>
      <c r="J89" s="27"/>
      <c r="K89" s="27"/>
      <c r="L89" s="27"/>
      <c r="M89" s="59">
        <v>-5</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-39-143</f>
        <v>-182</v>
      </c>
      <c r="N94" s="27"/>
      <c r="O94" s="6"/>
    </row>
    <row r="95" spans="1:15" ht="15.75">
      <c r="A95" s="26">
        <v>13</v>
      </c>
      <c r="B95" s="27" t="s">
        <v>65</v>
      </c>
      <c r="C95" s="27"/>
      <c r="D95" s="27"/>
      <c r="E95" s="27"/>
      <c r="F95" s="27"/>
      <c r="G95" s="27"/>
      <c r="H95" s="27"/>
      <c r="I95" s="27"/>
      <c r="J95" s="27"/>
      <c r="K95" s="27"/>
      <c r="L95" s="27"/>
      <c r="M95" s="59">
        <f>-M81-SUM(M83:M94)</f>
        <v>-485</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-15</v>
      </c>
      <c r="L97" s="38"/>
      <c r="M97" s="59"/>
      <c r="N97" s="27"/>
      <c r="O97" s="6"/>
    </row>
    <row r="98" spans="1:15" ht="15.75">
      <c r="A98" s="26"/>
      <c r="B98" s="27" t="s">
        <v>68</v>
      </c>
      <c r="C98" s="27"/>
      <c r="D98" s="27"/>
      <c r="E98" s="27"/>
      <c r="F98" s="27"/>
      <c r="G98" s="27"/>
      <c r="H98" s="27"/>
      <c r="I98" s="27"/>
      <c r="J98" s="27"/>
      <c r="K98" s="38">
        <f>-I143</f>
        <v>-3099</v>
      </c>
      <c r="L98" s="38"/>
      <c r="M98" s="59"/>
      <c r="N98" s="27"/>
      <c r="O98" s="6"/>
    </row>
    <row r="99" spans="1:15" ht="15.75">
      <c r="A99" s="26"/>
      <c r="B99" s="27" t="s">
        <v>69</v>
      </c>
      <c r="C99" s="27"/>
      <c r="D99" s="27"/>
      <c r="E99" s="27"/>
      <c r="F99" s="27"/>
      <c r="G99" s="27"/>
      <c r="H99" s="27"/>
      <c r="I99" s="27"/>
      <c r="J99" s="27"/>
      <c r="K99" s="38">
        <v>-5321</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-8435</v>
      </c>
      <c r="L102" s="38"/>
      <c r="M102" s="38">
        <f>SUM(M82:M101)</f>
        <v>-3703</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MAY 2004</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235409</v>
      </c>
      <c r="N136" s="27"/>
      <c r="O136" s="6"/>
    </row>
    <row r="137" spans="1:15" ht="15.75">
      <c r="A137" s="26"/>
      <c r="B137" s="27" t="s">
        <v>95</v>
      </c>
      <c r="C137" s="73"/>
      <c r="D137" s="73"/>
      <c r="E137" s="27"/>
      <c r="F137" s="27"/>
      <c r="G137" s="27"/>
      <c r="H137" s="27"/>
      <c r="I137" s="27"/>
      <c r="J137" s="27"/>
      <c r="K137" s="27"/>
      <c r="L137" s="27"/>
      <c r="M137" s="59">
        <f>M71</f>
        <v>235409</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+'Feb 04'!I144</f>
        <v>8328</v>
      </c>
      <c r="J142" s="27"/>
      <c r="K142" s="59">
        <f>+'Feb 04'!K144</f>
        <v>461</v>
      </c>
      <c r="L142" s="27"/>
      <c r="M142" s="59">
        <f>K142+I142</f>
        <v>8789</v>
      </c>
      <c r="N142" s="27"/>
      <c r="O142" s="6"/>
    </row>
    <row r="143" spans="1:15" ht="15.75">
      <c r="A143" s="26"/>
      <c r="B143" s="27" t="s">
        <v>99</v>
      </c>
      <c r="C143" s="27"/>
      <c r="D143" s="27"/>
      <c r="E143" s="27"/>
      <c r="F143" s="27"/>
      <c r="G143" s="27"/>
      <c r="H143" s="27"/>
      <c r="I143" s="38">
        <v>3099</v>
      </c>
      <c r="J143" s="27"/>
      <c r="K143" s="27">
        <v>15</v>
      </c>
      <c r="L143" s="27"/>
      <c r="M143" s="59">
        <f>K143+I143</f>
        <v>3114</v>
      </c>
      <c r="N143" s="27"/>
      <c r="O143" s="6"/>
    </row>
    <row r="144" spans="1:15" ht="15.75">
      <c r="A144" s="26"/>
      <c r="B144" s="27" t="s">
        <v>100</v>
      </c>
      <c r="C144" s="27"/>
      <c r="D144" s="27"/>
      <c r="E144" s="27"/>
      <c r="F144" s="27"/>
      <c r="G144" s="27"/>
      <c r="H144" s="27"/>
      <c r="I144" s="59">
        <f>I142+I143</f>
        <v>11427</v>
      </c>
      <c r="J144" s="27"/>
      <c r="K144" s="59">
        <f>K143+K142</f>
        <v>476</v>
      </c>
      <c r="L144" s="27"/>
      <c r="M144" s="59">
        <f>K144+I144</f>
        <v>11903</v>
      </c>
      <c r="N144" s="27"/>
      <c r="O144" s="6"/>
    </row>
    <row r="145" spans="1:15" ht="15.75">
      <c r="A145" s="26"/>
      <c r="B145" s="27" t="s">
        <v>101</v>
      </c>
      <c r="C145" s="27"/>
      <c r="D145" s="27"/>
      <c r="E145" s="27"/>
      <c r="F145" s="27"/>
      <c r="G145" s="27"/>
      <c r="H145" s="27"/>
      <c r="I145" s="59">
        <f>I141-I144-K144</f>
        <v>29097</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1.406060606060606</v>
      </c>
      <c r="N149" s="27" t="s">
        <v>196</v>
      </c>
      <c r="O149" s="6"/>
    </row>
    <row r="150" spans="1:15" ht="15.75">
      <c r="A150" s="26"/>
      <c r="B150" s="27" t="s">
        <v>104</v>
      </c>
      <c r="C150" s="27"/>
      <c r="D150" s="27"/>
      <c r="E150" s="27"/>
      <c r="F150" s="27"/>
      <c r="G150" s="27"/>
      <c r="H150" s="27"/>
      <c r="I150" s="27"/>
      <c r="J150" s="27"/>
      <c r="K150" s="27"/>
      <c r="L150" s="27"/>
      <c r="M150" s="75">
        <v>1.37</v>
      </c>
      <c r="N150" s="27" t="s">
        <v>196</v>
      </c>
      <c r="O150" s="6"/>
    </row>
    <row r="151" spans="1:15" ht="15.75">
      <c r="A151" s="26"/>
      <c r="B151" s="27" t="s">
        <v>105</v>
      </c>
      <c r="C151" s="27"/>
      <c r="D151" s="27"/>
      <c r="E151" s="27"/>
      <c r="F151" s="27"/>
      <c r="G151" s="27"/>
      <c r="H151" s="27"/>
      <c r="I151" s="27"/>
      <c r="J151" s="27"/>
      <c r="K151" s="27"/>
      <c r="L151" s="27"/>
      <c r="M151" s="65">
        <f>(M81+M83+M84+M85+M86+M87)/-M88</f>
        <v>3.018018018018018</v>
      </c>
      <c r="N151" s="27" t="s">
        <v>196</v>
      </c>
      <c r="O151" s="6"/>
    </row>
    <row r="152" spans="1:15" ht="15.75">
      <c r="A152" s="26"/>
      <c r="B152" s="27" t="s">
        <v>106</v>
      </c>
      <c r="C152" s="27"/>
      <c r="D152" s="27"/>
      <c r="E152" s="27"/>
      <c r="F152" s="27"/>
      <c r="G152" s="27"/>
      <c r="H152" s="27"/>
      <c r="I152" s="27"/>
      <c r="J152" s="27"/>
      <c r="K152" s="27"/>
      <c r="L152" s="27"/>
      <c r="M152" s="76">
        <v>2.78</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MAY 2004</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v>38135</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0.05986</v>
      </c>
      <c r="L162" s="27"/>
      <c r="M162" s="27"/>
      <c r="N162" s="27"/>
      <c r="O162" s="6"/>
    </row>
    <row r="163" spans="1:15" ht="15.75">
      <c r="A163" s="85"/>
      <c r="B163" s="86" t="s">
        <v>112</v>
      </c>
      <c r="C163" s="87"/>
      <c r="D163" s="87"/>
      <c r="E163" s="87"/>
      <c r="F163" s="87"/>
      <c r="G163" s="87"/>
      <c r="H163" s="72"/>
      <c r="I163" s="72"/>
      <c r="J163" s="72"/>
      <c r="K163" s="88">
        <f>+M33</f>
        <v>0.0469094870174</v>
      </c>
      <c r="L163" s="27"/>
      <c r="M163" s="27"/>
      <c r="N163" s="27"/>
      <c r="O163" s="6"/>
    </row>
    <row r="164" spans="1:15" ht="15.75">
      <c r="A164" s="85"/>
      <c r="B164" s="86" t="s">
        <v>113</v>
      </c>
      <c r="C164" s="87"/>
      <c r="D164" s="87"/>
      <c r="E164" s="87"/>
      <c r="F164" s="87"/>
      <c r="G164" s="87"/>
      <c r="H164" s="72"/>
      <c r="I164" s="72"/>
      <c r="J164" s="72"/>
      <c r="K164" s="88">
        <f>K162-K163</f>
        <v>0.012950512982599999</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90">
        <v>21.58</v>
      </c>
      <c r="L167" s="27" t="s">
        <v>188</v>
      </c>
      <c r="M167" s="27"/>
      <c r="N167" s="27"/>
      <c r="O167" s="6"/>
    </row>
    <row r="168" spans="1:15" ht="15.75">
      <c r="A168" s="85"/>
      <c r="B168" s="86" t="s">
        <v>117</v>
      </c>
      <c r="C168" s="87"/>
      <c r="D168" s="87"/>
      <c r="E168" s="87"/>
      <c r="F168" s="87"/>
      <c r="G168" s="87"/>
      <c r="H168" s="72"/>
      <c r="I168" s="72"/>
      <c r="J168" s="72"/>
      <c r="K168" s="90">
        <v>20.65</v>
      </c>
      <c r="L168" s="27" t="s">
        <v>188</v>
      </c>
      <c r="M168" s="27"/>
      <c r="N168" s="27"/>
      <c r="O168" s="6"/>
    </row>
    <row r="169" spans="1:15" ht="15.75">
      <c r="A169" s="85"/>
      <c r="B169" s="86" t="s">
        <v>118</v>
      </c>
      <c r="C169" s="87"/>
      <c r="D169" s="87"/>
      <c r="E169" s="87"/>
      <c r="F169" s="87"/>
      <c r="G169" s="87"/>
      <c r="H169" s="72"/>
      <c r="I169" s="72"/>
      <c r="J169" s="72"/>
      <c r="K169" s="88">
        <f>+G56/'Feb 04'!M56</f>
        <v>0.03503925559755743</v>
      </c>
      <c r="L169" s="27"/>
      <c r="M169" s="27"/>
      <c r="N169" s="27"/>
      <c r="O169" s="6"/>
    </row>
    <row r="170" spans="1:15" ht="15.75">
      <c r="A170" s="85"/>
      <c r="B170" s="86" t="s">
        <v>119</v>
      </c>
      <c r="C170" s="87"/>
      <c r="D170" s="87"/>
      <c r="E170" s="87"/>
      <c r="F170" s="87"/>
      <c r="G170" s="87"/>
      <c r="H170" s="72"/>
      <c r="I170" s="72"/>
      <c r="J170" s="72"/>
      <c r="K170" s="88">
        <v>0.1037</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7</v>
      </c>
      <c r="K173" s="97">
        <v>1165</v>
      </c>
      <c r="L173" s="27"/>
      <c r="M173" s="91"/>
      <c r="N173" s="98"/>
      <c r="O173" s="6"/>
    </row>
    <row r="174" spans="1:15" ht="15.75">
      <c r="A174" s="96"/>
      <c r="B174" s="86" t="s">
        <v>202</v>
      </c>
      <c r="C174" s="60"/>
      <c r="D174" s="60"/>
      <c r="E174" s="60"/>
      <c r="F174" s="60"/>
      <c r="G174" s="27"/>
      <c r="H174" s="27"/>
      <c r="I174" s="27"/>
      <c r="J174" s="34">
        <v>7</v>
      </c>
      <c r="K174" s="97">
        <v>1147</v>
      </c>
      <c r="L174" s="27"/>
      <c r="M174" s="91"/>
      <c r="N174" s="98"/>
      <c r="O174" s="6"/>
    </row>
    <row r="175" spans="1:15" ht="15.75">
      <c r="A175" s="96"/>
      <c r="B175" s="86" t="s">
        <v>122</v>
      </c>
      <c r="C175" s="60"/>
      <c r="D175" s="60"/>
      <c r="E175" s="60"/>
      <c r="F175" s="60"/>
      <c r="G175" s="27"/>
      <c r="H175" s="27"/>
      <c r="I175" s="27"/>
      <c r="J175" s="34">
        <v>0</v>
      </c>
      <c r="K175" s="97">
        <v>0</v>
      </c>
      <c r="L175" s="27"/>
      <c r="M175" s="91"/>
      <c r="N175" s="98"/>
      <c r="O175" s="6"/>
    </row>
    <row r="176" spans="1:15" ht="15.75">
      <c r="A176" s="96"/>
      <c r="B176" s="142" t="s">
        <v>123</v>
      </c>
      <c r="C176" s="60"/>
      <c r="D176" s="60"/>
      <c r="E176" s="60"/>
      <c r="F176" s="60"/>
      <c r="G176" s="27"/>
      <c r="H176" s="27"/>
      <c r="I176" s="27"/>
      <c r="J176" s="27"/>
      <c r="K176" s="97">
        <v>0</v>
      </c>
      <c r="L176" s="27"/>
      <c r="M176" s="91"/>
      <c r="N176" s="98"/>
      <c r="O176" s="6"/>
    </row>
    <row r="177" spans="1:15" ht="15.75">
      <c r="A177" s="96"/>
      <c r="B177" s="142" t="s">
        <v>124</v>
      </c>
      <c r="C177" s="60"/>
      <c r="D177" s="60"/>
      <c r="E177" s="60"/>
      <c r="F177" s="60"/>
      <c r="G177" s="27"/>
      <c r="H177" s="27"/>
      <c r="I177" s="27"/>
      <c r="J177" s="27"/>
      <c r="K177" s="70" t="s">
        <v>185</v>
      </c>
      <c r="L177" s="27"/>
      <c r="M177" s="91"/>
      <c r="N177" s="98"/>
      <c r="O177" s="6"/>
    </row>
    <row r="178" spans="1:15" ht="15.75">
      <c r="A178" s="99"/>
      <c r="B178" s="142" t="s">
        <v>125</v>
      </c>
      <c r="C178" s="60"/>
      <c r="D178" s="60"/>
      <c r="E178" s="86"/>
      <c r="F178" s="86"/>
      <c r="G178" s="86"/>
      <c r="H178" s="27"/>
      <c r="I178" s="27"/>
      <c r="J178" s="27"/>
      <c r="K178" s="97"/>
      <c r="L178" s="27"/>
      <c r="M178" s="91"/>
      <c r="N178" s="100"/>
      <c r="O178" s="6"/>
    </row>
    <row r="179" spans="1:15" ht="15.75">
      <c r="A179" s="99"/>
      <c r="B179" s="150" t="s">
        <v>126</v>
      </c>
      <c r="C179" s="60"/>
      <c r="D179" s="60"/>
      <c r="E179" s="86"/>
      <c r="F179" s="86"/>
      <c r="G179" s="86"/>
      <c r="H179" s="27"/>
      <c r="I179" s="27"/>
      <c r="J179" s="27">
        <v>0</v>
      </c>
      <c r="K179" s="97">
        <f>M128</f>
        <v>0</v>
      </c>
      <c r="L179" s="27"/>
      <c r="M179" s="91"/>
      <c r="N179" s="100"/>
      <c r="O179" s="6"/>
    </row>
    <row r="180" spans="1:15" ht="15.75">
      <c r="A180" s="96"/>
      <c r="B180" s="86" t="s">
        <v>127</v>
      </c>
      <c r="C180" s="60"/>
      <c r="D180" s="60"/>
      <c r="E180" s="60"/>
      <c r="F180" s="60"/>
      <c r="G180" s="60"/>
      <c r="H180" s="27"/>
      <c r="I180" s="27"/>
      <c r="J180" s="27">
        <v>0</v>
      </c>
      <c r="K180" s="97">
        <f>+'Feb 04'!K180+K179</f>
        <v>0</v>
      </c>
      <c r="L180" s="27"/>
      <c r="M180" s="91"/>
      <c r="N180" s="100"/>
      <c r="O180" s="6"/>
    </row>
    <row r="181" spans="1:15" ht="15.75">
      <c r="A181" s="96"/>
      <c r="B181" s="86" t="s">
        <v>128</v>
      </c>
      <c r="C181" s="60"/>
      <c r="D181" s="60"/>
      <c r="E181" s="60"/>
      <c r="F181" s="60"/>
      <c r="G181" s="60"/>
      <c r="H181" s="27"/>
      <c r="I181" s="27"/>
      <c r="J181" s="27"/>
      <c r="K181" s="97">
        <v>0</v>
      </c>
      <c r="L181" s="27"/>
      <c r="M181" s="91"/>
      <c r="N181" s="100"/>
      <c r="O181" s="6"/>
    </row>
    <row r="182" spans="1:15" ht="15.75">
      <c r="A182" s="99"/>
      <c r="B182" s="142" t="s">
        <v>129</v>
      </c>
      <c r="C182" s="60"/>
      <c r="D182" s="60"/>
      <c r="E182" s="86"/>
      <c r="F182" s="86"/>
      <c r="G182" s="86"/>
      <c r="H182" s="27"/>
      <c r="I182" s="27"/>
      <c r="J182" s="27"/>
      <c r="K182" s="97"/>
      <c r="L182" s="27"/>
      <c r="M182" s="91"/>
      <c r="N182" s="100"/>
      <c r="O182" s="6"/>
    </row>
    <row r="183" spans="1:15" ht="15.75">
      <c r="A183" s="99"/>
      <c r="B183" s="86" t="s">
        <v>130</v>
      </c>
      <c r="C183" s="60"/>
      <c r="D183" s="60"/>
      <c r="E183" s="86"/>
      <c r="F183" s="86"/>
      <c r="G183" s="86"/>
      <c r="H183" s="27"/>
      <c r="I183" s="27"/>
      <c r="J183" s="27">
        <v>0</v>
      </c>
      <c r="K183" s="97">
        <v>0</v>
      </c>
      <c r="L183" s="27"/>
      <c r="M183" s="91"/>
      <c r="N183" s="100"/>
      <c r="O183" s="6"/>
    </row>
    <row r="184" spans="1:15" ht="15.75">
      <c r="A184" s="96"/>
      <c r="B184" s="86" t="s">
        <v>131</v>
      </c>
      <c r="C184" s="60"/>
      <c r="D184" s="60"/>
      <c r="E184" s="101"/>
      <c r="F184" s="101"/>
      <c r="G184" s="102"/>
      <c r="H184" s="27"/>
      <c r="I184" s="27"/>
      <c r="J184" s="27"/>
      <c r="K184" s="70">
        <v>0</v>
      </c>
      <c r="L184" s="27"/>
      <c r="M184" s="91"/>
      <c r="N184" s="100"/>
      <c r="O184" s="6"/>
    </row>
    <row r="185" spans="1:15" ht="15.75">
      <c r="A185" s="96"/>
      <c r="B185" s="86" t="s">
        <v>132</v>
      </c>
      <c r="C185" s="60"/>
      <c r="D185" s="60"/>
      <c r="E185" s="101"/>
      <c r="F185" s="101"/>
      <c r="G185" s="102"/>
      <c r="H185" s="27"/>
      <c r="I185" s="27"/>
      <c r="J185" s="27"/>
      <c r="K185" s="70">
        <v>0</v>
      </c>
      <c r="L185" s="27"/>
      <c r="M185" s="91"/>
      <c r="N185" s="100"/>
      <c r="O185" s="6"/>
    </row>
    <row r="186" spans="1:15" ht="15.75">
      <c r="A186" s="96"/>
      <c r="B186" s="86" t="s">
        <v>133</v>
      </c>
      <c r="C186" s="60"/>
      <c r="D186" s="60"/>
      <c r="E186" s="103"/>
      <c r="F186" s="101"/>
      <c r="G186" s="102"/>
      <c r="H186" s="27"/>
      <c r="I186" s="27"/>
      <c r="J186" s="27"/>
      <c r="K186" s="104">
        <v>0</v>
      </c>
      <c r="L186" s="27"/>
      <c r="M186" s="91"/>
      <c r="N186" s="100"/>
      <c r="O186" s="6"/>
    </row>
    <row r="187" spans="1:15" ht="15.75">
      <c r="A187" s="96"/>
      <c r="B187" s="86"/>
      <c r="C187" s="60"/>
      <c r="D187" s="60"/>
      <c r="E187" s="103"/>
      <c r="F187" s="101"/>
      <c r="G187" s="102"/>
      <c r="H187" s="27"/>
      <c r="I187" s="27"/>
      <c r="J187" s="27"/>
      <c r="K187" s="104"/>
      <c r="L187" s="27"/>
      <c r="M187" s="91"/>
      <c r="N187" s="100"/>
      <c r="O187" s="6"/>
    </row>
    <row r="188" spans="1:15" ht="15.75">
      <c r="A188" s="7"/>
      <c r="B188" s="16" t="s">
        <v>134</v>
      </c>
      <c r="C188" s="93"/>
      <c r="D188" s="93"/>
      <c r="E188" s="94"/>
      <c r="F188" s="93"/>
      <c r="G188" s="94"/>
      <c r="H188" s="93"/>
      <c r="I188" s="95" t="s">
        <v>173</v>
      </c>
      <c r="J188" s="19" t="s">
        <v>174</v>
      </c>
      <c r="K188" s="95" t="s">
        <v>186</v>
      </c>
      <c r="L188" s="19" t="s">
        <v>174</v>
      </c>
      <c r="M188" s="9"/>
      <c r="N188" s="105"/>
      <c r="O188" s="6"/>
    </row>
    <row r="189" spans="1:15" ht="15.75">
      <c r="A189" s="26"/>
      <c r="B189" s="60" t="s">
        <v>135</v>
      </c>
      <c r="C189" s="106"/>
      <c r="D189" s="106"/>
      <c r="E189" s="60"/>
      <c r="F189" s="106"/>
      <c r="G189" s="27"/>
      <c r="H189" s="106"/>
      <c r="I189" s="60">
        <v>2339</v>
      </c>
      <c r="J189" s="108">
        <f>I189/I194</f>
        <v>0.9948957890259464</v>
      </c>
      <c r="K189" s="59">
        <v>233973</v>
      </c>
      <c r="L189" s="151">
        <f>K189/K194</f>
        <v>0.9938999783355776</v>
      </c>
      <c r="M189" s="91"/>
      <c r="N189" s="100"/>
      <c r="O189" s="6"/>
    </row>
    <row r="190" spans="1:15" ht="15.75">
      <c r="A190" s="26"/>
      <c r="B190" s="60" t="s">
        <v>136</v>
      </c>
      <c r="C190" s="106"/>
      <c r="D190" s="106"/>
      <c r="E190" s="60"/>
      <c r="F190" s="106"/>
      <c r="G190" s="27"/>
      <c r="H190" s="108"/>
      <c r="I190" s="60">
        <v>6</v>
      </c>
      <c r="J190" s="108">
        <f>I190/I194</f>
        <v>0.002552105487026797</v>
      </c>
      <c r="K190" s="59">
        <v>807</v>
      </c>
      <c r="L190" s="151">
        <f>K190/K194</f>
        <v>0.0034280762417749533</v>
      </c>
      <c r="M190" s="91"/>
      <c r="N190" s="100"/>
      <c r="O190" s="6"/>
    </row>
    <row r="191" spans="1:15" ht="15.75">
      <c r="A191" s="26"/>
      <c r="B191" s="60" t="s">
        <v>137</v>
      </c>
      <c r="C191" s="106"/>
      <c r="D191" s="106"/>
      <c r="E191" s="60"/>
      <c r="F191" s="106"/>
      <c r="G191" s="27"/>
      <c r="H191" s="108"/>
      <c r="I191" s="60">
        <v>0</v>
      </c>
      <c r="J191" s="108">
        <f>I191/I194</f>
        <v>0</v>
      </c>
      <c r="K191" s="59">
        <v>0</v>
      </c>
      <c r="L191" s="151">
        <f>K191/K194</f>
        <v>0</v>
      </c>
      <c r="M191" s="91"/>
      <c r="N191" s="100"/>
      <c r="O191" s="6"/>
    </row>
    <row r="192" spans="1:15" ht="15.75">
      <c r="A192" s="26"/>
      <c r="B192" s="60" t="s">
        <v>138</v>
      </c>
      <c r="C192" s="106"/>
      <c r="D192" s="106"/>
      <c r="E192" s="60"/>
      <c r="F192" s="106"/>
      <c r="G192" s="27"/>
      <c r="H192" s="108"/>
      <c r="I192" s="60">
        <v>6</v>
      </c>
      <c r="J192" s="108">
        <f>I192/I194</f>
        <v>0.002552105487026797</v>
      </c>
      <c r="K192" s="59">
        <v>629</v>
      </c>
      <c r="L192" s="151">
        <f>K192/K194</f>
        <v>0.0026719454226473926</v>
      </c>
      <c r="M192" s="91"/>
      <c r="N192" s="100"/>
      <c r="O192" s="6"/>
    </row>
    <row r="193" spans="1:15" ht="15.75">
      <c r="A193" s="26"/>
      <c r="B193" s="144"/>
      <c r="C193" s="106"/>
      <c r="D193" s="106"/>
      <c r="E193" s="60"/>
      <c r="F193" s="106"/>
      <c r="G193" s="27"/>
      <c r="H193" s="108"/>
      <c r="I193" s="60"/>
      <c r="J193" s="106"/>
      <c r="K193" s="59"/>
      <c r="L193" s="107"/>
      <c r="M193" s="91"/>
      <c r="N193" s="100"/>
      <c r="O193" s="6"/>
    </row>
    <row r="194" spans="1:15" ht="15.75">
      <c r="A194" s="26"/>
      <c r="B194" s="27"/>
      <c r="C194" s="27"/>
      <c r="D194" s="27"/>
      <c r="E194" s="27"/>
      <c r="F194" s="27"/>
      <c r="G194" s="27"/>
      <c r="H194" s="27"/>
      <c r="I194" s="38">
        <f>SUM(I189:I193)</f>
        <v>2351</v>
      </c>
      <c r="J194" s="109">
        <f>SUM(J189:J193)</f>
        <v>1</v>
      </c>
      <c r="K194" s="59">
        <f>SUM(K189:K193)</f>
        <v>235409</v>
      </c>
      <c r="L194" s="109">
        <f>SUM(L189:L193)</f>
        <v>1</v>
      </c>
      <c r="M194" s="27"/>
      <c r="N194" s="27"/>
      <c r="O194" s="6"/>
    </row>
    <row r="195" spans="1:15" ht="15.75">
      <c r="A195" s="26"/>
      <c r="B195" s="27"/>
      <c r="C195" s="27"/>
      <c r="D195" s="27"/>
      <c r="E195" s="27"/>
      <c r="F195" s="27"/>
      <c r="G195" s="27"/>
      <c r="H195" s="27"/>
      <c r="I195" s="38"/>
      <c r="J195" s="109"/>
      <c r="K195" s="59"/>
      <c r="L195" s="109"/>
      <c r="M195" s="27"/>
      <c r="N195" s="27"/>
      <c r="O195" s="6"/>
    </row>
    <row r="196" spans="1:15" ht="15.75">
      <c r="A196" s="7"/>
      <c r="B196" s="9"/>
      <c r="C196" s="9"/>
      <c r="D196" s="9"/>
      <c r="E196" s="9"/>
      <c r="F196" s="9"/>
      <c r="G196" s="9"/>
      <c r="H196" s="9"/>
      <c r="I196" s="61"/>
      <c r="J196" s="110"/>
      <c r="K196" s="111"/>
      <c r="L196" s="110"/>
      <c r="M196" s="9"/>
      <c r="N196" s="9"/>
      <c r="O196" s="6"/>
    </row>
    <row r="197" spans="1:15" ht="15.75">
      <c r="A197" s="148"/>
      <c r="B197" s="16" t="s">
        <v>139</v>
      </c>
      <c r="C197" s="113"/>
      <c r="D197" s="113"/>
      <c r="E197" s="19" t="s">
        <v>154</v>
      </c>
      <c r="F197" s="17"/>
      <c r="G197" s="16" t="s">
        <v>162</v>
      </c>
      <c r="H197" s="143"/>
      <c r="I197" s="143"/>
      <c r="J197" s="143"/>
      <c r="K197" s="143"/>
      <c r="L197" s="143"/>
      <c r="M197" s="143"/>
      <c r="N197" s="143"/>
      <c r="O197" s="6"/>
    </row>
    <row r="198" spans="1:15" ht="15.75">
      <c r="A198" s="148"/>
      <c r="B198" s="143"/>
      <c r="C198" s="143"/>
      <c r="D198" s="143"/>
      <c r="E198" s="9"/>
      <c r="F198" s="9"/>
      <c r="G198" s="9"/>
      <c r="H198" s="143"/>
      <c r="I198" s="143"/>
      <c r="J198" s="143"/>
      <c r="K198" s="143"/>
      <c r="L198" s="143"/>
      <c r="M198" s="143"/>
      <c r="N198" s="143"/>
      <c r="O198" s="6"/>
    </row>
    <row r="199" spans="1:15" ht="15.75">
      <c r="A199" s="148"/>
      <c r="B199" s="15" t="s">
        <v>140</v>
      </c>
      <c r="C199" s="114"/>
      <c r="D199" s="114"/>
      <c r="E199" s="115" t="s">
        <v>155</v>
      </c>
      <c r="F199" s="15"/>
      <c r="G199" s="15" t="s">
        <v>163</v>
      </c>
      <c r="H199" s="114"/>
      <c r="I199" s="114"/>
      <c r="J199" s="143"/>
      <c r="K199" s="143"/>
      <c r="L199" s="143"/>
      <c r="M199" s="143"/>
      <c r="N199" s="143"/>
      <c r="O199" s="6"/>
    </row>
    <row r="200" spans="1:15" ht="15.75">
      <c r="A200" s="148"/>
      <c r="B200" s="15" t="s">
        <v>141</v>
      </c>
      <c r="C200" s="114"/>
      <c r="D200" s="114"/>
      <c r="E200" s="115" t="s">
        <v>156</v>
      </c>
      <c r="F200" s="15"/>
      <c r="G200" s="15" t="s">
        <v>164</v>
      </c>
      <c r="H200" s="114"/>
      <c r="I200" s="114"/>
      <c r="J200" s="143"/>
      <c r="K200" s="143"/>
      <c r="L200" s="143"/>
      <c r="M200" s="143"/>
      <c r="N200" s="143"/>
      <c r="O200" s="6"/>
    </row>
    <row r="201" spans="1:15" ht="15.75">
      <c r="A201" s="148"/>
      <c r="B201" s="15"/>
      <c r="C201" s="114"/>
      <c r="D201" s="114"/>
      <c r="E201" s="115"/>
      <c r="F201" s="15"/>
      <c r="G201" s="15"/>
      <c r="H201" s="114"/>
      <c r="I201" s="114"/>
      <c r="J201" s="143"/>
      <c r="K201" s="143"/>
      <c r="L201" s="143"/>
      <c r="M201" s="143"/>
      <c r="N201" s="143"/>
      <c r="O201" s="6"/>
    </row>
    <row r="202" spans="1:15" ht="15.75">
      <c r="A202" s="148"/>
      <c r="B202" s="15"/>
      <c r="C202" s="114"/>
      <c r="D202" s="114"/>
      <c r="E202" s="115"/>
      <c r="F202" s="15"/>
      <c r="G202" s="15"/>
      <c r="H202" s="114"/>
      <c r="I202" s="114"/>
      <c r="J202" s="143"/>
      <c r="K202" s="143"/>
      <c r="L202" s="143"/>
      <c r="M202" s="143"/>
      <c r="N202" s="143"/>
      <c r="O202" s="6"/>
    </row>
    <row r="203" spans="1:15" ht="18.75">
      <c r="A203" s="148"/>
      <c r="B203" s="55" t="str">
        <f>B156</f>
        <v>PM5 INVESTOR REPORT QUARTER ENDING MAY 2004</v>
      </c>
      <c r="C203" s="114"/>
      <c r="D203" s="114"/>
      <c r="E203" s="115"/>
      <c r="F203" s="15"/>
      <c r="G203" s="15"/>
      <c r="H203" s="114"/>
      <c r="I203" s="114"/>
      <c r="J203" s="143"/>
      <c r="K203" s="143"/>
      <c r="L203" s="143"/>
      <c r="M203" s="143"/>
      <c r="N203" s="143"/>
      <c r="O203" s="6"/>
    </row>
    <row r="204" spans="1:14" ht="15">
      <c r="A204" s="116"/>
      <c r="B204" s="116"/>
      <c r="C204" s="116"/>
      <c r="D204" s="116"/>
      <c r="E204" s="116"/>
      <c r="F204" s="116"/>
      <c r="G204" s="116"/>
      <c r="H204" s="116"/>
      <c r="I204" s="116"/>
      <c r="J204" s="116"/>
      <c r="K204" s="116"/>
      <c r="L204" s="116"/>
      <c r="M204" s="116"/>
      <c r="N204" s="116"/>
    </row>
    <row r="206" ht="15">
      <c r="I206"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A1:O20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38253</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0.70818</v>
      </c>
      <c r="D30" s="39">
        <v>1</v>
      </c>
      <c r="E30" s="35">
        <f>E29*C30</f>
        <v>35409</v>
      </c>
      <c r="F30" s="36"/>
      <c r="G30" s="35">
        <v>176250</v>
      </c>
      <c r="H30" s="35"/>
      <c r="I30" s="35">
        <v>23750</v>
      </c>
      <c r="J30" s="35"/>
      <c r="K30" s="35"/>
      <c r="L30" s="145"/>
      <c r="M30" s="35">
        <f>I30+G30+E30</f>
        <v>235409</v>
      </c>
      <c r="N30" s="38"/>
      <c r="O30" s="6"/>
    </row>
    <row r="31" spans="1:15" ht="15.75">
      <c r="A31" s="31"/>
      <c r="B31" s="32" t="s">
        <v>19</v>
      </c>
      <c r="C31" s="39">
        <v>0.676303</v>
      </c>
      <c r="D31" s="39">
        <v>1</v>
      </c>
      <c r="E31" s="40">
        <f>E29*C31</f>
        <v>33815.15</v>
      </c>
      <c r="F31" s="41"/>
      <c r="G31" s="40">
        <v>176250</v>
      </c>
      <c r="H31" s="40"/>
      <c r="I31" s="40">
        <v>23750</v>
      </c>
      <c r="J31" s="40"/>
      <c r="K31" s="40"/>
      <c r="L31" s="42"/>
      <c r="M31" s="40">
        <f>I31+G31+E31</f>
        <v>233815.15</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0.0494</v>
      </c>
      <c r="F33" s="27"/>
      <c r="G33" s="44">
        <v>0.0504</v>
      </c>
      <c r="H33" s="45"/>
      <c r="I33" s="44">
        <v>0.0607</v>
      </c>
      <c r="J33" s="45"/>
      <c r="K33" s="44"/>
      <c r="L33" s="144"/>
      <c r="M33" s="45">
        <f>SUMPRODUCT(E33:I33,E30:I30)/M30</f>
        <v>0.0512887340755876</v>
      </c>
      <c r="N33" s="27"/>
      <c r="O33" s="6"/>
    </row>
    <row r="34" spans="1:15" ht="15.75">
      <c r="A34" s="26"/>
      <c r="B34" s="27" t="s">
        <v>22</v>
      </c>
      <c r="C34" s="27"/>
      <c r="D34" s="27"/>
      <c r="E34" s="44">
        <v>0.0450625</v>
      </c>
      <c r="F34" s="27"/>
      <c r="G34" s="44">
        <v>0.0460625</v>
      </c>
      <c r="H34" s="45"/>
      <c r="I34" s="44">
        <v>0.0563625</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44"/>
      <c r="H38" s="34"/>
      <c r="I38" s="4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0.1130601625257688</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38237</v>
      </c>
      <c r="N44" s="27"/>
      <c r="O44" s="6"/>
    </row>
    <row r="45" spans="1:15" ht="15.75">
      <c r="A45" s="26"/>
      <c r="B45" s="27" t="s">
        <v>31</v>
      </c>
      <c r="C45" s="27"/>
      <c r="D45" s="27"/>
      <c r="E45" s="27"/>
      <c r="F45" s="27"/>
      <c r="G45" s="27"/>
      <c r="H45" s="27"/>
      <c r="I45" s="27"/>
      <c r="J45" s="27">
        <f>M45-K45+1</f>
        <v>91</v>
      </c>
      <c r="K45" s="51">
        <v>38054</v>
      </c>
      <c r="L45" s="52"/>
      <c r="M45" s="51">
        <v>38144</v>
      </c>
      <c r="N45" s="27"/>
      <c r="O45" s="6"/>
    </row>
    <row r="46" spans="1:15" ht="15.75">
      <c r="A46" s="26"/>
      <c r="B46" s="27" t="s">
        <v>32</v>
      </c>
      <c r="C46" s="27"/>
      <c r="D46" s="27"/>
      <c r="E46" s="27"/>
      <c r="F46" s="27"/>
      <c r="G46" s="27"/>
      <c r="H46" s="27"/>
      <c r="I46" s="27"/>
      <c r="J46" s="27">
        <f>M46-K46+1</f>
        <v>92</v>
      </c>
      <c r="K46" s="51">
        <v>38145</v>
      </c>
      <c r="L46" s="52"/>
      <c r="M46" s="51">
        <v>38236</v>
      </c>
      <c r="N46" s="27"/>
      <c r="O46" s="6"/>
    </row>
    <row r="47" spans="1:15" ht="15.75">
      <c r="A47" s="26"/>
      <c r="B47" s="27" t="s">
        <v>33</v>
      </c>
      <c r="C47" s="27"/>
      <c r="D47" s="27"/>
      <c r="E47" s="27"/>
      <c r="F47" s="27"/>
      <c r="G47" s="27"/>
      <c r="H47" s="27"/>
      <c r="I47" s="27"/>
      <c r="J47" s="27"/>
      <c r="K47" s="51"/>
      <c r="L47" s="52"/>
      <c r="M47" s="51" t="s">
        <v>203</v>
      </c>
      <c r="N47" s="27"/>
      <c r="O47" s="6"/>
    </row>
    <row r="48" spans="1:15" ht="15.75">
      <c r="A48" s="26"/>
      <c r="B48" s="27" t="s">
        <v>34</v>
      </c>
      <c r="C48" s="27"/>
      <c r="D48" s="27"/>
      <c r="E48" s="27"/>
      <c r="F48" s="27"/>
      <c r="G48" s="27"/>
      <c r="H48" s="27"/>
      <c r="I48" s="27"/>
      <c r="J48" s="27"/>
      <c r="K48" s="51"/>
      <c r="L48" s="52"/>
      <c r="M48" s="51">
        <v>38232</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205</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235409</v>
      </c>
      <c r="F56" s="38"/>
      <c r="G56" s="38">
        <f>1594+10+16+3348</f>
        <v>4968</v>
      </c>
      <c r="H56" s="38"/>
      <c r="I56" s="38">
        <f>3348+16+10</f>
        <v>3374</v>
      </c>
      <c r="J56" s="38"/>
      <c r="K56" s="38">
        <v>0</v>
      </c>
      <c r="L56" s="38"/>
      <c r="M56" s="59">
        <f>E56-G56+I56-K56</f>
        <v>233815</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235409</v>
      </c>
      <c r="F59" s="38"/>
      <c r="G59" s="38">
        <f>SUM(G56:G58)</f>
        <v>4968</v>
      </c>
      <c r="H59" s="38"/>
      <c r="I59" s="38">
        <f>SUM(I56:I58)</f>
        <v>3374</v>
      </c>
      <c r="J59" s="38"/>
      <c r="K59" s="38">
        <f>SUM(K56:K58)</f>
        <v>0</v>
      </c>
      <c r="L59" s="38"/>
      <c r="M59" s="60">
        <f>SUM(M56:M58)</f>
        <v>233815</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235409</v>
      </c>
      <c r="F71" s="38"/>
      <c r="G71" s="60"/>
      <c r="H71" s="38"/>
      <c r="I71" s="60"/>
      <c r="J71" s="38"/>
      <c r="K71" s="60"/>
      <c r="L71" s="38"/>
      <c r="M71" s="60">
        <f>SUM(M59:M70)</f>
        <v>233815</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v>38230</v>
      </c>
      <c r="E76" s="63"/>
      <c r="F76" s="27"/>
      <c r="G76" s="27"/>
      <c r="H76" s="27"/>
      <c r="I76" s="27"/>
      <c r="J76" s="27"/>
      <c r="K76" s="38">
        <v>4968</v>
      </c>
      <c r="L76" s="27"/>
      <c r="M76" s="59"/>
      <c r="N76" s="27"/>
      <c r="O76" s="6"/>
    </row>
    <row r="77" spans="1:15" ht="15.75">
      <c r="A77" s="26"/>
      <c r="B77" s="27" t="s">
        <v>49</v>
      </c>
      <c r="C77" s="27"/>
      <c r="D77" s="27"/>
      <c r="E77" s="27"/>
      <c r="F77" s="27"/>
      <c r="G77" s="27"/>
      <c r="H77" s="27"/>
      <c r="I77" s="27"/>
      <c r="J77" s="27"/>
      <c r="K77" s="38"/>
      <c r="L77" s="27"/>
      <c r="M77" s="59">
        <v>3834</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4968</v>
      </c>
      <c r="L79" s="27"/>
      <c r="M79" s="60">
        <f>SUM(M75:M78)</f>
        <v>3834</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4968</v>
      </c>
      <c r="L81" s="27"/>
      <c r="M81" s="60">
        <f>M79+M80</f>
        <v>3834</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-178-5</f>
        <v>-183</v>
      </c>
      <c r="N85" s="27"/>
      <c r="O85" s="6"/>
    </row>
    <row r="86" spans="1:15" ht="15.75">
      <c r="A86" s="26">
        <v>4</v>
      </c>
      <c r="B86" s="27" t="s">
        <v>197</v>
      </c>
      <c r="C86" s="27"/>
      <c r="D86" s="27"/>
      <c r="E86" s="27"/>
      <c r="F86" s="27"/>
      <c r="G86" s="27"/>
      <c r="H86" s="27"/>
      <c r="I86" s="27"/>
      <c r="J86" s="27"/>
      <c r="K86" s="27"/>
      <c r="L86" s="27"/>
      <c r="M86" s="59">
        <v>-7</v>
      </c>
      <c r="N86" s="27"/>
      <c r="O86" s="6"/>
    </row>
    <row r="87" spans="1:15" ht="15.75">
      <c r="A87" s="26">
        <v>5</v>
      </c>
      <c r="B87" s="27" t="s">
        <v>58</v>
      </c>
      <c r="C87" s="27"/>
      <c r="D87" s="27"/>
      <c r="E87" s="27"/>
      <c r="F87" s="27"/>
      <c r="G87" s="27"/>
      <c r="H87" s="27"/>
      <c r="I87" s="27"/>
      <c r="J87" s="27"/>
      <c r="K87" s="27"/>
      <c r="L87" s="27"/>
      <c r="M87" s="59">
        <v>-2673</v>
      </c>
      <c r="N87" s="27"/>
      <c r="O87" s="6"/>
    </row>
    <row r="88" spans="1:15" ht="15.75">
      <c r="A88" s="26">
        <v>6</v>
      </c>
      <c r="B88" s="27" t="s">
        <v>59</v>
      </c>
      <c r="C88" s="27"/>
      <c r="D88" s="27"/>
      <c r="E88" s="27"/>
      <c r="F88" s="27"/>
      <c r="G88" s="27"/>
      <c r="H88" s="27"/>
      <c r="I88" s="27"/>
      <c r="J88" s="27"/>
      <c r="K88" s="27"/>
      <c r="L88" s="27"/>
      <c r="M88" s="59">
        <v>-362</v>
      </c>
      <c r="N88" s="27"/>
      <c r="O88" s="6"/>
    </row>
    <row r="89" spans="1:15" ht="15.75">
      <c r="A89" s="26">
        <v>7</v>
      </c>
      <c r="B89" s="27" t="s">
        <v>60</v>
      </c>
      <c r="C89" s="27"/>
      <c r="D89" s="27"/>
      <c r="E89" s="27"/>
      <c r="F89" s="27"/>
      <c r="G89" s="27"/>
      <c r="H89" s="27"/>
      <c r="I89" s="27"/>
      <c r="J89" s="27"/>
      <c r="K89" s="27"/>
      <c r="L89" s="27"/>
      <c r="M89" s="59">
        <v>-5</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-39-143</f>
        <v>-182</v>
      </c>
      <c r="N94" s="27"/>
      <c r="O94" s="6"/>
    </row>
    <row r="95" spans="1:15" ht="15.75">
      <c r="A95" s="26">
        <v>13</v>
      </c>
      <c r="B95" s="27" t="s">
        <v>65</v>
      </c>
      <c r="C95" s="27"/>
      <c r="D95" s="27"/>
      <c r="E95" s="27"/>
      <c r="F95" s="27"/>
      <c r="G95" s="27"/>
      <c r="H95" s="27"/>
      <c r="I95" s="27"/>
      <c r="J95" s="27"/>
      <c r="K95" s="27"/>
      <c r="L95" s="27"/>
      <c r="M95" s="59">
        <f>-M81-SUM(M83:M94)</f>
        <v>-420</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-16</v>
      </c>
      <c r="L97" s="38"/>
      <c r="M97" s="59"/>
      <c r="N97" s="27"/>
      <c r="O97" s="6"/>
    </row>
    <row r="98" spans="1:15" ht="15.75">
      <c r="A98" s="26"/>
      <c r="B98" s="27" t="s">
        <v>68</v>
      </c>
      <c r="C98" s="27"/>
      <c r="D98" s="27"/>
      <c r="E98" s="27"/>
      <c r="F98" s="27"/>
      <c r="G98" s="27"/>
      <c r="H98" s="27"/>
      <c r="I98" s="27"/>
      <c r="J98" s="27"/>
      <c r="K98" s="38">
        <f>-I143</f>
        <v>-3358</v>
      </c>
      <c r="L98" s="38"/>
      <c r="M98" s="59"/>
      <c r="N98" s="27"/>
      <c r="O98" s="6"/>
    </row>
    <row r="99" spans="1:15" ht="15.75">
      <c r="A99" s="26"/>
      <c r="B99" s="27" t="s">
        <v>69</v>
      </c>
      <c r="C99" s="27"/>
      <c r="D99" s="27"/>
      <c r="E99" s="27"/>
      <c r="F99" s="27"/>
      <c r="G99" s="27"/>
      <c r="H99" s="27"/>
      <c r="I99" s="27"/>
      <c r="J99" s="27"/>
      <c r="K99" s="38">
        <v>-1594</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-4968</v>
      </c>
      <c r="L102" s="38"/>
      <c r="M102" s="38">
        <f>SUM(M82:M101)</f>
        <v>-3834</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AUGUST 2004</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233815</v>
      </c>
      <c r="N136" s="27"/>
      <c r="O136" s="6"/>
    </row>
    <row r="137" spans="1:15" ht="15.75">
      <c r="A137" s="26"/>
      <c r="B137" s="27" t="s">
        <v>95</v>
      </c>
      <c r="C137" s="73"/>
      <c r="D137" s="73"/>
      <c r="E137" s="27"/>
      <c r="F137" s="27"/>
      <c r="G137" s="27"/>
      <c r="H137" s="27"/>
      <c r="I137" s="27"/>
      <c r="J137" s="27"/>
      <c r="K137" s="27"/>
      <c r="L137" s="27"/>
      <c r="M137" s="59">
        <f>M71</f>
        <v>233815</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+'May 04'!I144</f>
        <v>11427</v>
      </c>
      <c r="J142" s="27"/>
      <c r="K142" s="59">
        <f>+'May 04'!K144</f>
        <v>476</v>
      </c>
      <c r="L142" s="27"/>
      <c r="M142" s="59">
        <f>K142+I142</f>
        <v>11903</v>
      </c>
      <c r="N142" s="27"/>
      <c r="O142" s="6"/>
    </row>
    <row r="143" spans="1:15" ht="15.75">
      <c r="A143" s="26"/>
      <c r="B143" s="27" t="s">
        <v>99</v>
      </c>
      <c r="C143" s="27"/>
      <c r="D143" s="27"/>
      <c r="E143" s="27"/>
      <c r="F143" s="27"/>
      <c r="G143" s="27"/>
      <c r="H143" s="27"/>
      <c r="I143" s="38">
        <v>3358</v>
      </c>
      <c r="J143" s="27"/>
      <c r="K143" s="27">
        <v>16</v>
      </c>
      <c r="L143" s="27"/>
      <c r="M143" s="59">
        <f>K143+I143</f>
        <v>3374</v>
      </c>
      <c r="N143" s="27"/>
      <c r="O143" s="6"/>
    </row>
    <row r="144" spans="1:15" ht="15.75">
      <c r="A144" s="26"/>
      <c r="B144" s="27" t="s">
        <v>100</v>
      </c>
      <c r="C144" s="27"/>
      <c r="D144" s="27"/>
      <c r="E144" s="27"/>
      <c r="F144" s="27"/>
      <c r="G144" s="27"/>
      <c r="H144" s="27"/>
      <c r="I144" s="59">
        <f>I142+I143</f>
        <v>14785</v>
      </c>
      <c r="J144" s="27"/>
      <c r="K144" s="59">
        <f>K143+K142</f>
        <v>492</v>
      </c>
      <c r="L144" s="27"/>
      <c r="M144" s="59">
        <f>K144+I144</f>
        <v>15277</v>
      </c>
      <c r="N144" s="27"/>
      <c r="O144" s="6"/>
    </row>
    <row r="145" spans="1:15" ht="15.75">
      <c r="A145" s="26"/>
      <c r="B145" s="27" t="s">
        <v>101</v>
      </c>
      <c r="C145" s="27"/>
      <c r="D145" s="27"/>
      <c r="E145" s="27"/>
      <c r="F145" s="27"/>
      <c r="G145" s="27"/>
      <c r="H145" s="27"/>
      <c r="I145" s="59">
        <f>I141-I144-K144</f>
        <v>25723</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1.3625140291806959</v>
      </c>
      <c r="N149" s="27" t="s">
        <v>196</v>
      </c>
      <c r="O149" s="6"/>
    </row>
    <row r="150" spans="1:15" ht="15.75">
      <c r="A150" s="26"/>
      <c r="B150" s="27" t="s">
        <v>104</v>
      </c>
      <c r="C150" s="27"/>
      <c r="D150" s="27"/>
      <c r="E150" s="27"/>
      <c r="F150" s="27"/>
      <c r="G150" s="27"/>
      <c r="H150" s="27"/>
      <c r="I150" s="27"/>
      <c r="J150" s="27"/>
      <c r="K150" s="27"/>
      <c r="L150" s="27"/>
      <c r="M150" s="75">
        <v>1.37</v>
      </c>
      <c r="N150" s="27" t="s">
        <v>196</v>
      </c>
      <c r="O150" s="6"/>
    </row>
    <row r="151" spans="1:15" ht="15.75">
      <c r="A151" s="26"/>
      <c r="B151" s="27" t="s">
        <v>105</v>
      </c>
      <c r="C151" s="27"/>
      <c r="D151" s="27"/>
      <c r="E151" s="27"/>
      <c r="F151" s="27"/>
      <c r="G151" s="27"/>
      <c r="H151" s="27"/>
      <c r="I151" s="27"/>
      <c r="J151" s="27"/>
      <c r="K151" s="27"/>
      <c r="L151" s="27"/>
      <c r="M151" s="65">
        <f>(M81+M83+M84+M85+M86+M87)/-M88</f>
        <v>2.6767955801104972</v>
      </c>
      <c r="N151" s="27" t="s">
        <v>196</v>
      </c>
      <c r="O151" s="6"/>
    </row>
    <row r="152" spans="1:15" ht="15.75">
      <c r="A152" s="26"/>
      <c r="B152" s="27" t="s">
        <v>106</v>
      </c>
      <c r="C152" s="27"/>
      <c r="D152" s="27"/>
      <c r="E152" s="27"/>
      <c r="F152" s="27"/>
      <c r="G152" s="27"/>
      <c r="H152" s="27"/>
      <c r="I152" s="27"/>
      <c r="J152" s="27"/>
      <c r="K152" s="27"/>
      <c r="L152" s="27"/>
      <c r="M152" s="76">
        <v>2.75</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AUGUST 2004</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v>38230</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0.06397</v>
      </c>
      <c r="L162" s="27"/>
      <c r="M162" s="27"/>
      <c r="N162" s="27"/>
      <c r="O162" s="6"/>
    </row>
    <row r="163" spans="1:15" ht="15.75">
      <c r="A163" s="85"/>
      <c r="B163" s="86" t="s">
        <v>112</v>
      </c>
      <c r="C163" s="87"/>
      <c r="D163" s="87"/>
      <c r="E163" s="87"/>
      <c r="F163" s="87"/>
      <c r="G163" s="87"/>
      <c r="H163" s="72"/>
      <c r="I163" s="72"/>
      <c r="J163" s="72"/>
      <c r="K163" s="88">
        <f>+M33</f>
        <v>0.0512887340755876</v>
      </c>
      <c r="L163" s="27"/>
      <c r="M163" s="27"/>
      <c r="N163" s="27"/>
      <c r="O163" s="6"/>
    </row>
    <row r="164" spans="1:15" ht="15.75">
      <c r="A164" s="85"/>
      <c r="B164" s="86" t="s">
        <v>113</v>
      </c>
      <c r="C164" s="87"/>
      <c r="D164" s="87"/>
      <c r="E164" s="87"/>
      <c r="F164" s="87"/>
      <c r="G164" s="87"/>
      <c r="H164" s="72"/>
      <c r="I164" s="72"/>
      <c r="J164" s="72"/>
      <c r="K164" s="88">
        <f>K162-K163</f>
        <v>0.012681265924412398</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90">
        <v>21.58</v>
      </c>
      <c r="L167" s="27" t="s">
        <v>188</v>
      </c>
      <c r="M167" s="27"/>
      <c r="N167" s="27"/>
      <c r="O167" s="6"/>
    </row>
    <row r="168" spans="1:15" ht="15.75">
      <c r="A168" s="85"/>
      <c r="B168" s="86" t="s">
        <v>117</v>
      </c>
      <c r="C168" s="87"/>
      <c r="D168" s="87"/>
      <c r="E168" s="87"/>
      <c r="F168" s="87"/>
      <c r="G168" s="87"/>
      <c r="H168" s="72"/>
      <c r="I168" s="72"/>
      <c r="J168" s="72"/>
      <c r="K168" s="90">
        <v>20.44</v>
      </c>
      <c r="L168" s="27" t="s">
        <v>188</v>
      </c>
      <c r="M168" s="27"/>
      <c r="N168" s="27"/>
      <c r="O168" s="6"/>
    </row>
    <row r="169" spans="1:15" ht="15.75">
      <c r="A169" s="85"/>
      <c r="B169" s="86" t="s">
        <v>118</v>
      </c>
      <c r="C169" s="87"/>
      <c r="D169" s="87"/>
      <c r="E169" s="87"/>
      <c r="F169" s="87"/>
      <c r="G169" s="87"/>
      <c r="H169" s="72"/>
      <c r="I169" s="72"/>
      <c r="J169" s="72"/>
      <c r="K169" s="88">
        <f>+G56/'May 04'!M56</f>
        <v>0.02110369612036923</v>
      </c>
      <c r="L169" s="27"/>
      <c r="M169" s="27"/>
      <c r="N169" s="27"/>
      <c r="O169" s="6"/>
    </row>
    <row r="170" spans="1:15" ht="15.75">
      <c r="A170" s="85"/>
      <c r="B170" s="86" t="s">
        <v>119</v>
      </c>
      <c r="C170" s="87"/>
      <c r="D170" s="87"/>
      <c r="E170" s="87"/>
      <c r="F170" s="87"/>
      <c r="G170" s="87"/>
      <c r="H170" s="72"/>
      <c r="I170" s="72"/>
      <c r="J170" s="72"/>
      <c r="K170" s="88">
        <v>0.0994</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5</v>
      </c>
      <c r="K173" s="97">
        <v>1092</v>
      </c>
      <c r="L173" s="27"/>
      <c r="M173" s="91"/>
      <c r="N173" s="98"/>
      <c r="O173" s="6"/>
    </row>
    <row r="174" spans="1:15" ht="15.75">
      <c r="A174" s="96"/>
      <c r="B174" s="86" t="s">
        <v>202</v>
      </c>
      <c r="C174" s="60"/>
      <c r="D174" s="60"/>
      <c r="E174" s="60"/>
      <c r="F174" s="60"/>
      <c r="G174" s="27"/>
      <c r="H174" s="27"/>
      <c r="I174" s="27"/>
      <c r="J174" s="34">
        <v>6</v>
      </c>
      <c r="K174" s="97">
        <v>978</v>
      </c>
      <c r="L174" s="27"/>
      <c r="M174" s="91"/>
      <c r="N174" s="98"/>
      <c r="O174" s="6"/>
    </row>
    <row r="175" spans="1:15" ht="15.75">
      <c r="A175" s="96"/>
      <c r="B175" s="86" t="s">
        <v>122</v>
      </c>
      <c r="C175" s="60"/>
      <c r="D175" s="60"/>
      <c r="E175" s="60"/>
      <c r="F175" s="60"/>
      <c r="G175" s="27"/>
      <c r="H175" s="27"/>
      <c r="I175" s="27"/>
      <c r="J175" s="34">
        <v>0</v>
      </c>
      <c r="K175" s="97">
        <v>0</v>
      </c>
      <c r="L175" s="27"/>
      <c r="M175" s="91"/>
      <c r="N175" s="98"/>
      <c r="O175" s="6"/>
    </row>
    <row r="176" spans="1:15" ht="15.75">
      <c r="A176" s="96"/>
      <c r="B176" s="142" t="s">
        <v>123</v>
      </c>
      <c r="C176" s="60"/>
      <c r="D176" s="60"/>
      <c r="E176" s="60"/>
      <c r="F176" s="60"/>
      <c r="G176" s="27"/>
      <c r="H176" s="27"/>
      <c r="I176" s="27"/>
      <c r="J176" s="27"/>
      <c r="K176" s="97">
        <v>0</v>
      </c>
      <c r="L176" s="27"/>
      <c r="M176" s="91"/>
      <c r="N176" s="98"/>
      <c r="O176" s="6"/>
    </row>
    <row r="177" spans="1:15" ht="15.75">
      <c r="A177" s="96"/>
      <c r="B177" s="142" t="s">
        <v>124</v>
      </c>
      <c r="C177" s="60"/>
      <c r="D177" s="60"/>
      <c r="E177" s="60"/>
      <c r="F177" s="60"/>
      <c r="G177" s="27"/>
      <c r="H177" s="27"/>
      <c r="I177" s="27"/>
      <c r="J177" s="27"/>
      <c r="K177" s="70" t="s">
        <v>185</v>
      </c>
      <c r="L177" s="27"/>
      <c r="M177" s="91"/>
      <c r="N177" s="98"/>
      <c r="O177" s="6"/>
    </row>
    <row r="178" spans="1:15" ht="15.75">
      <c r="A178" s="99"/>
      <c r="B178" s="142" t="s">
        <v>125</v>
      </c>
      <c r="C178" s="60"/>
      <c r="D178" s="60"/>
      <c r="E178" s="86"/>
      <c r="F178" s="86"/>
      <c r="G178" s="86"/>
      <c r="H178" s="27"/>
      <c r="I178" s="27"/>
      <c r="J178" s="27"/>
      <c r="K178" s="97"/>
      <c r="L178" s="27"/>
      <c r="M178" s="91"/>
      <c r="N178" s="100"/>
      <c r="O178" s="6"/>
    </row>
    <row r="179" spans="1:15" ht="15.75">
      <c r="A179" s="99"/>
      <c r="B179" s="150" t="s">
        <v>126</v>
      </c>
      <c r="C179" s="60"/>
      <c r="D179" s="60"/>
      <c r="E179" s="86"/>
      <c r="F179" s="86"/>
      <c r="G179" s="86"/>
      <c r="H179" s="27"/>
      <c r="I179" s="27"/>
      <c r="J179" s="27">
        <v>0</v>
      </c>
      <c r="K179" s="97">
        <f>M128</f>
        <v>0</v>
      </c>
      <c r="L179" s="27"/>
      <c r="M179" s="91"/>
      <c r="N179" s="100"/>
      <c r="O179" s="6"/>
    </row>
    <row r="180" spans="1:15" ht="15.75">
      <c r="A180" s="96"/>
      <c r="B180" s="86" t="s">
        <v>127</v>
      </c>
      <c r="C180" s="60"/>
      <c r="D180" s="60"/>
      <c r="E180" s="60"/>
      <c r="F180" s="60"/>
      <c r="G180" s="60"/>
      <c r="H180" s="27"/>
      <c r="I180" s="27"/>
      <c r="J180" s="27">
        <v>0</v>
      </c>
      <c r="K180" s="97">
        <f>+'May 04'!K180+K179</f>
        <v>0</v>
      </c>
      <c r="L180" s="27"/>
      <c r="M180" s="91"/>
      <c r="N180" s="100"/>
      <c r="O180" s="6"/>
    </row>
    <row r="181" spans="1:15" ht="15.75">
      <c r="A181" s="96"/>
      <c r="B181" s="86" t="s">
        <v>128</v>
      </c>
      <c r="C181" s="60"/>
      <c r="D181" s="60"/>
      <c r="E181" s="60"/>
      <c r="F181" s="60"/>
      <c r="G181" s="60"/>
      <c r="H181" s="27"/>
      <c r="I181" s="27"/>
      <c r="J181" s="27"/>
      <c r="K181" s="97">
        <v>0</v>
      </c>
      <c r="L181" s="27"/>
      <c r="M181" s="91"/>
      <c r="N181" s="100"/>
      <c r="O181" s="6"/>
    </row>
    <row r="182" spans="1:15" ht="15.75">
      <c r="A182" s="99"/>
      <c r="B182" s="142" t="s">
        <v>129</v>
      </c>
      <c r="C182" s="60"/>
      <c r="D182" s="60"/>
      <c r="E182" s="86"/>
      <c r="F182" s="86"/>
      <c r="G182" s="86"/>
      <c r="H182" s="27"/>
      <c r="I182" s="27"/>
      <c r="J182" s="27"/>
      <c r="K182" s="97"/>
      <c r="L182" s="27"/>
      <c r="M182" s="91"/>
      <c r="N182" s="100"/>
      <c r="O182" s="6"/>
    </row>
    <row r="183" spans="1:15" ht="15.75">
      <c r="A183" s="99"/>
      <c r="B183" s="86" t="s">
        <v>130</v>
      </c>
      <c r="C183" s="60"/>
      <c r="D183" s="60"/>
      <c r="E183" s="86"/>
      <c r="F183" s="86"/>
      <c r="G183" s="86"/>
      <c r="H183" s="27"/>
      <c r="I183" s="27"/>
      <c r="J183" s="27">
        <v>0</v>
      </c>
      <c r="K183" s="97">
        <v>0</v>
      </c>
      <c r="L183" s="27"/>
      <c r="M183" s="91"/>
      <c r="N183" s="100"/>
      <c r="O183" s="6"/>
    </row>
    <row r="184" spans="1:15" ht="15.75">
      <c r="A184" s="96"/>
      <c r="B184" s="86" t="s">
        <v>131</v>
      </c>
      <c r="C184" s="60"/>
      <c r="D184" s="60"/>
      <c r="E184" s="101"/>
      <c r="F184" s="101"/>
      <c r="G184" s="102"/>
      <c r="H184" s="27"/>
      <c r="I184" s="27"/>
      <c r="J184" s="27"/>
      <c r="K184" s="70">
        <v>0</v>
      </c>
      <c r="L184" s="27"/>
      <c r="M184" s="91"/>
      <c r="N184" s="100"/>
      <c r="O184" s="6"/>
    </row>
    <row r="185" spans="1:15" ht="15.75">
      <c r="A185" s="96"/>
      <c r="B185" s="86" t="s">
        <v>132</v>
      </c>
      <c r="C185" s="60"/>
      <c r="D185" s="60"/>
      <c r="E185" s="101"/>
      <c r="F185" s="101"/>
      <c r="G185" s="102"/>
      <c r="H185" s="27"/>
      <c r="I185" s="27"/>
      <c r="J185" s="27"/>
      <c r="K185" s="70">
        <v>0</v>
      </c>
      <c r="L185" s="27"/>
      <c r="M185" s="91"/>
      <c r="N185" s="100"/>
      <c r="O185" s="6"/>
    </row>
    <row r="186" spans="1:15" ht="15.75">
      <c r="A186" s="96"/>
      <c r="B186" s="86" t="s">
        <v>133</v>
      </c>
      <c r="C186" s="60"/>
      <c r="D186" s="60"/>
      <c r="E186" s="103"/>
      <c r="F186" s="101"/>
      <c r="G186" s="102"/>
      <c r="H186" s="27"/>
      <c r="I186" s="27"/>
      <c r="J186" s="27"/>
      <c r="K186" s="104">
        <v>0</v>
      </c>
      <c r="L186" s="27"/>
      <c r="M186" s="91"/>
      <c r="N186" s="100"/>
      <c r="O186" s="6"/>
    </row>
    <row r="187" spans="1:15" ht="15.75">
      <c r="A187" s="96"/>
      <c r="B187" s="86"/>
      <c r="C187" s="60"/>
      <c r="D187" s="60"/>
      <c r="E187" s="103"/>
      <c r="F187" s="101"/>
      <c r="G187" s="102"/>
      <c r="H187" s="27"/>
      <c r="I187" s="27"/>
      <c r="J187" s="27"/>
      <c r="K187" s="104"/>
      <c r="L187" s="27"/>
      <c r="M187" s="91"/>
      <c r="N187" s="100"/>
      <c r="O187" s="6"/>
    </row>
    <row r="188" spans="1:15" ht="15.75">
      <c r="A188" s="7"/>
      <c r="B188" s="16" t="s">
        <v>134</v>
      </c>
      <c r="C188" s="93"/>
      <c r="D188" s="93"/>
      <c r="E188" s="94"/>
      <c r="F188" s="93"/>
      <c r="G188" s="94"/>
      <c r="H188" s="93"/>
      <c r="I188" s="95" t="s">
        <v>173</v>
      </c>
      <c r="J188" s="19" t="s">
        <v>174</v>
      </c>
      <c r="K188" s="95" t="s">
        <v>186</v>
      </c>
      <c r="L188" s="19" t="s">
        <v>174</v>
      </c>
      <c r="M188" s="9"/>
      <c r="N188" s="105"/>
      <c r="O188" s="6"/>
    </row>
    <row r="189" spans="1:15" ht="15.75">
      <c r="A189" s="26"/>
      <c r="B189" s="60" t="s">
        <v>135</v>
      </c>
      <c r="C189" s="106"/>
      <c r="D189" s="106"/>
      <c r="E189" s="60"/>
      <c r="F189" s="106"/>
      <c r="G189" s="27"/>
      <c r="H189" s="106"/>
      <c r="I189" s="60">
        <v>2283</v>
      </c>
      <c r="J189" s="108">
        <f>I189/I194</f>
        <v>0.9921773142112125</v>
      </c>
      <c r="K189" s="59">
        <v>230774</v>
      </c>
      <c r="L189" s="151">
        <f>K189/K194</f>
        <v>0.9869939909757715</v>
      </c>
      <c r="M189" s="91"/>
      <c r="N189" s="100"/>
      <c r="O189" s="6"/>
    </row>
    <row r="190" spans="1:15" ht="15.75">
      <c r="A190" s="26"/>
      <c r="B190" s="60" t="s">
        <v>136</v>
      </c>
      <c r="C190" s="106"/>
      <c r="D190" s="106"/>
      <c r="E190" s="60"/>
      <c r="F190" s="106"/>
      <c r="G190" s="27"/>
      <c r="H190" s="108"/>
      <c r="I190" s="60">
        <v>12</v>
      </c>
      <c r="J190" s="108">
        <f>I190/I194</f>
        <v>0.005215123859191656</v>
      </c>
      <c r="K190" s="59">
        <v>1934</v>
      </c>
      <c r="L190" s="151">
        <f>K190/K194</f>
        <v>0.008271496696105895</v>
      </c>
      <c r="M190" s="91"/>
      <c r="N190" s="100"/>
      <c r="O190" s="6"/>
    </row>
    <row r="191" spans="1:15" ht="15.75">
      <c r="A191" s="26"/>
      <c r="B191" s="60" t="s">
        <v>137</v>
      </c>
      <c r="C191" s="106"/>
      <c r="D191" s="106"/>
      <c r="E191" s="60"/>
      <c r="F191" s="106"/>
      <c r="G191" s="27"/>
      <c r="H191" s="108"/>
      <c r="I191" s="60">
        <v>0</v>
      </c>
      <c r="J191" s="108">
        <f>I191/I194</f>
        <v>0</v>
      </c>
      <c r="K191" s="59">
        <v>0</v>
      </c>
      <c r="L191" s="151">
        <f>K191/K194</f>
        <v>0</v>
      </c>
      <c r="M191" s="91"/>
      <c r="N191" s="100"/>
      <c r="O191" s="6"/>
    </row>
    <row r="192" spans="1:15" ht="15.75">
      <c r="A192" s="26"/>
      <c r="B192" s="60" t="s">
        <v>138</v>
      </c>
      <c r="C192" s="106"/>
      <c r="D192" s="106"/>
      <c r="E192" s="60"/>
      <c r="F192" s="106"/>
      <c r="G192" s="27"/>
      <c r="H192" s="108"/>
      <c r="I192" s="60">
        <v>6</v>
      </c>
      <c r="J192" s="108">
        <f>I192/I194</f>
        <v>0.002607561929595828</v>
      </c>
      <c r="K192" s="59">
        <v>1107</v>
      </c>
      <c r="L192" s="151">
        <f>K192/K194</f>
        <v>0.004734512328122661</v>
      </c>
      <c r="M192" s="91"/>
      <c r="N192" s="100"/>
      <c r="O192" s="6"/>
    </row>
    <row r="193" spans="1:15" ht="15.75">
      <c r="A193" s="26"/>
      <c r="B193" s="144"/>
      <c r="C193" s="106"/>
      <c r="D193" s="106"/>
      <c r="E193" s="60"/>
      <c r="F193" s="106"/>
      <c r="G193" s="27"/>
      <c r="H193" s="108"/>
      <c r="I193" s="60"/>
      <c r="J193" s="106"/>
      <c r="K193" s="59"/>
      <c r="L193" s="107"/>
      <c r="M193" s="91"/>
      <c r="N193" s="100"/>
      <c r="O193" s="6"/>
    </row>
    <row r="194" spans="1:15" ht="15.75">
      <c r="A194" s="26"/>
      <c r="B194" s="27"/>
      <c r="C194" s="27"/>
      <c r="D194" s="27"/>
      <c r="E194" s="27"/>
      <c r="F194" s="27"/>
      <c r="G194" s="27"/>
      <c r="H194" s="27"/>
      <c r="I194" s="38">
        <f>SUM(I189:I193)</f>
        <v>2301</v>
      </c>
      <c r="J194" s="109">
        <f>SUM(J189:J193)</f>
        <v>1</v>
      </c>
      <c r="K194" s="59">
        <f>SUM(K189:K193)</f>
        <v>233815</v>
      </c>
      <c r="L194" s="109">
        <f>SUM(L189:L193)</f>
        <v>1</v>
      </c>
      <c r="M194" s="27"/>
      <c r="N194" s="27"/>
      <c r="O194" s="6"/>
    </row>
    <row r="195" spans="1:15" ht="15.75">
      <c r="A195" s="26"/>
      <c r="B195" s="27"/>
      <c r="C195" s="27"/>
      <c r="D195" s="27"/>
      <c r="E195" s="27"/>
      <c r="F195" s="27"/>
      <c r="G195" s="27"/>
      <c r="H195" s="27"/>
      <c r="I195" s="38"/>
      <c r="J195" s="109"/>
      <c r="K195" s="59"/>
      <c r="L195" s="109"/>
      <c r="M195" s="27"/>
      <c r="N195" s="27"/>
      <c r="O195" s="6"/>
    </row>
    <row r="196" spans="1:15" ht="15.75">
      <c r="A196" s="7"/>
      <c r="B196" s="9"/>
      <c r="C196" s="9"/>
      <c r="D196" s="9"/>
      <c r="E196" s="9"/>
      <c r="F196" s="9"/>
      <c r="G196" s="9"/>
      <c r="H196" s="9"/>
      <c r="I196" s="61"/>
      <c r="J196" s="110"/>
      <c r="K196" s="111"/>
      <c r="L196" s="110"/>
      <c r="M196" s="9"/>
      <c r="N196" s="9"/>
      <c r="O196" s="6"/>
    </row>
    <row r="197" spans="1:15" ht="15.75">
      <c r="A197" s="148"/>
      <c r="B197" s="16" t="s">
        <v>139</v>
      </c>
      <c r="C197" s="113"/>
      <c r="D197" s="113"/>
      <c r="E197" s="19" t="s">
        <v>154</v>
      </c>
      <c r="F197" s="17"/>
      <c r="G197" s="16" t="s">
        <v>162</v>
      </c>
      <c r="H197" s="143"/>
      <c r="I197" s="143"/>
      <c r="J197" s="143"/>
      <c r="K197" s="143"/>
      <c r="L197" s="143"/>
      <c r="M197" s="143"/>
      <c r="N197" s="143"/>
      <c r="O197" s="6"/>
    </row>
    <row r="198" spans="1:15" ht="15.75">
      <c r="A198" s="148"/>
      <c r="B198" s="143"/>
      <c r="C198" s="143"/>
      <c r="D198" s="143"/>
      <c r="E198" s="9"/>
      <c r="F198" s="9"/>
      <c r="G198" s="9"/>
      <c r="H198" s="143"/>
      <c r="I198" s="143"/>
      <c r="J198" s="143"/>
      <c r="K198" s="143"/>
      <c r="L198" s="143"/>
      <c r="M198" s="143"/>
      <c r="N198" s="143"/>
      <c r="O198" s="6"/>
    </row>
    <row r="199" spans="1:15" ht="15.75">
      <c r="A199" s="148"/>
      <c r="B199" s="15" t="s">
        <v>140</v>
      </c>
      <c r="C199" s="114"/>
      <c r="D199" s="114"/>
      <c r="E199" s="115" t="s">
        <v>155</v>
      </c>
      <c r="F199" s="15"/>
      <c r="G199" s="15" t="s">
        <v>163</v>
      </c>
      <c r="H199" s="114"/>
      <c r="I199" s="114"/>
      <c r="J199" s="143"/>
      <c r="K199" s="143"/>
      <c r="L199" s="143"/>
      <c r="M199" s="143"/>
      <c r="N199" s="143"/>
      <c r="O199" s="6"/>
    </row>
    <row r="200" spans="1:15" ht="15.75">
      <c r="A200" s="148"/>
      <c r="B200" s="15" t="s">
        <v>141</v>
      </c>
      <c r="C200" s="114"/>
      <c r="D200" s="114"/>
      <c r="E200" s="115" t="s">
        <v>156</v>
      </c>
      <c r="F200" s="15"/>
      <c r="G200" s="15" t="s">
        <v>164</v>
      </c>
      <c r="H200" s="114"/>
      <c r="I200" s="114"/>
      <c r="J200" s="143"/>
      <c r="K200" s="143"/>
      <c r="L200" s="143"/>
      <c r="M200" s="143"/>
      <c r="N200" s="143"/>
      <c r="O200" s="6"/>
    </row>
    <row r="201" spans="1:15" ht="15.75">
      <c r="A201" s="148"/>
      <c r="B201" s="15"/>
      <c r="C201" s="114"/>
      <c r="D201" s="114"/>
      <c r="E201" s="115"/>
      <c r="F201" s="15"/>
      <c r="G201" s="15"/>
      <c r="H201" s="114"/>
      <c r="I201" s="114"/>
      <c r="J201" s="143"/>
      <c r="K201" s="143"/>
      <c r="L201" s="143"/>
      <c r="M201" s="143"/>
      <c r="N201" s="143"/>
      <c r="O201" s="6"/>
    </row>
    <row r="202" spans="1:15" ht="15.75">
      <c r="A202" s="148"/>
      <c r="B202" s="15"/>
      <c r="C202" s="114"/>
      <c r="D202" s="114"/>
      <c r="E202" s="115"/>
      <c r="F202" s="15"/>
      <c r="G202" s="15"/>
      <c r="H202" s="114"/>
      <c r="I202" s="114"/>
      <c r="J202" s="143"/>
      <c r="K202" s="143"/>
      <c r="L202" s="143"/>
      <c r="M202" s="143"/>
      <c r="N202" s="143"/>
      <c r="O202" s="6"/>
    </row>
    <row r="203" spans="1:15" ht="18.75">
      <c r="A203" s="148"/>
      <c r="B203" s="55" t="str">
        <f>B156</f>
        <v>PM5 INVESTOR REPORT QUARTER ENDING AUGUST 2004</v>
      </c>
      <c r="C203" s="114"/>
      <c r="D203" s="114"/>
      <c r="E203" s="115"/>
      <c r="F203" s="15"/>
      <c r="G203" s="15"/>
      <c r="H203" s="114"/>
      <c r="I203" s="114"/>
      <c r="J203" s="143"/>
      <c r="K203" s="143"/>
      <c r="L203" s="143"/>
      <c r="M203" s="143"/>
      <c r="N203" s="143"/>
      <c r="O203" s="6"/>
    </row>
    <row r="204" spans="1:14" ht="15">
      <c r="A204" s="116"/>
      <c r="B204" s="116"/>
      <c r="C204" s="116"/>
      <c r="D204" s="116"/>
      <c r="E204" s="116"/>
      <c r="F204" s="116"/>
      <c r="G204" s="116"/>
      <c r="H204" s="116"/>
      <c r="I204" s="116"/>
      <c r="J204" s="116"/>
      <c r="K204" s="116"/>
      <c r="L204" s="116"/>
      <c r="M204" s="116"/>
      <c r="N204" s="116"/>
    </row>
    <row r="206" ht="15">
      <c r="I206"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6.xml><?xml version="1.0" encoding="utf-8"?>
<worksheet xmlns="http://schemas.openxmlformats.org/spreadsheetml/2006/main" xmlns:r="http://schemas.openxmlformats.org/officeDocument/2006/relationships">
  <sheetPr>
    <tabColor indexed="54"/>
  </sheetPr>
  <dimension ref="A1:O20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38336</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0.676303</v>
      </c>
      <c r="D30" s="39">
        <v>1</v>
      </c>
      <c r="E30" s="35">
        <f>E29*C30</f>
        <v>33815.15</v>
      </c>
      <c r="F30" s="36"/>
      <c r="G30" s="35">
        <v>176250</v>
      </c>
      <c r="H30" s="35"/>
      <c r="I30" s="35">
        <v>23750</v>
      </c>
      <c r="J30" s="35"/>
      <c r="K30" s="35"/>
      <c r="L30" s="145"/>
      <c r="M30" s="35">
        <f>I30+G30+E30</f>
        <v>233815.15</v>
      </c>
      <c r="N30" s="38"/>
      <c r="O30" s="6"/>
    </row>
    <row r="31" spans="1:15" ht="15.75">
      <c r="A31" s="31"/>
      <c r="B31" s="32" t="s">
        <v>19</v>
      </c>
      <c r="C31" s="39">
        <v>0.642024</v>
      </c>
      <c r="D31" s="39">
        <v>1</v>
      </c>
      <c r="E31" s="40">
        <f>E29*C31</f>
        <v>32101.2</v>
      </c>
      <c r="F31" s="41"/>
      <c r="G31" s="40">
        <v>176250</v>
      </c>
      <c r="H31" s="40"/>
      <c r="I31" s="40">
        <v>23750</v>
      </c>
      <c r="J31" s="40"/>
      <c r="K31" s="40"/>
      <c r="L31" s="42"/>
      <c r="M31" s="40">
        <f>I31+G31+E31</f>
        <v>232101.2</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0.0517563</v>
      </c>
      <c r="F33" s="27"/>
      <c r="G33" s="44">
        <v>0.0527563</v>
      </c>
      <c r="H33" s="45"/>
      <c r="I33" s="44">
        <v>0.0630563</v>
      </c>
      <c r="J33" s="45"/>
      <c r="K33" s="44"/>
      <c r="L33" s="144"/>
      <c r="M33" s="45">
        <f>SUMPRODUCT(E33:I33,E30:I30)/M30</f>
        <v>0.0536579090274732</v>
      </c>
      <c r="N33" s="27"/>
      <c r="O33" s="6"/>
    </row>
    <row r="34" spans="1:15" ht="15.75">
      <c r="A34" s="26"/>
      <c r="B34" s="27" t="s">
        <v>22</v>
      </c>
      <c r="C34" s="27"/>
      <c r="D34" s="27"/>
      <c r="E34" s="44">
        <v>0.0494</v>
      </c>
      <c r="F34" s="27"/>
      <c r="G34" s="44">
        <v>0.0504</v>
      </c>
      <c r="H34" s="45"/>
      <c r="I34" s="44">
        <v>0.0607</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44"/>
      <c r="H38" s="34"/>
      <c r="I38" s="44"/>
      <c r="J38" s="46"/>
      <c r="K38" s="46"/>
      <c r="L38" s="46"/>
      <c r="M38" s="46"/>
      <c r="N38" s="27"/>
      <c r="O38" s="6"/>
    </row>
    <row r="39" spans="1:15" ht="15.75">
      <c r="A39" s="26"/>
      <c r="B39" s="27" t="s">
        <v>26</v>
      </c>
      <c r="C39" s="27"/>
      <c r="D39" s="27"/>
      <c r="E39" s="27"/>
      <c r="F39" s="27"/>
      <c r="G39" s="47"/>
      <c r="H39" s="27"/>
      <c r="I39" s="47"/>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0.11399022419837274</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38328</v>
      </c>
      <c r="N44" s="27"/>
      <c r="O44" s="6"/>
    </row>
    <row r="45" spans="1:15" ht="15.75">
      <c r="A45" s="26"/>
      <c r="B45" s="27" t="s">
        <v>31</v>
      </c>
      <c r="C45" s="27"/>
      <c r="D45" s="27"/>
      <c r="E45" s="27"/>
      <c r="F45" s="27"/>
      <c r="G45" s="27"/>
      <c r="H45" s="27"/>
      <c r="I45" s="27"/>
      <c r="J45" s="27">
        <f>M45-K45+1</f>
        <v>92</v>
      </c>
      <c r="K45" s="51">
        <v>38145</v>
      </c>
      <c r="L45" s="52"/>
      <c r="M45" s="51">
        <v>38236</v>
      </c>
      <c r="N45" s="27"/>
      <c r="O45" s="6"/>
    </row>
    <row r="46" spans="1:15" ht="15.75">
      <c r="A46" s="26"/>
      <c r="B46" s="27" t="s">
        <v>32</v>
      </c>
      <c r="C46" s="27"/>
      <c r="D46" s="27"/>
      <c r="E46" s="27"/>
      <c r="F46" s="27"/>
      <c r="G46" s="27"/>
      <c r="H46" s="27"/>
      <c r="I46" s="27"/>
      <c r="J46" s="27">
        <f>M46-K46+1</f>
        <v>91</v>
      </c>
      <c r="K46" s="51">
        <v>38237</v>
      </c>
      <c r="L46" s="52"/>
      <c r="M46" s="51">
        <v>38327</v>
      </c>
      <c r="N46" s="27"/>
      <c r="O46" s="6"/>
    </row>
    <row r="47" spans="1:15" ht="15.75">
      <c r="A47" s="26"/>
      <c r="B47" s="27" t="s">
        <v>33</v>
      </c>
      <c r="C47" s="27"/>
      <c r="D47" s="27"/>
      <c r="E47" s="27"/>
      <c r="F47" s="27"/>
      <c r="G47" s="27"/>
      <c r="H47" s="27"/>
      <c r="I47" s="27"/>
      <c r="J47" s="27"/>
      <c r="K47" s="51"/>
      <c r="L47" s="52"/>
      <c r="M47" s="51" t="s">
        <v>203</v>
      </c>
      <c r="N47" s="27"/>
      <c r="O47" s="6"/>
    </row>
    <row r="48" spans="1:15" ht="15.75">
      <c r="A48" s="26"/>
      <c r="B48" s="27" t="s">
        <v>34</v>
      </c>
      <c r="C48" s="27"/>
      <c r="D48" s="27"/>
      <c r="E48" s="27"/>
      <c r="F48" s="27"/>
      <c r="G48" s="27"/>
      <c r="H48" s="27"/>
      <c r="I48" s="27"/>
      <c r="J48" s="27"/>
      <c r="K48" s="51"/>
      <c r="L48" s="52"/>
      <c r="M48" s="51">
        <v>38324</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206</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233815</v>
      </c>
      <c r="F56" s="38"/>
      <c r="G56" s="38">
        <f>1714+8+3+4403</f>
        <v>6128</v>
      </c>
      <c r="H56" s="38"/>
      <c r="I56" s="38">
        <f>8+3+4403</f>
        <v>4414</v>
      </c>
      <c r="J56" s="38"/>
      <c r="K56" s="38">
        <v>0</v>
      </c>
      <c r="L56" s="38"/>
      <c r="M56" s="59">
        <f>E56-G56+I56-K56</f>
        <v>232101</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233815</v>
      </c>
      <c r="F59" s="38"/>
      <c r="G59" s="38">
        <f>SUM(G56:G58)</f>
        <v>6128</v>
      </c>
      <c r="H59" s="38"/>
      <c r="I59" s="38">
        <f>SUM(I56:I58)</f>
        <v>4414</v>
      </c>
      <c r="J59" s="38"/>
      <c r="K59" s="38">
        <f>SUM(K56:K58)</f>
        <v>0</v>
      </c>
      <c r="L59" s="38"/>
      <c r="M59" s="60">
        <f>SUM(M56:M58)</f>
        <v>232101</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233815</v>
      </c>
      <c r="F71" s="38"/>
      <c r="G71" s="60"/>
      <c r="H71" s="38"/>
      <c r="I71" s="60"/>
      <c r="J71" s="38"/>
      <c r="K71" s="60"/>
      <c r="L71" s="38"/>
      <c r="M71" s="60">
        <f>SUM(M59:M70)</f>
        <v>232101</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f>+K157</f>
        <v>38321</v>
      </c>
      <c r="E76" s="63"/>
      <c r="F76" s="27"/>
      <c r="G76" s="27"/>
      <c r="H76" s="27"/>
      <c r="I76" s="27"/>
      <c r="J76" s="27"/>
      <c r="K76" s="38">
        <v>6128</v>
      </c>
      <c r="L76" s="27"/>
      <c r="M76" s="59"/>
      <c r="N76" s="27"/>
      <c r="O76" s="6"/>
    </row>
    <row r="77" spans="1:15" ht="15.75">
      <c r="A77" s="26"/>
      <c r="B77" s="27" t="s">
        <v>49</v>
      </c>
      <c r="C77" s="27"/>
      <c r="D77" s="27"/>
      <c r="E77" s="27"/>
      <c r="F77" s="27"/>
      <c r="G77" s="27"/>
      <c r="H77" s="27"/>
      <c r="I77" s="27"/>
      <c r="J77" s="27"/>
      <c r="K77" s="38"/>
      <c r="L77" s="27"/>
      <c r="M77" s="59">
        <f>3880-6</f>
        <v>3874</v>
      </c>
      <c r="N77" s="27"/>
      <c r="O77" s="6"/>
    </row>
    <row r="78" spans="1:15" ht="15.75">
      <c r="A78" s="26"/>
      <c r="B78" s="27" t="s">
        <v>50</v>
      </c>
      <c r="C78" s="27"/>
      <c r="D78" s="27"/>
      <c r="E78" s="27"/>
      <c r="F78" s="27"/>
      <c r="G78" s="27"/>
      <c r="H78" s="27"/>
      <c r="I78" s="27"/>
      <c r="J78" s="27"/>
      <c r="K78" s="38"/>
      <c r="L78" s="27"/>
      <c r="M78" s="59">
        <v>6</v>
      </c>
      <c r="N78" s="27"/>
      <c r="O78" s="6"/>
    </row>
    <row r="79" spans="1:15" ht="15.75">
      <c r="A79" s="26"/>
      <c r="B79" s="27" t="s">
        <v>51</v>
      </c>
      <c r="C79" s="27"/>
      <c r="D79" s="27"/>
      <c r="E79" s="27"/>
      <c r="F79" s="27"/>
      <c r="G79" s="27"/>
      <c r="H79" s="27"/>
      <c r="I79" s="27"/>
      <c r="J79" s="27"/>
      <c r="K79" s="38">
        <f>SUM(K75:K78)</f>
        <v>6128</v>
      </c>
      <c r="L79" s="27"/>
      <c r="M79" s="60">
        <f>SUM(M75:M78)</f>
        <v>3880</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6128</v>
      </c>
      <c r="L81" s="27"/>
      <c r="M81" s="60">
        <f>M79+M80</f>
        <v>3880</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-175-5</f>
        <v>-180</v>
      </c>
      <c r="N85" s="27"/>
      <c r="O85" s="6"/>
    </row>
    <row r="86" spans="1:15" ht="15.75">
      <c r="A86" s="26">
        <v>4</v>
      </c>
      <c r="B86" s="27" t="s">
        <v>197</v>
      </c>
      <c r="C86" s="27"/>
      <c r="D86" s="27"/>
      <c r="E86" s="27"/>
      <c r="F86" s="27"/>
      <c r="G86" s="27"/>
      <c r="H86" s="27"/>
      <c r="I86" s="27"/>
      <c r="J86" s="27"/>
      <c r="K86" s="27"/>
      <c r="L86" s="27"/>
      <c r="M86" s="59">
        <v>-5</v>
      </c>
      <c r="N86" s="27"/>
      <c r="O86" s="6"/>
    </row>
    <row r="87" spans="1:15" ht="15.75">
      <c r="A87" s="26">
        <v>5</v>
      </c>
      <c r="B87" s="27" t="s">
        <v>58</v>
      </c>
      <c r="C87" s="27"/>
      <c r="D87" s="27"/>
      <c r="E87" s="27"/>
      <c r="F87" s="27"/>
      <c r="G87" s="27"/>
      <c r="H87" s="27"/>
      <c r="I87" s="27"/>
      <c r="J87" s="27"/>
      <c r="K87" s="27"/>
      <c r="L87" s="27"/>
      <c r="M87" s="59">
        <v>-2747</v>
      </c>
      <c r="N87" s="27"/>
      <c r="O87" s="6"/>
    </row>
    <row r="88" spans="1:15" ht="15.75">
      <c r="A88" s="26">
        <v>6</v>
      </c>
      <c r="B88" s="27" t="s">
        <v>59</v>
      </c>
      <c r="C88" s="27"/>
      <c r="D88" s="27"/>
      <c r="E88" s="27"/>
      <c r="F88" s="27"/>
      <c r="G88" s="27"/>
      <c r="H88" s="27"/>
      <c r="I88" s="27"/>
      <c r="J88" s="27"/>
      <c r="K88" s="27"/>
      <c r="L88" s="27"/>
      <c r="M88" s="59">
        <v>-372</v>
      </c>
      <c r="N88" s="27"/>
      <c r="O88" s="6"/>
    </row>
    <row r="89" spans="1:15" ht="15.75">
      <c r="A89" s="26">
        <v>7</v>
      </c>
      <c r="B89" s="27" t="s">
        <v>60</v>
      </c>
      <c r="C89" s="27"/>
      <c r="D89" s="27"/>
      <c r="E89" s="27"/>
      <c r="F89" s="27"/>
      <c r="G89" s="27"/>
      <c r="H89" s="27"/>
      <c r="I89" s="27"/>
      <c r="J89" s="27"/>
      <c r="K89" s="27"/>
      <c r="L89" s="27"/>
      <c r="M89" s="59">
        <v>-5</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-36-143</f>
        <v>-179</v>
      </c>
      <c r="N94" s="27"/>
      <c r="O94" s="6"/>
    </row>
    <row r="95" spans="1:15" ht="15.75">
      <c r="A95" s="26">
        <v>13</v>
      </c>
      <c r="B95" s="27" t="s">
        <v>65</v>
      </c>
      <c r="C95" s="27"/>
      <c r="D95" s="27"/>
      <c r="E95" s="27"/>
      <c r="F95" s="27"/>
      <c r="G95" s="27"/>
      <c r="H95" s="27"/>
      <c r="I95" s="27"/>
      <c r="J95" s="27"/>
      <c r="K95" s="27"/>
      <c r="L95" s="27"/>
      <c r="M95" s="59">
        <f>-M81-SUM(M83:M94)</f>
        <v>-390</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-3</v>
      </c>
      <c r="L97" s="38"/>
      <c r="M97" s="59"/>
      <c r="N97" s="27"/>
      <c r="O97" s="6"/>
    </row>
    <row r="98" spans="1:15" ht="15.75">
      <c r="A98" s="26"/>
      <c r="B98" s="27" t="s">
        <v>68</v>
      </c>
      <c r="C98" s="27"/>
      <c r="D98" s="27"/>
      <c r="E98" s="27"/>
      <c r="F98" s="27"/>
      <c r="G98" s="27"/>
      <c r="H98" s="27"/>
      <c r="I98" s="27"/>
      <c r="J98" s="27"/>
      <c r="K98" s="38">
        <f>-I143</f>
        <v>-4411</v>
      </c>
      <c r="L98" s="38"/>
      <c r="M98" s="59"/>
      <c r="N98" s="27"/>
      <c r="O98" s="6"/>
    </row>
    <row r="99" spans="1:15" ht="15.75">
      <c r="A99" s="26"/>
      <c r="B99" s="27" t="s">
        <v>69</v>
      </c>
      <c r="C99" s="27"/>
      <c r="D99" s="27"/>
      <c r="E99" s="27"/>
      <c r="F99" s="27"/>
      <c r="G99" s="27"/>
      <c r="H99" s="27"/>
      <c r="I99" s="27"/>
      <c r="J99" s="27"/>
      <c r="K99" s="38">
        <v>-1714</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-6128</v>
      </c>
      <c r="L102" s="38"/>
      <c r="M102" s="38">
        <f>SUM(M82:M101)</f>
        <v>-3880</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NOVEMBER 2004</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232101</v>
      </c>
      <c r="N136" s="27"/>
      <c r="O136" s="6"/>
    </row>
    <row r="137" spans="1:15" ht="15.75">
      <c r="A137" s="26"/>
      <c r="B137" s="27" t="s">
        <v>95</v>
      </c>
      <c r="C137" s="73"/>
      <c r="D137" s="73"/>
      <c r="E137" s="27"/>
      <c r="F137" s="27"/>
      <c r="G137" s="27"/>
      <c r="H137" s="27"/>
      <c r="I137" s="27"/>
      <c r="J137" s="27"/>
      <c r="K137" s="27"/>
      <c r="L137" s="27"/>
      <c r="M137" s="59">
        <f>M71</f>
        <v>232101</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'Aug 04'!I144</f>
        <v>14785</v>
      </c>
      <c r="J142" s="27"/>
      <c r="K142" s="59">
        <f>'Aug 04'!K144</f>
        <v>492</v>
      </c>
      <c r="L142" s="27"/>
      <c r="M142" s="59">
        <f>K142+I142</f>
        <v>15277</v>
      </c>
      <c r="N142" s="27"/>
      <c r="O142" s="6"/>
    </row>
    <row r="143" spans="1:15" ht="15.75">
      <c r="A143" s="26"/>
      <c r="B143" s="27" t="s">
        <v>99</v>
      </c>
      <c r="C143" s="27"/>
      <c r="D143" s="27"/>
      <c r="E143" s="27"/>
      <c r="F143" s="27"/>
      <c r="G143" s="27"/>
      <c r="H143" s="27"/>
      <c r="I143" s="38">
        <v>4411</v>
      </c>
      <c r="J143" s="27"/>
      <c r="K143" s="27">
        <v>3</v>
      </c>
      <c r="L143" s="27"/>
      <c r="M143" s="59">
        <f>K143+I143</f>
        <v>4414</v>
      </c>
      <c r="N143" s="27"/>
      <c r="O143" s="6"/>
    </row>
    <row r="144" spans="1:15" ht="15.75">
      <c r="A144" s="26"/>
      <c r="B144" s="27" t="s">
        <v>100</v>
      </c>
      <c r="C144" s="27"/>
      <c r="D144" s="27"/>
      <c r="E144" s="27"/>
      <c r="F144" s="27"/>
      <c r="G144" s="27"/>
      <c r="H144" s="27"/>
      <c r="I144" s="59">
        <f>I142+I143</f>
        <v>19196</v>
      </c>
      <c r="J144" s="27"/>
      <c r="K144" s="59">
        <f>K143+K142</f>
        <v>495</v>
      </c>
      <c r="L144" s="27"/>
      <c r="M144" s="59">
        <f>K144+I144</f>
        <v>19691</v>
      </c>
      <c r="N144" s="27"/>
      <c r="O144" s="6"/>
    </row>
    <row r="145" spans="1:15" ht="15.75">
      <c r="A145" s="26"/>
      <c r="B145" s="27" t="s">
        <v>101</v>
      </c>
      <c r="C145" s="27"/>
      <c r="D145" s="27"/>
      <c r="E145" s="27"/>
      <c r="F145" s="27"/>
      <c r="G145" s="27"/>
      <c r="H145" s="27"/>
      <c r="I145" s="59">
        <f>I141-I144-K144</f>
        <v>21309</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1.3443756825627957</v>
      </c>
      <c r="N149" s="27" t="s">
        <v>196</v>
      </c>
      <c r="O149" s="6"/>
    </row>
    <row r="150" spans="1:15" ht="15.75">
      <c r="A150" s="26"/>
      <c r="B150" s="27" t="s">
        <v>104</v>
      </c>
      <c r="C150" s="27"/>
      <c r="D150" s="27"/>
      <c r="E150" s="27"/>
      <c r="F150" s="27"/>
      <c r="G150" s="27"/>
      <c r="H150" s="27"/>
      <c r="I150" s="27"/>
      <c r="J150" s="27"/>
      <c r="K150" s="27"/>
      <c r="L150" s="27"/>
      <c r="M150" s="75">
        <v>1.36</v>
      </c>
      <c r="N150" s="27" t="s">
        <v>196</v>
      </c>
      <c r="O150" s="6"/>
    </row>
    <row r="151" spans="1:15" ht="15.75">
      <c r="A151" s="26"/>
      <c r="B151" s="27" t="s">
        <v>105</v>
      </c>
      <c r="C151" s="27"/>
      <c r="D151" s="27"/>
      <c r="E151" s="27"/>
      <c r="F151" s="27"/>
      <c r="G151" s="27"/>
      <c r="H151" s="27"/>
      <c r="I151" s="27"/>
      <c r="J151" s="27"/>
      <c r="K151" s="27"/>
      <c r="L151" s="27"/>
      <c r="M151" s="65">
        <f>(M81+M83+M84+M85+M86+M87)/-M88</f>
        <v>2.543010752688172</v>
      </c>
      <c r="N151" s="27" t="s">
        <v>196</v>
      </c>
      <c r="O151" s="6"/>
    </row>
    <row r="152" spans="1:15" ht="15.75">
      <c r="A152" s="26"/>
      <c r="B152" s="27" t="s">
        <v>106</v>
      </c>
      <c r="C152" s="27"/>
      <c r="D152" s="27"/>
      <c r="E152" s="27"/>
      <c r="F152" s="27"/>
      <c r="G152" s="27"/>
      <c r="H152" s="27"/>
      <c r="I152" s="27"/>
      <c r="J152" s="27"/>
      <c r="K152" s="27"/>
      <c r="L152" s="27"/>
      <c r="M152" s="76">
        <v>2.71</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NOVEMBER 2004</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v>38321</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0.06438</v>
      </c>
      <c r="L162" s="27"/>
      <c r="M162" s="27"/>
      <c r="N162" s="27"/>
      <c r="O162" s="6"/>
    </row>
    <row r="163" spans="1:15" ht="15.75">
      <c r="A163" s="85"/>
      <c r="B163" s="86" t="s">
        <v>112</v>
      </c>
      <c r="C163" s="87"/>
      <c r="D163" s="87"/>
      <c r="E163" s="87"/>
      <c r="F163" s="87"/>
      <c r="G163" s="87"/>
      <c r="H163" s="72"/>
      <c r="I163" s="72"/>
      <c r="J163" s="72"/>
      <c r="K163" s="88">
        <f>+M33</f>
        <v>0.0536579090274732</v>
      </c>
      <c r="L163" s="27"/>
      <c r="M163" s="27"/>
      <c r="N163" s="27"/>
      <c r="O163" s="6"/>
    </row>
    <row r="164" spans="1:15" ht="15.75">
      <c r="A164" s="85"/>
      <c r="B164" s="86" t="s">
        <v>113</v>
      </c>
      <c r="C164" s="87"/>
      <c r="D164" s="87"/>
      <c r="E164" s="87"/>
      <c r="F164" s="87"/>
      <c r="G164" s="87"/>
      <c r="H164" s="72"/>
      <c r="I164" s="72"/>
      <c r="J164" s="72"/>
      <c r="K164" s="88">
        <f>K162-K163</f>
        <v>0.010722090972526806</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152">
        <v>21.58</v>
      </c>
      <c r="L167" s="27" t="s">
        <v>188</v>
      </c>
      <c r="M167" s="27"/>
      <c r="N167" s="27"/>
      <c r="O167" s="6"/>
    </row>
    <row r="168" spans="1:15" ht="15.75">
      <c r="A168" s="85"/>
      <c r="B168" s="86" t="s">
        <v>117</v>
      </c>
      <c r="C168" s="87"/>
      <c r="D168" s="87"/>
      <c r="E168" s="87"/>
      <c r="F168" s="87"/>
      <c r="G168" s="87"/>
      <c r="H168" s="72"/>
      <c r="I168" s="72"/>
      <c r="J168" s="72"/>
      <c r="K168" s="152">
        <v>20.27</v>
      </c>
      <c r="L168" s="27" t="s">
        <v>188</v>
      </c>
      <c r="M168" s="27"/>
      <c r="N168" s="27"/>
      <c r="O168" s="6"/>
    </row>
    <row r="169" spans="1:15" ht="15.75">
      <c r="A169" s="85"/>
      <c r="B169" s="86" t="s">
        <v>118</v>
      </c>
      <c r="C169" s="87"/>
      <c r="D169" s="87"/>
      <c r="E169" s="87"/>
      <c r="F169" s="87"/>
      <c r="G169" s="87"/>
      <c r="H169" s="72"/>
      <c r="I169" s="72"/>
      <c r="J169" s="72"/>
      <c r="K169" s="88">
        <f>+G56/'Aug 04'!M56</f>
        <v>0.026208754784765732</v>
      </c>
      <c r="L169" s="27"/>
      <c r="M169" s="27"/>
      <c r="N169" s="27"/>
      <c r="O169" s="6"/>
    </row>
    <row r="170" spans="1:15" ht="15.75">
      <c r="A170" s="85"/>
      <c r="B170" s="86" t="s">
        <v>119</v>
      </c>
      <c r="C170" s="87"/>
      <c r="D170" s="87"/>
      <c r="E170" s="87"/>
      <c r="F170" s="87"/>
      <c r="G170" s="87"/>
      <c r="H170" s="72"/>
      <c r="I170" s="72"/>
      <c r="J170" s="72"/>
      <c r="K170" s="88">
        <v>0.1003</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4</v>
      </c>
      <c r="K173" s="97">
        <v>641</v>
      </c>
      <c r="L173" s="27"/>
      <c r="M173" s="91"/>
      <c r="N173" s="98"/>
      <c r="O173" s="6"/>
    </row>
    <row r="174" spans="1:15" ht="15.75">
      <c r="A174" s="96"/>
      <c r="B174" s="86" t="s">
        <v>202</v>
      </c>
      <c r="C174" s="60"/>
      <c r="D174" s="60"/>
      <c r="E174" s="60"/>
      <c r="F174" s="60"/>
      <c r="G174" s="27"/>
      <c r="H174" s="27"/>
      <c r="I174" s="27"/>
      <c r="J174" s="34">
        <v>16</v>
      </c>
      <c r="K174" s="97">
        <v>2127</v>
      </c>
      <c r="L174" s="27"/>
      <c r="M174" s="91"/>
      <c r="N174" s="98"/>
      <c r="O174" s="6"/>
    </row>
    <row r="175" spans="1:15" ht="15.75">
      <c r="A175" s="96"/>
      <c r="B175" s="86" t="s">
        <v>122</v>
      </c>
      <c r="C175" s="60"/>
      <c r="D175" s="60"/>
      <c r="E175" s="60"/>
      <c r="F175" s="60"/>
      <c r="G175" s="27"/>
      <c r="H175" s="27"/>
      <c r="I175" s="27"/>
      <c r="J175" s="34">
        <v>0</v>
      </c>
      <c r="K175" s="97">
        <v>0</v>
      </c>
      <c r="L175" s="27"/>
      <c r="M175" s="91"/>
      <c r="N175" s="98"/>
      <c r="O175" s="6"/>
    </row>
    <row r="176" spans="1:15" ht="15.75">
      <c r="A176" s="96"/>
      <c r="B176" s="142" t="s">
        <v>123</v>
      </c>
      <c r="C176" s="60"/>
      <c r="D176" s="60"/>
      <c r="E176" s="60"/>
      <c r="F176" s="60"/>
      <c r="G176" s="27"/>
      <c r="H176" s="27"/>
      <c r="I176" s="27"/>
      <c r="J176" s="27"/>
      <c r="K176" s="97">
        <v>0</v>
      </c>
      <c r="L176" s="27"/>
      <c r="M176" s="91"/>
      <c r="N176" s="98"/>
      <c r="O176" s="6"/>
    </row>
    <row r="177" spans="1:15" ht="15.75">
      <c r="A177" s="96"/>
      <c r="B177" s="142" t="s">
        <v>124</v>
      </c>
      <c r="C177" s="60"/>
      <c r="D177" s="60"/>
      <c r="E177" s="60"/>
      <c r="F177" s="60"/>
      <c r="G177" s="27"/>
      <c r="H177" s="27"/>
      <c r="I177" s="27"/>
      <c r="J177" s="27"/>
      <c r="K177" s="70" t="s">
        <v>185</v>
      </c>
      <c r="L177" s="27"/>
      <c r="M177" s="91"/>
      <c r="N177" s="98"/>
      <c r="O177" s="6"/>
    </row>
    <row r="178" spans="1:15" ht="15.75">
      <c r="A178" s="99"/>
      <c r="B178" s="142" t="s">
        <v>125</v>
      </c>
      <c r="C178" s="60"/>
      <c r="D178" s="60"/>
      <c r="E178" s="86"/>
      <c r="F178" s="86"/>
      <c r="G178" s="86"/>
      <c r="H178" s="27"/>
      <c r="I178" s="27"/>
      <c r="J178" s="27"/>
      <c r="K178" s="97"/>
      <c r="L178" s="27"/>
      <c r="M178" s="91"/>
      <c r="N178" s="100"/>
      <c r="O178" s="6"/>
    </row>
    <row r="179" spans="1:15" ht="15.75">
      <c r="A179" s="99"/>
      <c r="B179" s="150" t="s">
        <v>126</v>
      </c>
      <c r="C179" s="60"/>
      <c r="D179" s="60"/>
      <c r="E179" s="86"/>
      <c r="F179" s="86"/>
      <c r="G179" s="86"/>
      <c r="H179" s="27"/>
      <c r="I179" s="27"/>
      <c r="J179" s="27">
        <v>0</v>
      </c>
      <c r="K179" s="97">
        <f>M128</f>
        <v>0</v>
      </c>
      <c r="L179" s="27"/>
      <c r="M179" s="91"/>
      <c r="N179" s="100"/>
      <c r="O179" s="6"/>
    </row>
    <row r="180" spans="1:15" ht="15.75">
      <c r="A180" s="96"/>
      <c r="B180" s="86" t="s">
        <v>127</v>
      </c>
      <c r="C180" s="60"/>
      <c r="D180" s="60"/>
      <c r="E180" s="60"/>
      <c r="F180" s="60"/>
      <c r="G180" s="60"/>
      <c r="H180" s="27"/>
      <c r="I180" s="27"/>
      <c r="J180" s="27">
        <v>0</v>
      </c>
      <c r="K180" s="97">
        <f>+'Aug 04'!K180+K179</f>
        <v>0</v>
      </c>
      <c r="L180" s="27"/>
      <c r="M180" s="91"/>
      <c r="N180" s="100"/>
      <c r="O180" s="6"/>
    </row>
    <row r="181" spans="1:15" ht="15.75">
      <c r="A181" s="96"/>
      <c r="B181" s="86" t="s">
        <v>128</v>
      </c>
      <c r="C181" s="60"/>
      <c r="D181" s="60"/>
      <c r="E181" s="60"/>
      <c r="F181" s="60"/>
      <c r="G181" s="60"/>
      <c r="H181" s="27"/>
      <c r="I181" s="27"/>
      <c r="J181" s="27"/>
      <c r="K181" s="97">
        <v>0</v>
      </c>
      <c r="L181" s="27"/>
      <c r="M181" s="91"/>
      <c r="N181" s="100"/>
      <c r="O181" s="6"/>
    </row>
    <row r="182" spans="1:15" ht="15.75">
      <c r="A182" s="99"/>
      <c r="B182" s="142" t="s">
        <v>129</v>
      </c>
      <c r="C182" s="60"/>
      <c r="D182" s="60"/>
      <c r="E182" s="86"/>
      <c r="F182" s="86"/>
      <c r="G182" s="86"/>
      <c r="H182" s="27"/>
      <c r="I182" s="27"/>
      <c r="J182" s="27"/>
      <c r="K182" s="97"/>
      <c r="L182" s="27"/>
      <c r="M182" s="91"/>
      <c r="N182" s="100"/>
      <c r="O182" s="6"/>
    </row>
    <row r="183" spans="1:15" ht="15.75">
      <c r="A183" s="99"/>
      <c r="B183" s="86" t="s">
        <v>130</v>
      </c>
      <c r="C183" s="60"/>
      <c r="D183" s="60"/>
      <c r="E183" s="86"/>
      <c r="F183" s="86"/>
      <c r="G183" s="86"/>
      <c r="H183" s="27"/>
      <c r="I183" s="27"/>
      <c r="J183" s="27">
        <v>0</v>
      </c>
      <c r="K183" s="97">
        <v>0</v>
      </c>
      <c r="L183" s="27"/>
      <c r="M183" s="91"/>
      <c r="N183" s="100"/>
      <c r="O183" s="6"/>
    </row>
    <row r="184" spans="1:15" ht="15.75">
      <c r="A184" s="96"/>
      <c r="B184" s="86" t="s">
        <v>131</v>
      </c>
      <c r="C184" s="60"/>
      <c r="D184" s="60"/>
      <c r="E184" s="101"/>
      <c r="F184" s="101"/>
      <c r="G184" s="102"/>
      <c r="H184" s="27"/>
      <c r="I184" s="27"/>
      <c r="J184" s="27"/>
      <c r="K184" s="70">
        <v>0</v>
      </c>
      <c r="L184" s="27"/>
      <c r="M184" s="91"/>
      <c r="N184" s="100"/>
      <c r="O184" s="6"/>
    </row>
    <row r="185" spans="1:15" ht="15.75">
      <c r="A185" s="96"/>
      <c r="B185" s="86" t="s">
        <v>132</v>
      </c>
      <c r="C185" s="60"/>
      <c r="D185" s="60"/>
      <c r="E185" s="101"/>
      <c r="F185" s="101"/>
      <c r="G185" s="102"/>
      <c r="H185" s="27"/>
      <c r="I185" s="27"/>
      <c r="J185" s="27"/>
      <c r="K185" s="70">
        <v>0</v>
      </c>
      <c r="L185" s="27"/>
      <c r="M185" s="91"/>
      <c r="N185" s="100"/>
      <c r="O185" s="6"/>
    </row>
    <row r="186" spans="1:15" ht="15.75">
      <c r="A186" s="96"/>
      <c r="B186" s="86" t="s">
        <v>133</v>
      </c>
      <c r="C186" s="60"/>
      <c r="D186" s="60"/>
      <c r="E186" s="103"/>
      <c r="F186" s="101"/>
      <c r="G186" s="102"/>
      <c r="H186" s="27"/>
      <c r="I186" s="27"/>
      <c r="J186" s="27"/>
      <c r="K186" s="104">
        <v>0</v>
      </c>
      <c r="L186" s="27"/>
      <c r="M186" s="91"/>
      <c r="N186" s="100"/>
      <c r="O186" s="6"/>
    </row>
    <row r="187" spans="1:15" ht="15.75">
      <c r="A187" s="96"/>
      <c r="B187" s="86"/>
      <c r="C187" s="60"/>
      <c r="D187" s="60"/>
      <c r="E187" s="103"/>
      <c r="F187" s="101"/>
      <c r="G187" s="102"/>
      <c r="H187" s="27"/>
      <c r="I187" s="27"/>
      <c r="J187" s="27"/>
      <c r="K187" s="104"/>
      <c r="L187" s="27"/>
      <c r="M187" s="91"/>
      <c r="N187" s="100"/>
      <c r="O187" s="6"/>
    </row>
    <row r="188" spans="1:15" ht="15.75">
      <c r="A188" s="7"/>
      <c r="B188" s="16" t="s">
        <v>134</v>
      </c>
      <c r="C188" s="93"/>
      <c r="D188" s="93"/>
      <c r="E188" s="94"/>
      <c r="F188" s="93"/>
      <c r="G188" s="94"/>
      <c r="H188" s="93"/>
      <c r="I188" s="95" t="s">
        <v>173</v>
      </c>
      <c r="J188" s="19" t="s">
        <v>174</v>
      </c>
      <c r="K188" s="95" t="s">
        <v>186</v>
      </c>
      <c r="L188" s="19" t="s">
        <v>174</v>
      </c>
      <c r="M188" s="9"/>
      <c r="N188" s="105"/>
      <c r="O188" s="6"/>
    </row>
    <row r="189" spans="1:15" ht="15.75">
      <c r="A189" s="26"/>
      <c r="B189" s="60" t="s">
        <v>135</v>
      </c>
      <c r="C189" s="106"/>
      <c r="D189" s="106"/>
      <c r="E189" s="60"/>
      <c r="F189" s="106"/>
      <c r="G189" s="27"/>
      <c r="H189" s="106"/>
      <c r="I189" s="60">
        <v>2218</v>
      </c>
      <c r="J189" s="108">
        <f>I189/I194</f>
        <v>0.9928379588182632</v>
      </c>
      <c r="K189" s="59">
        <v>230084</v>
      </c>
      <c r="L189" s="151">
        <f>K189/K194</f>
        <v>0.9913098177086699</v>
      </c>
      <c r="M189" s="91"/>
      <c r="N189" s="100"/>
      <c r="O189" s="6"/>
    </row>
    <row r="190" spans="1:15" ht="15.75">
      <c r="A190" s="26"/>
      <c r="B190" s="60" t="s">
        <v>136</v>
      </c>
      <c r="C190" s="106"/>
      <c r="D190" s="106"/>
      <c r="E190" s="60"/>
      <c r="F190" s="106"/>
      <c r="G190" s="27"/>
      <c r="H190" s="108"/>
      <c r="I190" s="60">
        <v>10</v>
      </c>
      <c r="J190" s="108">
        <f>I190/I194</f>
        <v>0.004476275738585497</v>
      </c>
      <c r="K190" s="59">
        <v>1069</v>
      </c>
      <c r="L190" s="151">
        <f>K190/K194</f>
        <v>0.004605753529713357</v>
      </c>
      <c r="M190" s="91"/>
      <c r="N190" s="100"/>
      <c r="O190" s="6"/>
    </row>
    <row r="191" spans="1:15" ht="15.75">
      <c r="A191" s="26"/>
      <c r="B191" s="60" t="s">
        <v>137</v>
      </c>
      <c r="C191" s="106"/>
      <c r="D191" s="106"/>
      <c r="E191" s="60"/>
      <c r="F191" s="106"/>
      <c r="G191" s="27"/>
      <c r="H191" s="108"/>
      <c r="I191" s="60">
        <v>3</v>
      </c>
      <c r="J191" s="108">
        <f>I191/I194</f>
        <v>0.0013428827215756492</v>
      </c>
      <c r="K191" s="59">
        <v>399</v>
      </c>
      <c r="L191" s="151">
        <f>K191/K194</f>
        <v>0.00171907919397159</v>
      </c>
      <c r="M191" s="91"/>
      <c r="N191" s="100"/>
      <c r="O191" s="6"/>
    </row>
    <row r="192" spans="1:15" ht="15.75">
      <c r="A192" s="26"/>
      <c r="B192" s="60" t="s">
        <v>138</v>
      </c>
      <c r="C192" s="106"/>
      <c r="D192" s="106"/>
      <c r="E192" s="60"/>
      <c r="F192" s="106"/>
      <c r="G192" s="27"/>
      <c r="H192" s="108"/>
      <c r="I192" s="60">
        <v>3</v>
      </c>
      <c r="J192" s="108">
        <f>I192/I194</f>
        <v>0.0013428827215756492</v>
      </c>
      <c r="K192" s="59">
        <v>549</v>
      </c>
      <c r="L192" s="151">
        <f>K192/K194</f>
        <v>0.00236534956764512</v>
      </c>
      <c r="M192" s="91"/>
      <c r="N192" s="100"/>
      <c r="O192" s="6"/>
    </row>
    <row r="193" spans="1:15" ht="15.75">
      <c r="A193" s="26"/>
      <c r="B193" s="144"/>
      <c r="C193" s="106"/>
      <c r="D193" s="106"/>
      <c r="E193" s="60"/>
      <c r="F193" s="106"/>
      <c r="G193" s="27"/>
      <c r="H193" s="108"/>
      <c r="I193" s="60"/>
      <c r="J193" s="106"/>
      <c r="K193" s="59"/>
      <c r="L193" s="107"/>
      <c r="M193" s="91"/>
      <c r="N193" s="100"/>
      <c r="O193" s="6"/>
    </row>
    <row r="194" spans="1:15" ht="15.75">
      <c r="A194" s="26"/>
      <c r="B194" s="27"/>
      <c r="C194" s="27"/>
      <c r="D194" s="27"/>
      <c r="E194" s="27"/>
      <c r="F194" s="27"/>
      <c r="G194" s="27"/>
      <c r="H194" s="27"/>
      <c r="I194" s="38">
        <f>SUM(I189:I193)</f>
        <v>2234</v>
      </c>
      <c r="J194" s="109">
        <f>SUM(J189:J193)</f>
        <v>1</v>
      </c>
      <c r="K194" s="59">
        <f>SUM(K189:K193)</f>
        <v>232101</v>
      </c>
      <c r="L194" s="109">
        <f>SUM(L189:L193)</f>
        <v>1</v>
      </c>
      <c r="M194" s="27"/>
      <c r="N194" s="27"/>
      <c r="O194" s="6"/>
    </row>
    <row r="195" spans="1:15" ht="15.75">
      <c r="A195" s="26"/>
      <c r="B195" s="27"/>
      <c r="C195" s="27"/>
      <c r="D195" s="27"/>
      <c r="E195" s="27"/>
      <c r="F195" s="27"/>
      <c r="G195" s="27"/>
      <c r="H195" s="27"/>
      <c r="I195" s="38"/>
      <c r="J195" s="109"/>
      <c r="K195" s="59"/>
      <c r="L195" s="109"/>
      <c r="M195" s="27"/>
      <c r="N195" s="27"/>
      <c r="O195" s="6"/>
    </row>
    <row r="196" spans="1:15" ht="15.75">
      <c r="A196" s="7"/>
      <c r="B196" s="9"/>
      <c r="C196" s="9"/>
      <c r="D196" s="9"/>
      <c r="E196" s="9"/>
      <c r="F196" s="9"/>
      <c r="G196" s="9"/>
      <c r="H196" s="9"/>
      <c r="I196" s="61"/>
      <c r="J196" s="110"/>
      <c r="K196" s="111"/>
      <c r="L196" s="110"/>
      <c r="M196" s="9"/>
      <c r="N196" s="9"/>
      <c r="O196" s="6"/>
    </row>
    <row r="197" spans="1:15" ht="15.75">
      <c r="A197" s="148"/>
      <c r="B197" s="16" t="s">
        <v>139</v>
      </c>
      <c r="C197" s="113"/>
      <c r="D197" s="113"/>
      <c r="E197" s="19" t="s">
        <v>154</v>
      </c>
      <c r="F197" s="17"/>
      <c r="G197" s="16" t="s">
        <v>162</v>
      </c>
      <c r="H197" s="143"/>
      <c r="I197" s="143"/>
      <c r="J197" s="143"/>
      <c r="K197" s="143"/>
      <c r="L197" s="143"/>
      <c r="M197" s="143"/>
      <c r="N197" s="143"/>
      <c r="O197" s="6"/>
    </row>
    <row r="198" spans="1:15" ht="15.75">
      <c r="A198" s="148"/>
      <c r="B198" s="143"/>
      <c r="C198" s="143"/>
      <c r="D198" s="143"/>
      <c r="E198" s="9"/>
      <c r="F198" s="9"/>
      <c r="G198" s="9"/>
      <c r="H198" s="143"/>
      <c r="I198" s="143"/>
      <c r="J198" s="143"/>
      <c r="K198" s="143"/>
      <c r="L198" s="143"/>
      <c r="M198" s="143"/>
      <c r="N198" s="143"/>
      <c r="O198" s="6"/>
    </row>
    <row r="199" spans="1:15" ht="15.75">
      <c r="A199" s="148"/>
      <c r="B199" s="15" t="s">
        <v>140</v>
      </c>
      <c r="C199" s="114"/>
      <c r="D199" s="114"/>
      <c r="E199" s="115" t="s">
        <v>155</v>
      </c>
      <c r="F199" s="15"/>
      <c r="G199" s="15" t="s">
        <v>207</v>
      </c>
      <c r="H199" s="114"/>
      <c r="I199" s="114"/>
      <c r="J199" s="143"/>
      <c r="K199" s="143"/>
      <c r="L199" s="143"/>
      <c r="M199" s="143"/>
      <c r="N199" s="143"/>
      <c r="O199" s="6"/>
    </row>
    <row r="200" spans="1:15" ht="15.75">
      <c r="A200" s="148"/>
      <c r="B200" s="15" t="s">
        <v>141</v>
      </c>
      <c r="C200" s="114"/>
      <c r="D200" s="114"/>
      <c r="E200" s="115" t="s">
        <v>156</v>
      </c>
      <c r="F200" s="15"/>
      <c r="G200" s="15" t="s">
        <v>208</v>
      </c>
      <c r="H200" s="114"/>
      <c r="I200" s="114"/>
      <c r="J200" s="143"/>
      <c r="K200" s="143"/>
      <c r="L200" s="143"/>
      <c r="M200" s="143"/>
      <c r="N200" s="143"/>
      <c r="O200" s="6"/>
    </row>
    <row r="201" spans="1:15" ht="15.75">
      <c r="A201" s="148"/>
      <c r="B201" s="15"/>
      <c r="C201" s="114"/>
      <c r="D201" s="114"/>
      <c r="E201" s="115"/>
      <c r="F201" s="15"/>
      <c r="G201" s="15"/>
      <c r="H201" s="114"/>
      <c r="I201" s="114"/>
      <c r="J201" s="143"/>
      <c r="K201" s="143"/>
      <c r="L201" s="143"/>
      <c r="M201" s="143"/>
      <c r="N201" s="143"/>
      <c r="O201" s="6"/>
    </row>
    <row r="202" spans="1:15" ht="15.75">
      <c r="A202" s="148"/>
      <c r="B202" s="15"/>
      <c r="C202" s="114"/>
      <c r="D202" s="114"/>
      <c r="E202" s="115"/>
      <c r="F202" s="15"/>
      <c r="G202" s="15"/>
      <c r="H202" s="114"/>
      <c r="I202" s="114"/>
      <c r="J202" s="143"/>
      <c r="K202" s="143"/>
      <c r="L202" s="143"/>
      <c r="M202" s="143"/>
      <c r="N202" s="143"/>
      <c r="O202" s="6"/>
    </row>
    <row r="203" spans="1:15" ht="18.75">
      <c r="A203" s="148"/>
      <c r="B203" s="55" t="str">
        <f>B156</f>
        <v>PM5 INVESTOR REPORT QUARTER ENDING NOVEMBER 2004</v>
      </c>
      <c r="C203" s="114"/>
      <c r="D203" s="114"/>
      <c r="E203" s="115"/>
      <c r="F203" s="15"/>
      <c r="G203" s="15"/>
      <c r="H203" s="114"/>
      <c r="I203" s="114"/>
      <c r="J203" s="143"/>
      <c r="K203" s="143"/>
      <c r="L203" s="143"/>
      <c r="M203" s="143"/>
      <c r="N203" s="143"/>
      <c r="O203" s="6"/>
    </row>
    <row r="204" spans="1:14" ht="15">
      <c r="A204" s="116"/>
      <c r="B204" s="116"/>
      <c r="C204" s="116"/>
      <c r="D204" s="116"/>
      <c r="E204" s="116"/>
      <c r="F204" s="116"/>
      <c r="G204" s="116"/>
      <c r="H204" s="116"/>
      <c r="I204" s="116"/>
      <c r="J204" s="116"/>
      <c r="K204" s="116"/>
      <c r="L204" s="116"/>
      <c r="M204" s="116"/>
      <c r="N204" s="116"/>
    </row>
    <row r="206" ht="15">
      <c r="I206" s="125"/>
    </row>
  </sheetData>
  <printOptions/>
  <pageMargins left="0.5" right="0.5" top="0.5" bottom="0.5" header="0" footer="0"/>
  <pageSetup horizontalDpi="600" verticalDpi="600" orientation="landscape" scale="51" r:id="rId2"/>
  <rowBreaks count="3" manualBreakCount="3">
    <brk id="51" max="14" man="1"/>
    <brk id="106" max="14" man="1"/>
    <brk id="156" max="14" man="1"/>
  </rowBreaks>
  <drawing r:id="rId1"/>
</worksheet>
</file>

<file path=xl/worksheets/sheet7.xml><?xml version="1.0" encoding="utf-8"?>
<worksheet xmlns="http://schemas.openxmlformats.org/spreadsheetml/2006/main" xmlns:r="http://schemas.openxmlformats.org/officeDocument/2006/relationships">
  <sheetPr>
    <tabColor indexed="52"/>
  </sheetPr>
  <dimension ref="A1:O21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5.75">
      <c r="A10" s="7"/>
      <c r="B10" s="12"/>
      <c r="C10" s="13"/>
      <c r="D10" s="13"/>
      <c r="E10" s="15"/>
      <c r="F10" s="15"/>
      <c r="G10" s="9"/>
      <c r="H10" s="9"/>
      <c r="I10" s="9"/>
      <c r="J10" s="9"/>
      <c r="K10" s="9"/>
      <c r="L10" s="9"/>
      <c r="M10" s="9"/>
      <c r="N10" s="9"/>
      <c r="O10" s="6"/>
    </row>
    <row r="11" spans="1:15" ht="15.75">
      <c r="A11" s="7"/>
      <c r="B11" s="16" t="s">
        <v>5</v>
      </c>
      <c r="C11" s="15"/>
      <c r="D11" s="15"/>
      <c r="E11" s="9"/>
      <c r="F11" s="9"/>
      <c r="G11" s="9"/>
      <c r="H11" s="9"/>
      <c r="I11" s="9"/>
      <c r="J11" s="9"/>
      <c r="K11" s="9"/>
      <c r="L11" s="9"/>
      <c r="M11" s="9"/>
      <c r="N11" s="9"/>
      <c r="O11" s="6"/>
    </row>
    <row r="12" spans="1:15" ht="15.75">
      <c r="A12" s="7"/>
      <c r="B12" s="15"/>
      <c r="C12" s="15"/>
      <c r="D12" s="15"/>
      <c r="E12" s="9"/>
      <c r="F12" s="9"/>
      <c r="G12" s="9"/>
      <c r="H12" s="9"/>
      <c r="I12" s="9"/>
      <c r="J12" s="9"/>
      <c r="K12" s="9"/>
      <c r="L12" s="9"/>
      <c r="M12" s="9"/>
      <c r="N12" s="9"/>
      <c r="O12" s="6"/>
    </row>
    <row r="13" spans="1:15" ht="15.75">
      <c r="A13" s="2"/>
      <c r="B13" s="5"/>
      <c r="C13" s="5"/>
      <c r="D13" s="5"/>
      <c r="E13" s="5"/>
      <c r="F13" s="5"/>
      <c r="G13" s="5"/>
      <c r="H13" s="5"/>
      <c r="I13" s="5"/>
      <c r="J13" s="5"/>
      <c r="K13" s="5"/>
      <c r="L13" s="5"/>
      <c r="M13" s="5"/>
      <c r="N13" s="5"/>
      <c r="O13" s="6"/>
    </row>
    <row r="14" spans="1:15" ht="15.75">
      <c r="A14" s="7"/>
      <c r="B14" s="16" t="s">
        <v>6</v>
      </c>
      <c r="C14" s="16"/>
      <c r="D14" s="16"/>
      <c r="E14" s="17"/>
      <c r="F14" s="17"/>
      <c r="G14" s="17"/>
      <c r="H14" s="17"/>
      <c r="I14" s="17"/>
      <c r="J14" s="17"/>
      <c r="K14" s="17"/>
      <c r="L14" s="17"/>
      <c r="M14" s="18" t="s">
        <v>190</v>
      </c>
      <c r="N14" s="17"/>
      <c r="O14" s="6"/>
    </row>
    <row r="15" spans="1:15" ht="15.75">
      <c r="A15" s="7"/>
      <c r="B15" s="16" t="s">
        <v>7</v>
      </c>
      <c r="C15" s="16"/>
      <c r="D15" s="16"/>
      <c r="E15" s="17"/>
      <c r="F15" s="17"/>
      <c r="G15" s="17"/>
      <c r="H15" s="17"/>
      <c r="I15" s="19"/>
      <c r="J15" s="20"/>
      <c r="K15" s="19" t="s">
        <v>175</v>
      </c>
      <c r="L15" s="20">
        <v>1</v>
      </c>
      <c r="M15" s="18"/>
      <c r="N15" s="17"/>
      <c r="O15" s="6"/>
    </row>
    <row r="16" spans="1:15" ht="15.75">
      <c r="A16" s="7"/>
      <c r="B16" s="16" t="s">
        <v>8</v>
      </c>
      <c r="C16" s="16"/>
      <c r="D16" s="16"/>
      <c r="E16" s="17"/>
      <c r="F16" s="17"/>
      <c r="G16" s="17"/>
      <c r="H16" s="17"/>
      <c r="I16" s="19"/>
      <c r="J16" s="20"/>
      <c r="K16" s="19" t="s">
        <v>175</v>
      </c>
      <c r="L16" s="20">
        <v>1</v>
      </c>
      <c r="M16" s="18"/>
      <c r="N16" s="17"/>
      <c r="O16" s="6"/>
    </row>
    <row r="17" spans="1:15" ht="15.75">
      <c r="A17" s="7"/>
      <c r="B17" s="16" t="s">
        <v>9</v>
      </c>
      <c r="C17" s="16"/>
      <c r="D17" s="16"/>
      <c r="E17" s="17"/>
      <c r="F17" s="17"/>
      <c r="G17" s="17"/>
      <c r="H17" s="17"/>
      <c r="I17" s="17"/>
      <c r="J17" s="17"/>
      <c r="K17" s="17"/>
      <c r="L17" s="17"/>
      <c r="M17" s="21">
        <v>37798</v>
      </c>
      <c r="N17" s="17"/>
      <c r="O17" s="6"/>
    </row>
    <row r="18" spans="1:15" ht="15.75">
      <c r="A18" s="7"/>
      <c r="B18" s="16" t="s">
        <v>10</v>
      </c>
      <c r="C18" s="16"/>
      <c r="D18" s="16"/>
      <c r="E18" s="17"/>
      <c r="F18" s="17"/>
      <c r="G18" s="17"/>
      <c r="H18" s="17"/>
      <c r="I18" s="17"/>
      <c r="J18" s="17"/>
      <c r="K18" s="17"/>
      <c r="L18" s="17"/>
      <c r="M18" s="21">
        <v>38428</v>
      </c>
      <c r="N18" s="17"/>
      <c r="O18" s="6"/>
    </row>
    <row r="19" spans="1:15" ht="15.75">
      <c r="A19" s="7"/>
      <c r="B19" s="9"/>
      <c r="C19" s="9"/>
      <c r="D19" s="9"/>
      <c r="E19" s="9"/>
      <c r="F19" s="9"/>
      <c r="G19" s="9"/>
      <c r="H19" s="9"/>
      <c r="I19" s="9"/>
      <c r="J19" s="9"/>
      <c r="K19" s="9"/>
      <c r="L19" s="9"/>
      <c r="M19" s="22"/>
      <c r="N19" s="9"/>
      <c r="O19" s="6"/>
    </row>
    <row r="20" spans="1:15" ht="15.75">
      <c r="A20" s="7"/>
      <c r="B20" s="23" t="s">
        <v>11</v>
      </c>
      <c r="C20" s="9"/>
      <c r="D20" s="9"/>
      <c r="E20" s="9"/>
      <c r="F20" s="9"/>
      <c r="G20" s="9"/>
      <c r="H20" s="9"/>
      <c r="I20" s="9"/>
      <c r="J20" s="9"/>
      <c r="K20" s="22" t="s">
        <v>176</v>
      </c>
      <c r="L20" s="9"/>
      <c r="M20" s="143"/>
      <c r="N20" s="9"/>
      <c r="O20" s="6"/>
    </row>
    <row r="21" spans="1:15" ht="15.75">
      <c r="A21" s="7"/>
      <c r="B21" s="9"/>
      <c r="C21" s="9"/>
      <c r="D21" s="9"/>
      <c r="E21" s="9"/>
      <c r="F21" s="9"/>
      <c r="G21" s="9"/>
      <c r="H21" s="9"/>
      <c r="I21" s="9"/>
      <c r="J21" s="9"/>
      <c r="K21" s="9"/>
      <c r="L21" s="9"/>
      <c r="M21" s="24"/>
      <c r="N21" s="9"/>
      <c r="O21" s="6"/>
    </row>
    <row r="22" spans="1:15" ht="15.75">
      <c r="A22" s="7"/>
      <c r="B22" s="9"/>
      <c r="C22" s="130" t="s">
        <v>142</v>
      </c>
      <c r="D22" s="130" t="s">
        <v>146</v>
      </c>
      <c r="E22" s="132" t="s">
        <v>147</v>
      </c>
      <c r="F22" s="132"/>
      <c r="G22" s="132" t="s">
        <v>157</v>
      </c>
      <c r="H22" s="132"/>
      <c r="I22" s="132" t="s">
        <v>165</v>
      </c>
      <c r="J22" s="133"/>
      <c r="K22" s="25"/>
      <c r="L22" s="143"/>
      <c r="M22" s="143"/>
      <c r="N22" s="9"/>
      <c r="O22" s="6"/>
    </row>
    <row r="23" spans="1:15" ht="15.75">
      <c r="A23" s="26"/>
      <c r="B23" s="27" t="s">
        <v>12</v>
      </c>
      <c r="C23" s="131" t="s">
        <v>143</v>
      </c>
      <c r="D23" s="131" t="s">
        <v>143</v>
      </c>
      <c r="E23" s="29" t="s">
        <v>148</v>
      </c>
      <c r="F23" s="29"/>
      <c r="G23" s="29" t="s">
        <v>148</v>
      </c>
      <c r="H23" s="29"/>
      <c r="I23" s="29" t="s">
        <v>166</v>
      </c>
      <c r="J23" s="29"/>
      <c r="K23" s="29"/>
      <c r="L23" s="144"/>
      <c r="M23" s="144"/>
      <c r="N23" s="27"/>
      <c r="O23" s="6"/>
    </row>
    <row r="24" spans="1:15" ht="15.75">
      <c r="A24" s="26"/>
      <c r="B24" s="27" t="s">
        <v>13</v>
      </c>
      <c r="C24" s="28"/>
      <c r="D24" s="28"/>
      <c r="E24" s="29" t="s">
        <v>149</v>
      </c>
      <c r="F24" s="29"/>
      <c r="G24" s="29" t="s">
        <v>149</v>
      </c>
      <c r="H24" s="29"/>
      <c r="I24" s="29" t="s">
        <v>167</v>
      </c>
      <c r="J24" s="29"/>
      <c r="K24" s="29"/>
      <c r="L24" s="144"/>
      <c r="M24" s="144"/>
      <c r="N24" s="27"/>
      <c r="O24" s="6"/>
    </row>
    <row r="25" spans="1:15" ht="15.75">
      <c r="A25" s="31"/>
      <c r="B25" s="32" t="s">
        <v>14</v>
      </c>
      <c r="C25" s="32"/>
      <c r="D25" s="32"/>
      <c r="E25" s="33" t="s">
        <v>148</v>
      </c>
      <c r="F25" s="33"/>
      <c r="G25" s="33" t="s">
        <v>148</v>
      </c>
      <c r="H25" s="33"/>
      <c r="I25" s="33" t="s">
        <v>166</v>
      </c>
      <c r="J25" s="29"/>
      <c r="K25" s="29"/>
      <c r="L25" s="144"/>
      <c r="M25" s="144"/>
      <c r="N25" s="27"/>
      <c r="O25" s="6"/>
    </row>
    <row r="26" spans="1:15" ht="15.75">
      <c r="A26" s="31"/>
      <c r="B26" s="32" t="s">
        <v>15</v>
      </c>
      <c r="C26" s="32"/>
      <c r="D26" s="32"/>
      <c r="E26" s="33" t="s">
        <v>149</v>
      </c>
      <c r="F26" s="33"/>
      <c r="G26" s="33" t="s">
        <v>149</v>
      </c>
      <c r="H26" s="33"/>
      <c r="I26" s="33" t="s">
        <v>167</v>
      </c>
      <c r="J26" s="29"/>
      <c r="K26" s="29"/>
      <c r="L26" s="144"/>
      <c r="M26" s="144"/>
      <c r="N26" s="27"/>
      <c r="O26" s="6"/>
    </row>
    <row r="27" spans="1:15" ht="15.75">
      <c r="A27" s="26"/>
      <c r="B27" s="27" t="s">
        <v>16</v>
      </c>
      <c r="C27" s="27"/>
      <c r="D27" s="27"/>
      <c r="E27" s="34" t="s">
        <v>150</v>
      </c>
      <c r="F27" s="29"/>
      <c r="G27" s="34" t="s">
        <v>158</v>
      </c>
      <c r="H27" s="29"/>
      <c r="I27" s="34" t="s">
        <v>168</v>
      </c>
      <c r="J27" s="29"/>
      <c r="K27" s="34"/>
      <c r="L27" s="144"/>
      <c r="M27" s="144"/>
      <c r="N27" s="27"/>
      <c r="O27" s="6"/>
    </row>
    <row r="28" spans="1:15" ht="15.75">
      <c r="A28" s="26"/>
      <c r="B28" s="27"/>
      <c r="C28" s="27"/>
      <c r="D28" s="27"/>
      <c r="E28" s="27"/>
      <c r="F28" s="29"/>
      <c r="G28" s="29"/>
      <c r="H28" s="29"/>
      <c r="I28" s="29"/>
      <c r="J28" s="29"/>
      <c r="K28" s="29"/>
      <c r="L28" s="144"/>
      <c r="M28" s="144"/>
      <c r="N28" s="27"/>
      <c r="O28" s="6"/>
    </row>
    <row r="29" spans="1:15" ht="15.75">
      <c r="A29" s="26"/>
      <c r="B29" s="27" t="s">
        <v>17</v>
      </c>
      <c r="C29" s="27"/>
      <c r="D29" s="27"/>
      <c r="E29" s="35">
        <v>50000</v>
      </c>
      <c r="F29" s="36"/>
      <c r="G29" s="35">
        <v>176250</v>
      </c>
      <c r="H29" s="35"/>
      <c r="I29" s="35">
        <v>23750</v>
      </c>
      <c r="J29" s="35"/>
      <c r="K29" s="35"/>
      <c r="L29" s="145"/>
      <c r="M29" s="35">
        <f>I29+G29+E29</f>
        <v>250000</v>
      </c>
      <c r="N29" s="38"/>
      <c r="O29" s="6"/>
    </row>
    <row r="30" spans="1:15" ht="15.75">
      <c r="A30" s="26"/>
      <c r="B30" s="27" t="s">
        <v>18</v>
      </c>
      <c r="C30" s="39">
        <v>0.642024</v>
      </c>
      <c r="D30" s="39">
        <v>1</v>
      </c>
      <c r="E30" s="35">
        <f>E29*C30</f>
        <v>32101.2</v>
      </c>
      <c r="F30" s="36"/>
      <c r="G30" s="35">
        <v>176250</v>
      </c>
      <c r="H30" s="35"/>
      <c r="I30" s="35">
        <v>23750</v>
      </c>
      <c r="J30" s="35"/>
      <c r="K30" s="35"/>
      <c r="L30" s="145"/>
      <c r="M30" s="35">
        <f>I30+G30+E30</f>
        <v>232101.2</v>
      </c>
      <c r="N30" s="38"/>
      <c r="O30" s="6"/>
    </row>
    <row r="31" spans="1:15" ht="15.75">
      <c r="A31" s="31"/>
      <c r="B31" s="32" t="s">
        <v>19</v>
      </c>
      <c r="C31" s="39">
        <v>0.544607</v>
      </c>
      <c r="D31" s="39">
        <v>1</v>
      </c>
      <c r="E31" s="40">
        <f>E29*C31</f>
        <v>27230.35</v>
      </c>
      <c r="F31" s="41"/>
      <c r="G31" s="40">
        <v>176250</v>
      </c>
      <c r="H31" s="40"/>
      <c r="I31" s="40">
        <v>23750</v>
      </c>
      <c r="J31" s="40"/>
      <c r="K31" s="40"/>
      <c r="L31" s="42"/>
      <c r="M31" s="40">
        <f>I31+G31+E31</f>
        <v>227230.35</v>
      </c>
      <c r="N31" s="38"/>
      <c r="O31" s="6"/>
    </row>
    <row r="32" spans="1:15" ht="15.75">
      <c r="A32" s="26"/>
      <c r="B32" s="27" t="s">
        <v>20</v>
      </c>
      <c r="C32" s="43"/>
      <c r="D32" s="43"/>
      <c r="E32" s="34" t="s">
        <v>151</v>
      </c>
      <c r="F32" s="27"/>
      <c r="G32" s="34" t="s">
        <v>159</v>
      </c>
      <c r="H32" s="34"/>
      <c r="I32" s="34" t="s">
        <v>169</v>
      </c>
      <c r="J32" s="34"/>
      <c r="K32" s="34"/>
      <c r="L32" s="144"/>
      <c r="M32" s="144"/>
      <c r="N32" s="27"/>
      <c r="O32" s="6"/>
    </row>
    <row r="33" spans="1:15" ht="15.75">
      <c r="A33" s="26"/>
      <c r="B33" s="27" t="s">
        <v>21</v>
      </c>
      <c r="C33" s="27"/>
      <c r="D33" s="27"/>
      <c r="E33" s="44">
        <v>0.0507875</v>
      </c>
      <c r="F33" s="27"/>
      <c r="G33" s="44">
        <v>0.0517875</v>
      </c>
      <c r="H33" s="45"/>
      <c r="I33" s="44">
        <v>0.0620875</v>
      </c>
      <c r="J33" s="45"/>
      <c r="K33" s="44"/>
      <c r="L33" s="144"/>
      <c r="M33" s="45">
        <f>SUMPRODUCT(E33:I33,E30:I30)/M30</f>
        <v>0.05270315144859225</v>
      </c>
      <c r="N33" s="27"/>
      <c r="O33" s="6"/>
    </row>
    <row r="34" spans="1:15" ht="15.75">
      <c r="A34" s="26"/>
      <c r="B34" s="27" t="s">
        <v>22</v>
      </c>
      <c r="C34" s="27"/>
      <c r="D34" s="27"/>
      <c r="E34" s="44">
        <v>0.0517563</v>
      </c>
      <c r="F34" s="27"/>
      <c r="G34" s="44">
        <v>0.0527563</v>
      </c>
      <c r="H34" s="45"/>
      <c r="I34" s="44">
        <v>0.0630563</v>
      </c>
      <c r="J34" s="45"/>
      <c r="K34" s="44"/>
      <c r="L34" s="144"/>
      <c r="M34" s="144"/>
      <c r="N34" s="27"/>
      <c r="O34" s="6"/>
    </row>
    <row r="35" spans="1:15" ht="15.75">
      <c r="A35" s="26"/>
      <c r="B35" s="27" t="s">
        <v>23</v>
      </c>
      <c r="C35" s="27"/>
      <c r="D35" s="27"/>
      <c r="E35" s="126">
        <v>38875</v>
      </c>
      <c r="F35" s="126"/>
      <c r="G35" s="126">
        <v>38875</v>
      </c>
      <c r="H35" s="126"/>
      <c r="I35" s="126">
        <v>38875</v>
      </c>
      <c r="J35" s="34"/>
      <c r="K35" s="34"/>
      <c r="L35" s="144"/>
      <c r="M35" s="144"/>
      <c r="N35" s="27"/>
      <c r="O35" s="6"/>
    </row>
    <row r="36" spans="1:15" ht="15.75">
      <c r="A36" s="26"/>
      <c r="B36" s="27" t="s">
        <v>24</v>
      </c>
      <c r="C36" s="27"/>
      <c r="D36" s="27"/>
      <c r="E36" s="126">
        <v>39240</v>
      </c>
      <c r="F36" s="126"/>
      <c r="G36" s="126">
        <v>39240</v>
      </c>
      <c r="H36" s="126"/>
      <c r="I36" s="126">
        <v>39240</v>
      </c>
      <c r="J36" s="34"/>
      <c r="K36" s="34"/>
      <c r="L36" s="144"/>
      <c r="M36" s="144"/>
      <c r="N36" s="27"/>
      <c r="O36" s="6"/>
    </row>
    <row r="37" spans="1:15" ht="15.75">
      <c r="A37" s="26"/>
      <c r="B37" s="27" t="s">
        <v>25</v>
      </c>
      <c r="C37" s="27"/>
      <c r="D37" s="27"/>
      <c r="E37" s="34" t="s">
        <v>152</v>
      </c>
      <c r="F37" s="27"/>
      <c r="G37" s="34" t="s">
        <v>160</v>
      </c>
      <c r="H37" s="34"/>
      <c r="I37" s="34" t="s">
        <v>170</v>
      </c>
      <c r="J37" s="34"/>
      <c r="K37" s="34"/>
      <c r="L37" s="144"/>
      <c r="M37" s="144"/>
      <c r="N37" s="27"/>
      <c r="O37" s="6"/>
    </row>
    <row r="38" spans="1:15" ht="15.75">
      <c r="A38" s="26"/>
      <c r="B38" s="27"/>
      <c r="C38" s="27"/>
      <c r="D38" s="27"/>
      <c r="E38" s="34"/>
      <c r="F38" s="27"/>
      <c r="G38" s="44"/>
      <c r="H38" s="34"/>
      <c r="I38" s="44"/>
      <c r="J38" s="46"/>
      <c r="K38" s="46"/>
      <c r="L38" s="46"/>
      <c r="M38" s="46"/>
      <c r="N38" s="27"/>
      <c r="O38" s="6"/>
    </row>
    <row r="39" spans="1:15" ht="15.75">
      <c r="A39" s="26"/>
      <c r="B39" s="27" t="s">
        <v>26</v>
      </c>
      <c r="C39" s="27"/>
      <c r="D39" s="27"/>
      <c r="E39" s="27"/>
      <c r="F39" s="27"/>
      <c r="G39" s="44"/>
      <c r="H39" s="27"/>
      <c r="I39" s="44"/>
      <c r="J39" s="27"/>
      <c r="K39" s="27"/>
      <c r="L39" s="27"/>
      <c r="M39" s="45">
        <f>(I29)/(E29+G29)</f>
        <v>0.10497237569060773</v>
      </c>
      <c r="N39" s="27"/>
      <c r="O39" s="6"/>
    </row>
    <row r="40" spans="1:15" ht="15.75">
      <c r="A40" s="26"/>
      <c r="B40" s="27" t="s">
        <v>27</v>
      </c>
      <c r="C40" s="27"/>
      <c r="D40" s="27"/>
      <c r="E40" s="27"/>
      <c r="F40" s="27"/>
      <c r="G40" s="47"/>
      <c r="H40" s="27"/>
      <c r="I40" s="47"/>
      <c r="J40" s="27"/>
      <c r="K40" s="27"/>
      <c r="L40" s="27"/>
      <c r="M40" s="45">
        <f>(I31)/(E31+G31)</f>
        <v>0.11671888710629798</v>
      </c>
      <c r="N40" s="27"/>
      <c r="O40" s="6"/>
    </row>
    <row r="41" spans="1:15" ht="15.75">
      <c r="A41" s="26"/>
      <c r="B41" s="27" t="s">
        <v>28</v>
      </c>
      <c r="C41" s="27"/>
      <c r="D41" s="27"/>
      <c r="E41" s="27"/>
      <c r="F41" s="27"/>
      <c r="G41" s="27"/>
      <c r="H41" s="27"/>
      <c r="I41" s="27"/>
      <c r="J41" s="27"/>
      <c r="K41" s="34" t="s">
        <v>177</v>
      </c>
      <c r="L41" s="34" t="s">
        <v>187</v>
      </c>
      <c r="M41" s="35">
        <f>M29/2-I29</f>
        <v>101250</v>
      </c>
      <c r="N41" s="27"/>
      <c r="O41" s="6"/>
    </row>
    <row r="42" spans="1:15" ht="15.75">
      <c r="A42" s="26"/>
      <c r="B42" s="27"/>
      <c r="C42" s="27"/>
      <c r="D42" s="27"/>
      <c r="E42" s="27"/>
      <c r="F42" s="27"/>
      <c r="G42" s="27"/>
      <c r="H42" s="27"/>
      <c r="I42" s="27"/>
      <c r="J42" s="27"/>
      <c r="K42" s="27" t="s">
        <v>178</v>
      </c>
      <c r="L42" s="27"/>
      <c r="M42" s="48"/>
      <c r="N42" s="27"/>
      <c r="O42" s="6"/>
    </row>
    <row r="43" spans="1:15" ht="15.75">
      <c r="A43" s="26"/>
      <c r="B43" s="27" t="s">
        <v>29</v>
      </c>
      <c r="C43" s="27"/>
      <c r="D43" s="27"/>
      <c r="E43" s="27"/>
      <c r="F43" s="27"/>
      <c r="G43" s="27"/>
      <c r="H43" s="27"/>
      <c r="I43" s="27"/>
      <c r="J43" s="27"/>
      <c r="K43" s="34"/>
      <c r="L43" s="34"/>
      <c r="M43" s="34" t="s">
        <v>191</v>
      </c>
      <c r="N43" s="27"/>
      <c r="O43" s="6"/>
    </row>
    <row r="44" spans="1:15" ht="15.75">
      <c r="A44" s="26"/>
      <c r="B44" s="32" t="s">
        <v>30</v>
      </c>
      <c r="C44" s="32"/>
      <c r="D44" s="32"/>
      <c r="E44" s="32"/>
      <c r="F44" s="32"/>
      <c r="G44" s="32"/>
      <c r="H44" s="32"/>
      <c r="I44" s="32"/>
      <c r="J44" s="32"/>
      <c r="K44" s="49"/>
      <c r="L44" s="49"/>
      <c r="M44" s="50">
        <v>38418</v>
      </c>
      <c r="N44" s="27"/>
      <c r="O44" s="6"/>
    </row>
    <row r="45" spans="1:15" ht="15.75">
      <c r="A45" s="26"/>
      <c r="B45" s="27" t="s">
        <v>31</v>
      </c>
      <c r="C45" s="27"/>
      <c r="D45" s="27"/>
      <c r="E45" s="27"/>
      <c r="F45" s="27"/>
      <c r="G45" s="27"/>
      <c r="H45" s="27"/>
      <c r="I45" s="27"/>
      <c r="J45" s="27">
        <f>M45-K45+1</f>
        <v>91</v>
      </c>
      <c r="K45" s="51">
        <v>38237</v>
      </c>
      <c r="L45" s="52"/>
      <c r="M45" s="51">
        <v>38327</v>
      </c>
      <c r="N45" s="27"/>
      <c r="O45" s="6"/>
    </row>
    <row r="46" spans="1:15" ht="15.75">
      <c r="A46" s="26"/>
      <c r="B46" s="27" t="s">
        <v>32</v>
      </c>
      <c r="C46" s="27"/>
      <c r="D46" s="27"/>
      <c r="E46" s="27"/>
      <c r="F46" s="27"/>
      <c r="G46" s="27"/>
      <c r="H46" s="27"/>
      <c r="I46" s="27"/>
      <c r="J46" s="27">
        <f>M46-K46+1</f>
        <v>90</v>
      </c>
      <c r="K46" s="51">
        <v>38328</v>
      </c>
      <c r="L46" s="52"/>
      <c r="M46" s="51">
        <v>38417</v>
      </c>
      <c r="N46" s="27"/>
      <c r="O46" s="6"/>
    </row>
    <row r="47" spans="1:15" ht="15.75">
      <c r="A47" s="26"/>
      <c r="B47" s="27" t="s">
        <v>33</v>
      </c>
      <c r="C47" s="27"/>
      <c r="D47" s="27"/>
      <c r="E47" s="27"/>
      <c r="F47" s="27"/>
      <c r="G47" s="27"/>
      <c r="H47" s="27"/>
      <c r="I47" s="27"/>
      <c r="J47" s="27"/>
      <c r="K47" s="51"/>
      <c r="L47" s="52"/>
      <c r="M47" s="51" t="s">
        <v>192</v>
      </c>
      <c r="N47" s="27"/>
      <c r="O47" s="6"/>
    </row>
    <row r="48" spans="1:15" ht="15.75">
      <c r="A48" s="26"/>
      <c r="B48" s="27" t="s">
        <v>34</v>
      </c>
      <c r="C48" s="27"/>
      <c r="D48" s="27"/>
      <c r="E48" s="27"/>
      <c r="F48" s="27"/>
      <c r="G48" s="27"/>
      <c r="H48" s="27"/>
      <c r="I48" s="27"/>
      <c r="J48" s="27"/>
      <c r="K48" s="51"/>
      <c r="L48" s="52"/>
      <c r="M48" s="51">
        <v>38412</v>
      </c>
      <c r="N48" s="27"/>
      <c r="O48" s="6"/>
    </row>
    <row r="49" spans="1:15" ht="15.75">
      <c r="A49" s="26"/>
      <c r="B49" s="27"/>
      <c r="C49" s="27"/>
      <c r="D49" s="27"/>
      <c r="E49" s="27"/>
      <c r="F49" s="27"/>
      <c r="G49" s="27"/>
      <c r="H49" s="27"/>
      <c r="I49" s="27"/>
      <c r="J49" s="27"/>
      <c r="K49" s="51"/>
      <c r="L49" s="52"/>
      <c r="M49" s="51"/>
      <c r="N49" s="27"/>
      <c r="O49" s="6"/>
    </row>
    <row r="50" spans="1:15" ht="15.75">
      <c r="A50" s="7"/>
      <c r="B50" s="9"/>
      <c r="C50" s="9"/>
      <c r="D50" s="9"/>
      <c r="E50" s="9"/>
      <c r="F50" s="9"/>
      <c r="G50" s="9"/>
      <c r="H50" s="9"/>
      <c r="I50" s="9"/>
      <c r="J50" s="9"/>
      <c r="K50" s="53"/>
      <c r="L50" s="54"/>
      <c r="M50" s="53"/>
      <c r="N50" s="9"/>
      <c r="O50" s="6"/>
    </row>
    <row r="51" spans="1:15" ht="19.5" thickBot="1">
      <c r="A51" s="117"/>
      <c r="B51" s="118" t="s">
        <v>209</v>
      </c>
      <c r="C51" s="119"/>
      <c r="D51" s="119"/>
      <c r="E51" s="119"/>
      <c r="F51" s="119"/>
      <c r="G51" s="119"/>
      <c r="H51" s="119"/>
      <c r="I51" s="119"/>
      <c r="J51" s="119"/>
      <c r="K51" s="119"/>
      <c r="L51" s="119"/>
      <c r="M51" s="120"/>
      <c r="N51" s="121"/>
      <c r="O51" s="6"/>
    </row>
    <row r="52" spans="1:15" ht="15.75">
      <c r="A52" s="2"/>
      <c r="B52" s="5"/>
      <c r="C52" s="5"/>
      <c r="D52" s="5"/>
      <c r="E52" s="5"/>
      <c r="F52" s="5"/>
      <c r="G52" s="5"/>
      <c r="H52" s="5"/>
      <c r="I52" s="5"/>
      <c r="J52" s="5"/>
      <c r="K52" s="5"/>
      <c r="L52" s="5"/>
      <c r="M52" s="56"/>
      <c r="N52" s="5"/>
      <c r="O52" s="6"/>
    </row>
    <row r="53" spans="1:15" ht="15.75">
      <c r="A53" s="7"/>
      <c r="B53" s="57" t="s">
        <v>36</v>
      </c>
      <c r="C53" s="15"/>
      <c r="D53" s="15"/>
      <c r="E53" s="9"/>
      <c r="F53" s="9"/>
      <c r="G53" s="9"/>
      <c r="H53" s="9"/>
      <c r="I53" s="9"/>
      <c r="J53" s="9"/>
      <c r="K53" s="9"/>
      <c r="L53" s="9"/>
      <c r="M53" s="58"/>
      <c r="N53" s="9"/>
      <c r="O53" s="6"/>
    </row>
    <row r="54" spans="1:15" ht="15.75">
      <c r="A54" s="7"/>
      <c r="B54" s="15"/>
      <c r="C54" s="15"/>
      <c r="D54" s="15"/>
      <c r="E54" s="9"/>
      <c r="F54" s="9"/>
      <c r="G54" s="9"/>
      <c r="H54" s="9"/>
      <c r="I54" s="9"/>
      <c r="J54" s="9"/>
      <c r="K54" s="9"/>
      <c r="L54" s="9"/>
      <c r="M54" s="58"/>
      <c r="N54" s="9"/>
      <c r="O54" s="6"/>
    </row>
    <row r="55" spans="1:15" ht="47.25">
      <c r="A55" s="7"/>
      <c r="B55" s="134" t="s">
        <v>37</v>
      </c>
      <c r="C55" s="135" t="s">
        <v>144</v>
      </c>
      <c r="D55" s="135"/>
      <c r="E55" s="135" t="s">
        <v>153</v>
      </c>
      <c r="F55" s="135"/>
      <c r="G55" s="135" t="s">
        <v>161</v>
      </c>
      <c r="H55" s="135"/>
      <c r="I55" s="135" t="s">
        <v>171</v>
      </c>
      <c r="J55" s="135"/>
      <c r="K55" s="135" t="s">
        <v>179</v>
      </c>
      <c r="L55" s="135"/>
      <c r="M55" s="136" t="s">
        <v>193</v>
      </c>
      <c r="N55" s="137"/>
      <c r="O55" s="6"/>
    </row>
    <row r="56" spans="1:15" ht="15.75">
      <c r="A56" s="26"/>
      <c r="B56" s="27" t="s">
        <v>38</v>
      </c>
      <c r="C56" s="38">
        <v>249994</v>
      </c>
      <c r="D56" s="38"/>
      <c r="E56" s="59">
        <v>232101</v>
      </c>
      <c r="F56" s="38"/>
      <c r="G56" s="38">
        <f>4871+8+2389</f>
        <v>7268</v>
      </c>
      <c r="H56" s="38"/>
      <c r="I56" s="38">
        <f>2389+8</f>
        <v>2397</v>
      </c>
      <c r="J56" s="38"/>
      <c r="K56" s="38">
        <v>0</v>
      </c>
      <c r="L56" s="38"/>
      <c r="M56" s="59">
        <f>E56-G56+I56-K56</f>
        <v>227230</v>
      </c>
      <c r="N56" s="27"/>
      <c r="O56" s="6"/>
    </row>
    <row r="57" spans="1:15" ht="15.75">
      <c r="A57" s="26"/>
      <c r="B57" s="27" t="s">
        <v>39</v>
      </c>
      <c r="C57" s="38">
        <v>6</v>
      </c>
      <c r="D57" s="38"/>
      <c r="E57" s="59">
        <v>0</v>
      </c>
      <c r="F57" s="38"/>
      <c r="G57" s="38">
        <v>0</v>
      </c>
      <c r="H57" s="38"/>
      <c r="I57" s="38">
        <v>0</v>
      </c>
      <c r="J57" s="38"/>
      <c r="K57" s="38">
        <v>0</v>
      </c>
      <c r="L57" s="38"/>
      <c r="M57" s="59">
        <f>E57-G57</f>
        <v>0</v>
      </c>
      <c r="N57" s="27"/>
      <c r="O57" s="6"/>
    </row>
    <row r="58" spans="1:15" ht="15.75">
      <c r="A58" s="26"/>
      <c r="B58" s="27"/>
      <c r="C58" s="38"/>
      <c r="D58" s="38"/>
      <c r="E58" s="59"/>
      <c r="F58" s="38"/>
      <c r="G58" s="38"/>
      <c r="H58" s="38"/>
      <c r="I58" s="38"/>
      <c r="J58" s="38"/>
      <c r="K58" s="38"/>
      <c r="L58" s="38"/>
      <c r="M58" s="59"/>
      <c r="N58" s="27"/>
      <c r="O58" s="6"/>
    </row>
    <row r="59" spans="1:15" ht="15.75">
      <c r="A59" s="26"/>
      <c r="B59" s="27" t="s">
        <v>40</v>
      </c>
      <c r="C59" s="38">
        <f>SUM(C56:C58)</f>
        <v>250000</v>
      </c>
      <c r="D59" s="38"/>
      <c r="E59" s="60">
        <f>E56+E57</f>
        <v>232101</v>
      </c>
      <c r="F59" s="38"/>
      <c r="G59" s="38">
        <f>SUM(G56:G58)</f>
        <v>7268</v>
      </c>
      <c r="H59" s="38"/>
      <c r="I59" s="38">
        <f>SUM(I56:I58)</f>
        <v>2397</v>
      </c>
      <c r="J59" s="38"/>
      <c r="K59" s="38">
        <f>SUM(K56:K58)</f>
        <v>0</v>
      </c>
      <c r="L59" s="38"/>
      <c r="M59" s="60">
        <f>SUM(M56:M58)</f>
        <v>227230</v>
      </c>
      <c r="N59" s="27"/>
      <c r="O59" s="6"/>
    </row>
    <row r="60" spans="1:15" ht="15.75">
      <c r="A60" s="26"/>
      <c r="B60" s="27"/>
      <c r="C60" s="38"/>
      <c r="D60" s="38"/>
      <c r="E60" s="38"/>
      <c r="F60" s="38"/>
      <c r="G60" s="38"/>
      <c r="H60" s="38"/>
      <c r="I60" s="38"/>
      <c r="J60" s="38"/>
      <c r="K60" s="38"/>
      <c r="L60" s="38"/>
      <c r="M60" s="60"/>
      <c r="N60" s="27"/>
      <c r="O60" s="6"/>
    </row>
    <row r="61" spans="1:15" ht="15.75">
      <c r="A61" s="7"/>
      <c r="B61" s="129" t="s">
        <v>41</v>
      </c>
      <c r="C61" s="61"/>
      <c r="D61" s="61"/>
      <c r="E61" s="61"/>
      <c r="F61" s="61"/>
      <c r="G61" s="61"/>
      <c r="H61" s="61"/>
      <c r="I61" s="61"/>
      <c r="J61" s="61"/>
      <c r="K61" s="61"/>
      <c r="L61" s="61"/>
      <c r="M61" s="62"/>
      <c r="N61" s="9"/>
      <c r="O61" s="6"/>
    </row>
    <row r="62" spans="1:15" ht="15.75">
      <c r="A62" s="7"/>
      <c r="B62" s="9"/>
      <c r="C62" s="61"/>
      <c r="D62" s="61"/>
      <c r="E62" s="61"/>
      <c r="F62" s="61"/>
      <c r="G62" s="61"/>
      <c r="H62" s="61"/>
      <c r="I62" s="61"/>
      <c r="J62" s="61"/>
      <c r="K62" s="61"/>
      <c r="L62" s="61"/>
      <c r="M62" s="62"/>
      <c r="N62" s="9"/>
      <c r="O62" s="6"/>
    </row>
    <row r="63" spans="1:15" ht="15.75">
      <c r="A63" s="26"/>
      <c r="B63" s="27" t="s">
        <v>38</v>
      </c>
      <c r="C63" s="38"/>
      <c r="D63" s="38"/>
      <c r="E63" s="38"/>
      <c r="F63" s="38"/>
      <c r="G63" s="38"/>
      <c r="H63" s="38"/>
      <c r="I63" s="38"/>
      <c r="J63" s="38"/>
      <c r="K63" s="38"/>
      <c r="L63" s="38"/>
      <c r="M63" s="60"/>
      <c r="N63" s="27"/>
      <c r="O63" s="6"/>
    </row>
    <row r="64" spans="1:15" ht="15.75">
      <c r="A64" s="26"/>
      <c r="B64" s="27" t="s">
        <v>39</v>
      </c>
      <c r="C64" s="38"/>
      <c r="D64" s="38"/>
      <c r="E64" s="38"/>
      <c r="F64" s="38"/>
      <c r="G64" s="38"/>
      <c r="H64" s="38"/>
      <c r="I64" s="38"/>
      <c r="J64" s="38"/>
      <c r="K64" s="38"/>
      <c r="L64" s="38"/>
      <c r="M64" s="60"/>
      <c r="N64" s="27"/>
      <c r="O64" s="6"/>
    </row>
    <row r="65" spans="1:15" ht="15.75">
      <c r="A65" s="26"/>
      <c r="B65" s="27"/>
      <c r="C65" s="38"/>
      <c r="D65" s="38"/>
      <c r="E65" s="38"/>
      <c r="F65" s="38"/>
      <c r="G65" s="38"/>
      <c r="H65" s="38"/>
      <c r="I65" s="38"/>
      <c r="J65" s="38"/>
      <c r="K65" s="38"/>
      <c r="L65" s="38"/>
      <c r="M65" s="60"/>
      <c r="N65" s="27"/>
      <c r="O65" s="6"/>
    </row>
    <row r="66" spans="1:15" ht="15.75">
      <c r="A66" s="26"/>
      <c r="B66" s="27" t="s">
        <v>40</v>
      </c>
      <c r="C66" s="38"/>
      <c r="D66" s="38"/>
      <c r="E66" s="38"/>
      <c r="F66" s="38"/>
      <c r="G66" s="38"/>
      <c r="H66" s="38"/>
      <c r="I66" s="38"/>
      <c r="J66" s="38"/>
      <c r="K66" s="38"/>
      <c r="L66" s="38"/>
      <c r="M66" s="38"/>
      <c r="N66" s="27"/>
      <c r="O66" s="6"/>
    </row>
    <row r="67" spans="1:15" ht="15.75">
      <c r="A67" s="26"/>
      <c r="B67" s="27"/>
      <c r="C67" s="38"/>
      <c r="D67" s="38"/>
      <c r="E67" s="38"/>
      <c r="F67" s="38"/>
      <c r="G67" s="38"/>
      <c r="H67" s="38"/>
      <c r="I67" s="38"/>
      <c r="J67" s="38"/>
      <c r="K67" s="38"/>
      <c r="L67" s="38"/>
      <c r="M67" s="38"/>
      <c r="N67" s="27"/>
      <c r="O67" s="6"/>
    </row>
    <row r="68" spans="1:15" ht="15.75">
      <c r="A68" s="26"/>
      <c r="B68" s="27" t="s">
        <v>42</v>
      </c>
      <c r="C68" s="38">
        <v>0</v>
      </c>
      <c r="D68" s="38"/>
      <c r="E68" s="38">
        <v>0</v>
      </c>
      <c r="F68" s="38"/>
      <c r="G68" s="38"/>
      <c r="H68" s="38"/>
      <c r="I68" s="38"/>
      <c r="J68" s="38"/>
      <c r="K68" s="38"/>
      <c r="L68" s="38"/>
      <c r="M68" s="59">
        <f>E68-G68+I68-K68</f>
        <v>0</v>
      </c>
      <c r="N68" s="27"/>
      <c r="O68" s="6"/>
    </row>
    <row r="69" spans="1:15" ht="15.75">
      <c r="A69" s="26"/>
      <c r="B69" s="27" t="s">
        <v>198</v>
      </c>
      <c r="C69" s="38">
        <v>0</v>
      </c>
      <c r="D69" s="38"/>
      <c r="E69" s="38">
        <v>0</v>
      </c>
      <c r="F69" s="38"/>
      <c r="G69" s="38"/>
      <c r="H69" s="38"/>
      <c r="I69" s="38"/>
      <c r="J69" s="38"/>
      <c r="K69" s="38"/>
      <c r="L69" s="38"/>
      <c r="M69" s="60">
        <v>0</v>
      </c>
      <c r="N69" s="27"/>
      <c r="O69" s="6"/>
    </row>
    <row r="70" spans="1:15" ht="15.75">
      <c r="A70" s="26"/>
      <c r="B70" s="27" t="s">
        <v>44</v>
      </c>
      <c r="C70" s="38">
        <v>0</v>
      </c>
      <c r="D70" s="38"/>
      <c r="E70" s="38">
        <v>0</v>
      </c>
      <c r="F70" s="38"/>
      <c r="G70" s="38"/>
      <c r="H70" s="38"/>
      <c r="I70" s="38"/>
      <c r="J70" s="38"/>
      <c r="K70" s="38"/>
      <c r="L70" s="38"/>
      <c r="M70" s="60">
        <v>0</v>
      </c>
      <c r="N70" s="27"/>
      <c r="O70" s="6"/>
    </row>
    <row r="71" spans="1:15" ht="15.75">
      <c r="A71" s="26"/>
      <c r="B71" s="27" t="s">
        <v>45</v>
      </c>
      <c r="C71" s="60">
        <f>SUM(C59:C70)</f>
        <v>250000</v>
      </c>
      <c r="D71" s="60"/>
      <c r="E71" s="60">
        <f>SUM(E59:E70)</f>
        <v>232101</v>
      </c>
      <c r="F71" s="38"/>
      <c r="G71" s="60"/>
      <c r="H71" s="38"/>
      <c r="I71" s="60"/>
      <c r="J71" s="38"/>
      <c r="K71" s="60"/>
      <c r="L71" s="38"/>
      <c r="M71" s="60">
        <f>SUM(M59:M70)</f>
        <v>227230</v>
      </c>
      <c r="N71" s="27"/>
      <c r="O71" s="6"/>
    </row>
    <row r="72" spans="1:15" ht="15.75">
      <c r="A72" s="26"/>
      <c r="B72" s="27"/>
      <c r="C72" s="38"/>
      <c r="D72" s="38"/>
      <c r="E72" s="38"/>
      <c r="F72" s="38"/>
      <c r="G72" s="38"/>
      <c r="H72" s="38"/>
      <c r="I72" s="38"/>
      <c r="J72" s="38"/>
      <c r="K72" s="38"/>
      <c r="L72" s="38"/>
      <c r="M72" s="60"/>
      <c r="N72" s="27"/>
      <c r="O72" s="6"/>
    </row>
    <row r="73" spans="1:15" ht="15.75">
      <c r="A73" s="7"/>
      <c r="B73" s="9"/>
      <c r="C73" s="9"/>
      <c r="D73" s="9"/>
      <c r="E73" s="9"/>
      <c r="F73" s="9"/>
      <c r="G73" s="9"/>
      <c r="H73" s="9"/>
      <c r="I73" s="9"/>
      <c r="J73" s="9"/>
      <c r="K73" s="9"/>
      <c r="L73" s="9"/>
      <c r="M73" s="9"/>
      <c r="N73" s="9"/>
      <c r="O73" s="6"/>
    </row>
    <row r="74" spans="1:15" ht="15.75">
      <c r="A74" s="7"/>
      <c r="B74" s="57" t="s">
        <v>46</v>
      </c>
      <c r="C74" s="16"/>
      <c r="D74" s="16"/>
      <c r="E74" s="16"/>
      <c r="F74" s="16"/>
      <c r="G74" s="16"/>
      <c r="H74" s="16"/>
      <c r="I74" s="16"/>
      <c r="J74" s="19"/>
      <c r="K74" s="19" t="s">
        <v>180</v>
      </c>
      <c r="L74" s="19"/>
      <c r="M74" s="19" t="s">
        <v>194</v>
      </c>
      <c r="N74" s="9"/>
      <c r="O74" s="6"/>
    </row>
    <row r="75" spans="1:15" ht="15.75">
      <c r="A75" s="26"/>
      <c r="B75" s="27" t="s">
        <v>47</v>
      </c>
      <c r="C75" s="27"/>
      <c r="D75" s="27"/>
      <c r="E75" s="27"/>
      <c r="F75" s="27"/>
      <c r="G75" s="27"/>
      <c r="H75" s="27"/>
      <c r="I75" s="27"/>
      <c r="J75" s="27"/>
      <c r="K75" s="38">
        <v>0</v>
      </c>
      <c r="L75" s="27"/>
      <c r="M75" s="59">
        <v>0</v>
      </c>
      <c r="N75" s="27"/>
      <c r="O75" s="6"/>
    </row>
    <row r="76" spans="1:15" ht="15.75">
      <c r="A76" s="26"/>
      <c r="B76" s="27" t="s">
        <v>48</v>
      </c>
      <c r="C76" s="46" t="s">
        <v>145</v>
      </c>
      <c r="D76" s="149">
        <f>+K157</f>
        <v>38411</v>
      </c>
      <c r="E76" s="63"/>
      <c r="F76" s="27"/>
      <c r="G76" s="27"/>
      <c r="H76" s="27"/>
      <c r="I76" s="27"/>
      <c r="J76" s="27"/>
      <c r="K76" s="38">
        <v>7268</v>
      </c>
      <c r="L76" s="27"/>
      <c r="M76" s="59"/>
      <c r="N76" s="27"/>
      <c r="O76" s="6"/>
    </row>
    <row r="77" spans="1:15" ht="15.75">
      <c r="A77" s="26"/>
      <c r="B77" s="27" t="s">
        <v>49</v>
      </c>
      <c r="C77" s="27"/>
      <c r="D77" s="27"/>
      <c r="E77" s="27"/>
      <c r="F77" s="27"/>
      <c r="G77" s="27"/>
      <c r="H77" s="27"/>
      <c r="I77" s="27"/>
      <c r="J77" s="27"/>
      <c r="K77" s="38"/>
      <c r="L77" s="27"/>
      <c r="M77" s="59">
        <v>3850</v>
      </c>
      <c r="N77" s="27"/>
      <c r="O77" s="6"/>
    </row>
    <row r="78" spans="1:15" ht="15.75">
      <c r="A78" s="26"/>
      <c r="B78" s="27" t="s">
        <v>50</v>
      </c>
      <c r="C78" s="27"/>
      <c r="D78" s="27"/>
      <c r="E78" s="27"/>
      <c r="F78" s="27"/>
      <c r="G78" s="27"/>
      <c r="H78" s="27"/>
      <c r="I78" s="27"/>
      <c r="J78" s="27"/>
      <c r="K78" s="38"/>
      <c r="L78" s="27"/>
      <c r="M78" s="59">
        <v>0</v>
      </c>
      <c r="N78" s="27"/>
      <c r="O78" s="6"/>
    </row>
    <row r="79" spans="1:15" ht="15.75">
      <c r="A79" s="26"/>
      <c r="B79" s="27" t="s">
        <v>51</v>
      </c>
      <c r="C79" s="27"/>
      <c r="D79" s="27"/>
      <c r="E79" s="27"/>
      <c r="F79" s="27"/>
      <c r="G79" s="27"/>
      <c r="H79" s="27"/>
      <c r="I79" s="27"/>
      <c r="J79" s="27"/>
      <c r="K79" s="38">
        <f>SUM(K75:K78)</f>
        <v>7268</v>
      </c>
      <c r="L79" s="27"/>
      <c r="M79" s="60">
        <f>SUM(M75:M78)</f>
        <v>3850</v>
      </c>
      <c r="N79" s="27"/>
      <c r="O79" s="6"/>
    </row>
    <row r="80" spans="1:15" ht="15.75">
      <c r="A80" s="26"/>
      <c r="B80" s="27" t="s">
        <v>52</v>
      </c>
      <c r="C80" s="27"/>
      <c r="D80" s="27"/>
      <c r="E80" s="27"/>
      <c r="F80" s="27"/>
      <c r="G80" s="27"/>
      <c r="H80" s="27"/>
      <c r="I80" s="27"/>
      <c r="J80" s="27"/>
      <c r="K80" s="38">
        <v>0</v>
      </c>
      <c r="L80" s="27"/>
      <c r="M80" s="59">
        <v>0</v>
      </c>
      <c r="N80" s="27"/>
      <c r="O80" s="6"/>
    </row>
    <row r="81" spans="1:15" ht="15.75">
      <c r="A81" s="26"/>
      <c r="B81" s="27" t="s">
        <v>53</v>
      </c>
      <c r="C81" s="27"/>
      <c r="D81" s="27"/>
      <c r="E81" s="27"/>
      <c r="F81" s="27"/>
      <c r="G81" s="27"/>
      <c r="H81" s="27"/>
      <c r="I81" s="27"/>
      <c r="J81" s="27"/>
      <c r="K81" s="38">
        <f>K79+K80</f>
        <v>7268</v>
      </c>
      <c r="L81" s="27"/>
      <c r="M81" s="60">
        <f>M79+M80</f>
        <v>3850</v>
      </c>
      <c r="N81" s="27"/>
      <c r="O81" s="6"/>
    </row>
    <row r="82" spans="1:15" ht="15.75">
      <c r="A82" s="26"/>
      <c r="B82" s="138" t="s">
        <v>54</v>
      </c>
      <c r="C82" s="64"/>
      <c r="D82" s="64"/>
      <c r="E82" s="27"/>
      <c r="F82" s="27"/>
      <c r="G82" s="27"/>
      <c r="H82" s="27"/>
      <c r="I82" s="27"/>
      <c r="J82" s="27"/>
      <c r="K82" s="38"/>
      <c r="L82" s="27"/>
      <c r="M82" s="59"/>
      <c r="N82" s="27"/>
      <c r="O82" s="6"/>
    </row>
    <row r="83" spans="1:15" ht="15.75">
      <c r="A83" s="26">
        <v>1</v>
      </c>
      <c r="B83" s="27" t="s">
        <v>55</v>
      </c>
      <c r="C83" s="27"/>
      <c r="D83" s="27"/>
      <c r="E83" s="27"/>
      <c r="F83" s="27"/>
      <c r="G83" s="27"/>
      <c r="H83" s="27"/>
      <c r="I83" s="27"/>
      <c r="J83" s="27"/>
      <c r="K83" s="27"/>
      <c r="L83" s="27"/>
      <c r="M83" s="59">
        <v>0</v>
      </c>
      <c r="N83" s="27"/>
      <c r="O83" s="6"/>
    </row>
    <row r="84" spans="1:15" ht="15.75">
      <c r="A84" s="26">
        <v>2</v>
      </c>
      <c r="B84" s="27" t="s">
        <v>56</v>
      </c>
      <c r="C84" s="27"/>
      <c r="D84" s="27"/>
      <c r="E84" s="27"/>
      <c r="F84" s="27"/>
      <c r="G84" s="27"/>
      <c r="H84" s="27"/>
      <c r="I84" s="27"/>
      <c r="J84" s="27"/>
      <c r="K84" s="27"/>
      <c r="L84" s="27"/>
      <c r="M84" s="59">
        <v>-2</v>
      </c>
      <c r="N84" s="27"/>
      <c r="O84" s="6"/>
    </row>
    <row r="85" spans="1:15" ht="15.75">
      <c r="A85" s="26">
        <v>3</v>
      </c>
      <c r="B85" s="27" t="s">
        <v>57</v>
      </c>
      <c r="C85" s="27"/>
      <c r="D85" s="27"/>
      <c r="E85" s="27"/>
      <c r="F85" s="27"/>
      <c r="G85" s="27"/>
      <c r="H85" s="27"/>
      <c r="I85" s="27"/>
      <c r="J85" s="27"/>
      <c r="K85" s="27"/>
      <c r="L85" s="27"/>
      <c r="M85" s="59">
        <f>-172-4-5</f>
        <v>-181</v>
      </c>
      <c r="N85" s="27"/>
      <c r="O85" s="6"/>
    </row>
    <row r="86" spans="1:15" ht="15.75">
      <c r="A86" s="26">
        <v>4</v>
      </c>
      <c r="B86" s="27" t="s">
        <v>197</v>
      </c>
      <c r="C86" s="27"/>
      <c r="D86" s="27"/>
      <c r="E86" s="27"/>
      <c r="F86" s="27"/>
      <c r="G86" s="27"/>
      <c r="H86" s="27"/>
      <c r="I86" s="27"/>
      <c r="J86" s="27"/>
      <c r="K86" s="27"/>
      <c r="L86" s="27"/>
      <c r="M86" s="59">
        <v>-10</v>
      </c>
      <c r="N86" s="27"/>
      <c r="O86" s="6"/>
    </row>
    <row r="87" spans="1:15" ht="15.75">
      <c r="A87" s="26">
        <v>5</v>
      </c>
      <c r="B87" s="27" t="s">
        <v>58</v>
      </c>
      <c r="C87" s="27"/>
      <c r="D87" s="27"/>
      <c r="E87" s="27"/>
      <c r="F87" s="27"/>
      <c r="G87" s="27"/>
      <c r="H87" s="27"/>
      <c r="I87" s="27"/>
      <c r="J87" s="27"/>
      <c r="K87" s="27"/>
      <c r="L87" s="27"/>
      <c r="M87" s="59">
        <v>-2653</v>
      </c>
      <c r="N87" s="27"/>
      <c r="O87" s="6"/>
    </row>
    <row r="88" spans="1:15" ht="15.75">
      <c r="A88" s="26">
        <v>6</v>
      </c>
      <c r="B88" s="27" t="s">
        <v>59</v>
      </c>
      <c r="C88" s="27"/>
      <c r="D88" s="27"/>
      <c r="E88" s="27"/>
      <c r="F88" s="27"/>
      <c r="G88" s="27"/>
      <c r="H88" s="27"/>
      <c r="I88" s="27"/>
      <c r="J88" s="27"/>
      <c r="K88" s="27"/>
      <c r="L88" s="27"/>
      <c r="M88" s="59">
        <v>-364</v>
      </c>
      <c r="N88" s="27"/>
      <c r="O88" s="6"/>
    </row>
    <row r="89" spans="1:15" ht="15.75">
      <c r="A89" s="26">
        <v>7</v>
      </c>
      <c r="B89" s="27" t="s">
        <v>60</v>
      </c>
      <c r="C89" s="27"/>
      <c r="D89" s="27"/>
      <c r="E89" s="27"/>
      <c r="F89" s="27"/>
      <c r="G89" s="27"/>
      <c r="H89" s="27"/>
      <c r="I89" s="27"/>
      <c r="J89" s="27"/>
      <c r="K89" s="27"/>
      <c r="L89" s="27"/>
      <c r="M89" s="59">
        <v>-5</v>
      </c>
      <c r="N89" s="27"/>
      <c r="O89" s="6"/>
    </row>
    <row r="90" spans="1:15" ht="15.75">
      <c r="A90" s="26">
        <v>8</v>
      </c>
      <c r="B90" s="27" t="s">
        <v>81</v>
      </c>
      <c r="C90" s="27"/>
      <c r="D90" s="27"/>
      <c r="E90" s="27"/>
      <c r="F90" s="27"/>
      <c r="G90" s="27"/>
      <c r="H90" s="27"/>
      <c r="I90" s="27"/>
      <c r="J90" s="27"/>
      <c r="K90" s="27"/>
      <c r="L90" s="27"/>
      <c r="M90" s="59">
        <v>0</v>
      </c>
      <c r="N90" s="27"/>
      <c r="O90" s="6"/>
    </row>
    <row r="91" spans="1:15" ht="15.75">
      <c r="A91" s="26">
        <v>9</v>
      </c>
      <c r="B91" s="27" t="s">
        <v>61</v>
      </c>
      <c r="C91" s="27"/>
      <c r="D91" s="27"/>
      <c r="E91" s="27"/>
      <c r="F91" s="27"/>
      <c r="G91" s="27"/>
      <c r="H91" s="27"/>
      <c r="I91" s="27"/>
      <c r="J91" s="27"/>
      <c r="K91" s="27"/>
      <c r="L91" s="27"/>
      <c r="M91" s="59">
        <v>0</v>
      </c>
      <c r="N91" s="27"/>
      <c r="O91" s="6"/>
    </row>
    <row r="92" spans="1:15" ht="15.75">
      <c r="A92" s="26">
        <v>10</v>
      </c>
      <c r="B92" s="27" t="s">
        <v>62</v>
      </c>
      <c r="C92" s="27"/>
      <c r="D92" s="27"/>
      <c r="E92" s="27"/>
      <c r="F92" s="27"/>
      <c r="G92" s="27"/>
      <c r="H92" s="27"/>
      <c r="I92" s="27"/>
      <c r="J92" s="27"/>
      <c r="K92" s="27"/>
      <c r="L92" s="27"/>
      <c r="M92" s="59">
        <v>0</v>
      </c>
      <c r="N92" s="27"/>
      <c r="O92" s="6"/>
    </row>
    <row r="93" spans="1:15" ht="15.75">
      <c r="A93" s="26">
        <v>11</v>
      </c>
      <c r="B93" s="27" t="s">
        <v>63</v>
      </c>
      <c r="C93" s="27"/>
      <c r="D93" s="27"/>
      <c r="E93" s="27"/>
      <c r="F93" s="27"/>
      <c r="G93" s="27"/>
      <c r="H93" s="27"/>
      <c r="I93" s="27"/>
      <c r="J93" s="27"/>
      <c r="K93" s="27"/>
      <c r="L93" s="27"/>
      <c r="M93" s="59">
        <v>0</v>
      </c>
      <c r="N93" s="27"/>
      <c r="O93" s="6"/>
    </row>
    <row r="94" spans="1:15" ht="15.75">
      <c r="A94" s="26">
        <v>12</v>
      </c>
      <c r="B94" s="27" t="s">
        <v>64</v>
      </c>
      <c r="C94" s="27"/>
      <c r="D94" s="27"/>
      <c r="E94" s="27"/>
      <c r="F94" s="27"/>
      <c r="G94" s="27"/>
      <c r="H94" s="27"/>
      <c r="I94" s="27"/>
      <c r="J94" s="27"/>
      <c r="K94" s="27"/>
      <c r="L94" s="27"/>
      <c r="M94" s="59">
        <f>-32-143</f>
        <v>-175</v>
      </c>
      <c r="N94" s="27"/>
      <c r="O94" s="6"/>
    </row>
    <row r="95" spans="1:15" ht="15.75">
      <c r="A95" s="26">
        <v>13</v>
      </c>
      <c r="B95" s="27" t="s">
        <v>65</v>
      </c>
      <c r="C95" s="27"/>
      <c r="D95" s="27"/>
      <c r="E95" s="27"/>
      <c r="F95" s="27"/>
      <c r="G95" s="27"/>
      <c r="H95" s="27"/>
      <c r="I95" s="27"/>
      <c r="J95" s="27"/>
      <c r="K95" s="27"/>
      <c r="L95" s="27"/>
      <c r="M95" s="59">
        <f>-M81-SUM(M83:M94)</f>
        <v>-460</v>
      </c>
      <c r="N95" s="27"/>
      <c r="O95" s="6"/>
    </row>
    <row r="96" spans="1:15" ht="15.75">
      <c r="A96" s="26"/>
      <c r="B96" s="138" t="s">
        <v>66</v>
      </c>
      <c r="C96" s="64"/>
      <c r="D96" s="64"/>
      <c r="E96" s="27"/>
      <c r="F96" s="27"/>
      <c r="G96" s="27"/>
      <c r="H96" s="27"/>
      <c r="I96" s="27"/>
      <c r="J96" s="27"/>
      <c r="K96" s="27"/>
      <c r="L96" s="27"/>
      <c r="M96" s="65"/>
      <c r="N96" s="27"/>
      <c r="O96" s="6"/>
    </row>
    <row r="97" spans="1:15" ht="15.75">
      <c r="A97" s="26"/>
      <c r="B97" s="27" t="s">
        <v>67</v>
      </c>
      <c r="C97" s="64"/>
      <c r="D97" s="64"/>
      <c r="E97" s="27"/>
      <c r="F97" s="27"/>
      <c r="G97" s="27"/>
      <c r="H97" s="27"/>
      <c r="I97" s="27"/>
      <c r="J97" s="27"/>
      <c r="K97" s="38">
        <f>-K143</f>
        <v>0</v>
      </c>
      <c r="L97" s="38"/>
      <c r="M97" s="59"/>
      <c r="N97" s="27"/>
      <c r="O97" s="6"/>
    </row>
    <row r="98" spans="1:15" ht="15.75">
      <c r="A98" s="26"/>
      <c r="B98" s="27" t="s">
        <v>68</v>
      </c>
      <c r="C98" s="27"/>
      <c r="D98" s="27"/>
      <c r="E98" s="27"/>
      <c r="F98" s="27"/>
      <c r="G98" s="27"/>
      <c r="H98" s="27"/>
      <c r="I98" s="27"/>
      <c r="J98" s="27"/>
      <c r="K98" s="38">
        <f>-I143</f>
        <v>-2397</v>
      </c>
      <c r="L98" s="38"/>
      <c r="M98" s="59"/>
      <c r="N98" s="27"/>
      <c r="O98" s="6"/>
    </row>
    <row r="99" spans="1:15" ht="15.75">
      <c r="A99" s="26"/>
      <c r="B99" s="27" t="s">
        <v>69</v>
      </c>
      <c r="C99" s="27"/>
      <c r="D99" s="27"/>
      <c r="E99" s="27"/>
      <c r="F99" s="27"/>
      <c r="G99" s="27"/>
      <c r="H99" s="27"/>
      <c r="I99" s="27"/>
      <c r="J99" s="27"/>
      <c r="K99" s="38">
        <v>-4871</v>
      </c>
      <c r="L99" s="38"/>
      <c r="M99" s="59"/>
      <c r="N99" s="27"/>
      <c r="O99" s="6"/>
    </row>
    <row r="100" spans="1:15" ht="15.75">
      <c r="A100" s="26"/>
      <c r="B100" s="27" t="s">
        <v>70</v>
      </c>
      <c r="C100" s="27"/>
      <c r="D100" s="27"/>
      <c r="E100" s="27"/>
      <c r="F100" s="27"/>
      <c r="G100" s="27"/>
      <c r="H100" s="27"/>
      <c r="I100" s="27"/>
      <c r="J100" s="27"/>
      <c r="K100" s="38">
        <v>0</v>
      </c>
      <c r="L100" s="38"/>
      <c r="M100" s="59"/>
      <c r="N100" s="27"/>
      <c r="O100" s="6"/>
    </row>
    <row r="101" spans="1:15" ht="15.75">
      <c r="A101" s="26"/>
      <c r="B101" s="27" t="s">
        <v>71</v>
      </c>
      <c r="C101" s="27"/>
      <c r="D101" s="27"/>
      <c r="E101" s="27"/>
      <c r="F101" s="27"/>
      <c r="G101" s="27"/>
      <c r="H101" s="27"/>
      <c r="I101" s="27"/>
      <c r="J101" s="27"/>
      <c r="K101" s="38">
        <v>0</v>
      </c>
      <c r="L101" s="38"/>
      <c r="M101" s="59"/>
      <c r="N101" s="27"/>
      <c r="O101" s="6"/>
    </row>
    <row r="102" spans="1:15" ht="15.75">
      <c r="A102" s="26"/>
      <c r="B102" s="27" t="s">
        <v>72</v>
      </c>
      <c r="C102" s="27"/>
      <c r="D102" s="27"/>
      <c r="E102" s="27"/>
      <c r="F102" s="27"/>
      <c r="G102" s="27"/>
      <c r="H102" s="27"/>
      <c r="I102" s="27"/>
      <c r="J102" s="27"/>
      <c r="K102" s="38">
        <f>SUM(K82:K101)</f>
        <v>-7268</v>
      </c>
      <c r="L102" s="38"/>
      <c r="M102" s="38">
        <f>SUM(M82:M101)</f>
        <v>-3850</v>
      </c>
      <c r="N102" s="27"/>
      <c r="O102" s="6"/>
    </row>
    <row r="103" spans="1:15" ht="15.75">
      <c r="A103" s="26"/>
      <c r="B103" s="27" t="s">
        <v>73</v>
      </c>
      <c r="C103" s="27"/>
      <c r="D103" s="27"/>
      <c r="E103" s="27"/>
      <c r="F103" s="27"/>
      <c r="G103" s="27"/>
      <c r="H103" s="27"/>
      <c r="I103" s="27"/>
      <c r="J103" s="27"/>
      <c r="K103" s="38">
        <f>K81+K102</f>
        <v>0</v>
      </c>
      <c r="L103" s="38"/>
      <c r="M103" s="38">
        <f>M81+M102</f>
        <v>0</v>
      </c>
      <c r="N103" s="27"/>
      <c r="O103" s="6"/>
    </row>
    <row r="104" spans="1:15" ht="15.75">
      <c r="A104" s="26"/>
      <c r="B104" s="27"/>
      <c r="C104" s="27"/>
      <c r="D104" s="27"/>
      <c r="E104" s="27"/>
      <c r="F104" s="27"/>
      <c r="G104" s="27"/>
      <c r="H104" s="27"/>
      <c r="I104" s="27"/>
      <c r="J104" s="27"/>
      <c r="K104" s="38"/>
      <c r="L104" s="38"/>
      <c r="M104" s="38"/>
      <c r="N104" s="27"/>
      <c r="O104" s="6"/>
    </row>
    <row r="105" spans="1:15" ht="15.75">
      <c r="A105" s="7"/>
      <c r="B105" s="9"/>
      <c r="C105" s="9"/>
      <c r="D105" s="9"/>
      <c r="E105" s="9"/>
      <c r="F105" s="9"/>
      <c r="G105" s="9"/>
      <c r="H105" s="9"/>
      <c r="I105" s="9"/>
      <c r="J105" s="9"/>
      <c r="K105" s="9"/>
      <c r="L105" s="9"/>
      <c r="M105" s="58"/>
      <c r="N105" s="9"/>
      <c r="O105" s="6"/>
    </row>
    <row r="106" spans="1:15" ht="19.5" thickBot="1">
      <c r="A106" s="117"/>
      <c r="B106" s="118" t="str">
        <f>B51</f>
        <v>PM5 INVESTOR REPORT QUARTER ENDING FEBRUARY 2005</v>
      </c>
      <c r="C106" s="119"/>
      <c r="D106" s="119"/>
      <c r="E106" s="119"/>
      <c r="F106" s="119"/>
      <c r="G106" s="119"/>
      <c r="H106" s="119"/>
      <c r="I106" s="119"/>
      <c r="J106" s="119"/>
      <c r="K106" s="119"/>
      <c r="L106" s="119"/>
      <c r="M106" s="122"/>
      <c r="N106" s="121"/>
      <c r="O106" s="6"/>
    </row>
    <row r="107" spans="1:15" ht="15.75">
      <c r="A107" s="2"/>
      <c r="B107" s="66" t="s">
        <v>74</v>
      </c>
      <c r="C107" s="67"/>
      <c r="D107" s="67"/>
      <c r="E107" s="5"/>
      <c r="F107" s="5"/>
      <c r="G107" s="5"/>
      <c r="H107" s="5"/>
      <c r="I107" s="5"/>
      <c r="J107" s="5"/>
      <c r="K107" s="5"/>
      <c r="L107" s="5"/>
      <c r="M107" s="56"/>
      <c r="N107" s="5"/>
      <c r="O107" s="6"/>
    </row>
    <row r="108" spans="1:15" ht="15.75">
      <c r="A108" s="7"/>
      <c r="B108" s="23"/>
      <c r="C108" s="15"/>
      <c r="D108" s="15"/>
      <c r="E108" s="9"/>
      <c r="F108" s="9"/>
      <c r="G108" s="9"/>
      <c r="H108" s="9"/>
      <c r="I108" s="9"/>
      <c r="J108" s="9"/>
      <c r="K108" s="9"/>
      <c r="L108" s="9"/>
      <c r="M108" s="58"/>
      <c r="N108" s="9"/>
      <c r="O108" s="6"/>
    </row>
    <row r="109" spans="1:15" ht="15.75">
      <c r="A109" s="7"/>
      <c r="B109" s="139" t="s">
        <v>75</v>
      </c>
      <c r="C109" s="15"/>
      <c r="D109" s="15"/>
      <c r="E109" s="9"/>
      <c r="F109" s="9"/>
      <c r="G109" s="9"/>
      <c r="H109" s="9"/>
      <c r="I109" s="9"/>
      <c r="J109" s="9"/>
      <c r="K109" s="9"/>
      <c r="L109" s="9"/>
      <c r="M109" s="58"/>
      <c r="N109" s="9"/>
      <c r="O109" s="6"/>
    </row>
    <row r="110" spans="1:15" ht="15.75">
      <c r="A110" s="26"/>
      <c r="B110" s="27" t="s">
        <v>76</v>
      </c>
      <c r="C110" s="27"/>
      <c r="D110" s="27"/>
      <c r="E110" s="27"/>
      <c r="F110" s="27"/>
      <c r="G110" s="27"/>
      <c r="H110" s="27"/>
      <c r="I110" s="27"/>
      <c r="J110" s="27"/>
      <c r="K110" s="27"/>
      <c r="L110" s="27"/>
      <c r="M110" s="59">
        <v>4000</v>
      </c>
      <c r="N110" s="27"/>
      <c r="O110" s="6"/>
    </row>
    <row r="111" spans="1:15" ht="15.75">
      <c r="A111" s="26"/>
      <c r="B111" s="27" t="s">
        <v>77</v>
      </c>
      <c r="C111" s="27"/>
      <c r="D111" s="27"/>
      <c r="E111" s="27"/>
      <c r="F111" s="27"/>
      <c r="G111" s="27"/>
      <c r="H111" s="27"/>
      <c r="I111" s="27"/>
      <c r="J111" s="27"/>
      <c r="K111" s="27"/>
      <c r="L111" s="27"/>
      <c r="M111" s="59">
        <v>4000</v>
      </c>
      <c r="N111" s="27"/>
      <c r="O111" s="6"/>
    </row>
    <row r="112" spans="1:15" ht="15.75">
      <c r="A112" s="26"/>
      <c r="B112" s="27" t="s">
        <v>78</v>
      </c>
      <c r="C112" s="27"/>
      <c r="D112" s="27"/>
      <c r="E112" s="27"/>
      <c r="F112" s="27"/>
      <c r="G112" s="27"/>
      <c r="H112" s="27"/>
      <c r="I112" s="27"/>
      <c r="J112" s="27"/>
      <c r="K112" s="27"/>
      <c r="L112" s="27"/>
      <c r="M112" s="59">
        <v>0</v>
      </c>
      <c r="N112" s="27"/>
      <c r="O112" s="6"/>
    </row>
    <row r="113" spans="1:15" ht="15.75">
      <c r="A113" s="26"/>
      <c r="B113" s="27" t="s">
        <v>79</v>
      </c>
      <c r="C113" s="27"/>
      <c r="D113" s="27"/>
      <c r="E113" s="27"/>
      <c r="F113" s="27"/>
      <c r="G113" s="27"/>
      <c r="H113" s="27"/>
      <c r="I113" s="27"/>
      <c r="J113" s="27"/>
      <c r="K113" s="27"/>
      <c r="L113" s="27"/>
      <c r="M113" s="59">
        <v>0</v>
      </c>
      <c r="N113" s="27"/>
      <c r="O113" s="6"/>
    </row>
    <row r="114" spans="1:15" ht="15.75">
      <c r="A114" s="26"/>
      <c r="B114" s="27" t="s">
        <v>80</v>
      </c>
      <c r="C114" s="27"/>
      <c r="D114" s="27"/>
      <c r="E114" s="27"/>
      <c r="F114" s="27"/>
      <c r="G114" s="27"/>
      <c r="H114" s="27"/>
      <c r="I114" s="27"/>
      <c r="J114" s="27"/>
      <c r="K114" s="27"/>
      <c r="L114" s="27"/>
      <c r="M114" s="59">
        <v>0</v>
      </c>
      <c r="N114" s="27"/>
      <c r="O114" s="6"/>
    </row>
    <row r="115" spans="1:15" ht="15.75">
      <c r="A115" s="26"/>
      <c r="B115" s="27" t="s">
        <v>58</v>
      </c>
      <c r="C115" s="27"/>
      <c r="D115" s="27"/>
      <c r="E115" s="27"/>
      <c r="F115" s="27"/>
      <c r="G115" s="27"/>
      <c r="H115" s="27"/>
      <c r="I115" s="27"/>
      <c r="J115" s="27"/>
      <c r="K115" s="27"/>
      <c r="L115" s="27"/>
      <c r="M115" s="59">
        <v>0</v>
      </c>
      <c r="N115" s="27"/>
      <c r="O115" s="6"/>
    </row>
    <row r="116" spans="1:15" ht="15.75">
      <c r="A116" s="26"/>
      <c r="B116" s="27" t="s">
        <v>59</v>
      </c>
      <c r="C116" s="27"/>
      <c r="D116" s="27"/>
      <c r="E116" s="27"/>
      <c r="F116" s="27"/>
      <c r="G116" s="27"/>
      <c r="H116" s="27"/>
      <c r="I116" s="27"/>
      <c r="J116" s="27"/>
      <c r="K116" s="27"/>
      <c r="L116" s="27"/>
      <c r="M116" s="59">
        <v>0</v>
      </c>
      <c r="N116" s="27"/>
      <c r="O116" s="6"/>
    </row>
    <row r="117" spans="1:15" ht="15.75">
      <c r="A117" s="26"/>
      <c r="B117" s="27" t="s">
        <v>81</v>
      </c>
      <c r="C117" s="27"/>
      <c r="D117" s="27"/>
      <c r="E117" s="27"/>
      <c r="F117" s="27"/>
      <c r="G117" s="27"/>
      <c r="H117" s="27"/>
      <c r="I117" s="27"/>
      <c r="J117" s="27"/>
      <c r="K117" s="27"/>
      <c r="L117" s="27"/>
      <c r="M117" s="59">
        <v>0</v>
      </c>
      <c r="N117" s="27"/>
      <c r="O117" s="6"/>
    </row>
    <row r="118" spans="1:15" ht="15.75">
      <c r="A118" s="26"/>
      <c r="B118" s="27" t="s">
        <v>82</v>
      </c>
      <c r="C118" s="27"/>
      <c r="D118" s="27"/>
      <c r="E118" s="27"/>
      <c r="F118" s="27"/>
      <c r="G118" s="27"/>
      <c r="H118" s="27"/>
      <c r="I118" s="27"/>
      <c r="J118" s="27"/>
      <c r="K118" s="27"/>
      <c r="L118" s="27"/>
      <c r="M118" s="59">
        <f>SUM(M111:M117)</f>
        <v>4000</v>
      </c>
      <c r="N118" s="27"/>
      <c r="O118" s="6"/>
    </row>
    <row r="119" spans="1:15" ht="15.75">
      <c r="A119" s="26"/>
      <c r="B119" s="27"/>
      <c r="C119" s="27"/>
      <c r="D119" s="27"/>
      <c r="E119" s="27"/>
      <c r="F119" s="27"/>
      <c r="G119" s="27"/>
      <c r="H119" s="27"/>
      <c r="I119" s="27"/>
      <c r="J119" s="27"/>
      <c r="K119" s="27"/>
      <c r="L119" s="27"/>
      <c r="M119" s="68"/>
      <c r="N119" s="27"/>
      <c r="O119" s="6"/>
    </row>
    <row r="120" spans="1:15" ht="15.75">
      <c r="A120" s="7"/>
      <c r="B120" s="139" t="s">
        <v>43</v>
      </c>
      <c r="C120" s="9"/>
      <c r="D120" s="9"/>
      <c r="E120" s="9"/>
      <c r="F120" s="9"/>
      <c r="G120" s="9"/>
      <c r="H120" s="9"/>
      <c r="I120" s="9"/>
      <c r="J120" s="9"/>
      <c r="K120" s="9"/>
      <c r="L120" s="9"/>
      <c r="M120" s="58"/>
      <c r="N120" s="9"/>
      <c r="O120" s="6"/>
    </row>
    <row r="121" spans="1:15" ht="15.75">
      <c r="A121" s="26"/>
      <c r="B121" s="27" t="s">
        <v>83</v>
      </c>
      <c r="C121" s="27"/>
      <c r="D121" s="27"/>
      <c r="E121" s="69"/>
      <c r="F121" s="27"/>
      <c r="G121" s="27"/>
      <c r="H121" s="27"/>
      <c r="I121" s="27"/>
      <c r="J121" s="27"/>
      <c r="K121" s="27"/>
      <c r="L121" s="27"/>
      <c r="M121" s="70" t="s">
        <v>185</v>
      </c>
      <c r="N121" s="27"/>
      <c r="O121" s="6"/>
    </row>
    <row r="122" spans="1:15" ht="15.75">
      <c r="A122" s="26"/>
      <c r="B122" s="27" t="s">
        <v>84</v>
      </c>
      <c r="C122" s="144"/>
      <c r="D122" s="144"/>
      <c r="E122" s="144"/>
      <c r="F122" s="144"/>
      <c r="G122" s="144"/>
      <c r="H122" s="144"/>
      <c r="I122" s="144"/>
      <c r="J122" s="144"/>
      <c r="K122" s="144"/>
      <c r="L122" s="144"/>
      <c r="M122" s="70" t="s">
        <v>185</v>
      </c>
      <c r="N122" s="27"/>
      <c r="O122" s="6"/>
    </row>
    <row r="123" spans="1:15" ht="15.75">
      <c r="A123" s="26"/>
      <c r="B123" s="27" t="s">
        <v>85</v>
      </c>
      <c r="C123" s="27"/>
      <c r="D123" s="27"/>
      <c r="E123" s="27"/>
      <c r="F123" s="27"/>
      <c r="G123" s="27"/>
      <c r="H123" s="27"/>
      <c r="I123" s="27"/>
      <c r="J123" s="27"/>
      <c r="K123" s="27"/>
      <c r="L123" s="27"/>
      <c r="M123" s="70" t="s">
        <v>185</v>
      </c>
      <c r="N123" s="27"/>
      <c r="O123" s="6"/>
    </row>
    <row r="124" spans="1:15" ht="15.75">
      <c r="A124" s="26"/>
      <c r="B124" s="27" t="s">
        <v>86</v>
      </c>
      <c r="C124" s="27"/>
      <c r="D124" s="27"/>
      <c r="E124" s="27"/>
      <c r="F124" s="27"/>
      <c r="G124" s="27"/>
      <c r="H124" s="27"/>
      <c r="I124" s="27"/>
      <c r="J124" s="27"/>
      <c r="K124" s="27"/>
      <c r="L124" s="27"/>
      <c r="M124" s="70" t="s">
        <v>185</v>
      </c>
      <c r="N124" s="27"/>
      <c r="O124" s="6"/>
    </row>
    <row r="125" spans="1:15" ht="15.75">
      <c r="A125" s="26"/>
      <c r="B125" s="27"/>
      <c r="C125" s="27"/>
      <c r="D125" s="27"/>
      <c r="E125" s="27"/>
      <c r="F125" s="27"/>
      <c r="G125" s="27"/>
      <c r="H125" s="27"/>
      <c r="I125" s="27"/>
      <c r="J125" s="27"/>
      <c r="K125" s="27"/>
      <c r="L125" s="27"/>
      <c r="M125" s="68"/>
      <c r="N125" s="27"/>
      <c r="O125" s="6"/>
    </row>
    <row r="126" spans="1:15" ht="15.75">
      <c r="A126" s="7"/>
      <c r="B126" s="139" t="s">
        <v>87</v>
      </c>
      <c r="C126" s="15"/>
      <c r="D126" s="15"/>
      <c r="E126" s="9"/>
      <c r="F126" s="9"/>
      <c r="G126" s="9"/>
      <c r="H126" s="9"/>
      <c r="I126" s="9"/>
      <c r="J126" s="9"/>
      <c r="K126" s="9"/>
      <c r="L126" s="9"/>
      <c r="M126" s="71"/>
      <c r="N126" s="9"/>
      <c r="O126" s="6"/>
    </row>
    <row r="127" spans="1:15" ht="15.75">
      <c r="A127" s="26"/>
      <c r="B127" s="27" t="s">
        <v>88</v>
      </c>
      <c r="C127" s="27"/>
      <c r="D127" s="27"/>
      <c r="E127" s="27"/>
      <c r="F127" s="27"/>
      <c r="G127" s="27"/>
      <c r="H127" s="27"/>
      <c r="I127" s="27"/>
      <c r="J127" s="27"/>
      <c r="K127" s="27"/>
      <c r="L127" s="27"/>
      <c r="M127" s="59">
        <v>0</v>
      </c>
      <c r="N127" s="27"/>
      <c r="O127" s="6"/>
    </row>
    <row r="128" spans="1:15" ht="15.75">
      <c r="A128" s="26"/>
      <c r="B128" s="27" t="s">
        <v>89</v>
      </c>
      <c r="C128" s="27"/>
      <c r="D128" s="27"/>
      <c r="E128" s="27"/>
      <c r="F128" s="27"/>
      <c r="G128" s="27"/>
      <c r="H128" s="27"/>
      <c r="I128" s="27"/>
      <c r="J128" s="27"/>
      <c r="K128" s="27"/>
      <c r="L128" s="27"/>
      <c r="M128" s="59">
        <v>0</v>
      </c>
      <c r="N128" s="27"/>
      <c r="O128" s="6"/>
    </row>
    <row r="129" spans="1:15" ht="15.75">
      <c r="A129" s="26"/>
      <c r="B129" s="27" t="s">
        <v>90</v>
      </c>
      <c r="C129" s="27"/>
      <c r="D129" s="27"/>
      <c r="E129" s="27"/>
      <c r="F129" s="27"/>
      <c r="G129" s="27"/>
      <c r="H129" s="27"/>
      <c r="I129" s="27"/>
      <c r="J129" s="27"/>
      <c r="K129" s="27"/>
      <c r="L129" s="27"/>
      <c r="M129" s="59">
        <f>M128+M127</f>
        <v>0</v>
      </c>
      <c r="N129" s="27"/>
      <c r="O129" s="6"/>
    </row>
    <row r="130" spans="1:15" ht="15.75">
      <c r="A130" s="26"/>
      <c r="B130" s="27" t="s">
        <v>91</v>
      </c>
      <c r="C130" s="27"/>
      <c r="D130" s="27"/>
      <c r="E130" s="27"/>
      <c r="F130" s="27"/>
      <c r="G130" s="27"/>
      <c r="H130" s="27"/>
      <c r="I130" s="72"/>
      <c r="J130" s="27"/>
      <c r="K130" s="27"/>
      <c r="L130" s="27"/>
      <c r="M130" s="59">
        <f>M91</f>
        <v>0</v>
      </c>
      <c r="N130" s="27"/>
      <c r="O130" s="6"/>
    </row>
    <row r="131" spans="1:15" ht="15.75">
      <c r="A131" s="26"/>
      <c r="B131" s="27" t="s">
        <v>92</v>
      </c>
      <c r="C131" s="27"/>
      <c r="D131" s="27"/>
      <c r="E131" s="27"/>
      <c r="F131" s="27"/>
      <c r="G131" s="27"/>
      <c r="H131" s="27"/>
      <c r="I131" s="27"/>
      <c r="J131" s="27"/>
      <c r="K131" s="27"/>
      <c r="L131" s="27"/>
      <c r="M131" s="59">
        <f>M129+M130</f>
        <v>0</v>
      </c>
      <c r="N131" s="27"/>
      <c r="O131" s="6"/>
    </row>
    <row r="132" spans="1:15" ht="15.75">
      <c r="A132" s="26"/>
      <c r="B132" s="27"/>
      <c r="C132" s="27"/>
      <c r="D132" s="27"/>
      <c r="E132" s="27"/>
      <c r="F132" s="27"/>
      <c r="G132" s="27"/>
      <c r="H132" s="27"/>
      <c r="I132" s="27"/>
      <c r="J132" s="27"/>
      <c r="K132" s="27"/>
      <c r="L132" s="27"/>
      <c r="M132" s="68"/>
      <c r="N132" s="27"/>
      <c r="O132" s="6"/>
    </row>
    <row r="133" spans="1:15" ht="15.75">
      <c r="A133" s="2"/>
      <c r="B133" s="5"/>
      <c r="C133" s="5"/>
      <c r="D133" s="5"/>
      <c r="E133" s="5"/>
      <c r="F133" s="5"/>
      <c r="G133" s="5"/>
      <c r="H133" s="5"/>
      <c r="I133" s="5"/>
      <c r="J133" s="5"/>
      <c r="K133" s="5"/>
      <c r="L133" s="5"/>
      <c r="M133" s="56"/>
      <c r="N133" s="5"/>
      <c r="O133" s="6"/>
    </row>
    <row r="134" spans="1:15" ht="15.75">
      <c r="A134" s="7"/>
      <c r="B134" s="139" t="s">
        <v>93</v>
      </c>
      <c r="C134" s="15"/>
      <c r="D134" s="15"/>
      <c r="E134" s="9"/>
      <c r="F134" s="9"/>
      <c r="G134" s="9"/>
      <c r="H134" s="9"/>
      <c r="I134" s="9"/>
      <c r="J134" s="9"/>
      <c r="K134" s="9"/>
      <c r="L134" s="9"/>
      <c r="M134" s="58"/>
      <c r="N134" s="9"/>
      <c r="O134" s="6"/>
    </row>
    <row r="135" spans="1:15" ht="15.75">
      <c r="A135" s="7"/>
      <c r="B135" s="23"/>
      <c r="C135" s="15"/>
      <c r="D135" s="15"/>
      <c r="E135" s="9"/>
      <c r="F135" s="9"/>
      <c r="G135" s="9"/>
      <c r="H135" s="9"/>
      <c r="I135" s="9"/>
      <c r="J135" s="9"/>
      <c r="K135" s="9"/>
      <c r="L135" s="9"/>
      <c r="M135" s="58"/>
      <c r="N135" s="9"/>
      <c r="O135" s="6"/>
    </row>
    <row r="136" spans="1:15" ht="15.75">
      <c r="A136" s="26"/>
      <c r="B136" s="27" t="s">
        <v>94</v>
      </c>
      <c r="C136" s="73"/>
      <c r="D136" s="73"/>
      <c r="E136" s="27"/>
      <c r="F136" s="27"/>
      <c r="G136" s="27"/>
      <c r="H136" s="27"/>
      <c r="I136" s="27"/>
      <c r="J136" s="27"/>
      <c r="K136" s="27"/>
      <c r="L136" s="27"/>
      <c r="M136" s="59">
        <f>M59</f>
        <v>227230</v>
      </c>
      <c r="N136" s="27"/>
      <c r="O136" s="6"/>
    </row>
    <row r="137" spans="1:15" ht="15.75">
      <c r="A137" s="26"/>
      <c r="B137" s="27" t="s">
        <v>95</v>
      </c>
      <c r="C137" s="73"/>
      <c r="D137" s="73"/>
      <c r="E137" s="27"/>
      <c r="F137" s="27"/>
      <c r="G137" s="27"/>
      <c r="H137" s="27"/>
      <c r="I137" s="27"/>
      <c r="J137" s="27"/>
      <c r="K137" s="27"/>
      <c r="L137" s="27"/>
      <c r="M137" s="59">
        <f>M71</f>
        <v>227230</v>
      </c>
      <c r="N137" s="27"/>
      <c r="O137" s="6"/>
    </row>
    <row r="138" spans="1:15" ht="15.75">
      <c r="A138" s="26"/>
      <c r="B138" s="27"/>
      <c r="C138" s="27"/>
      <c r="D138" s="27"/>
      <c r="E138" s="27"/>
      <c r="F138" s="27"/>
      <c r="G138" s="27"/>
      <c r="H138" s="27"/>
      <c r="I138" s="27"/>
      <c r="J138" s="27"/>
      <c r="K138" s="27"/>
      <c r="L138" s="27"/>
      <c r="M138" s="68"/>
      <c r="N138" s="27"/>
      <c r="O138" s="6"/>
    </row>
    <row r="139" spans="1:15" ht="15.75">
      <c r="A139" s="2"/>
      <c r="B139" s="5"/>
      <c r="C139" s="5"/>
      <c r="D139" s="5"/>
      <c r="E139" s="5"/>
      <c r="F139" s="5"/>
      <c r="G139" s="5"/>
      <c r="H139" s="5"/>
      <c r="I139" s="5"/>
      <c r="J139" s="5"/>
      <c r="K139" s="5"/>
      <c r="L139" s="5"/>
      <c r="M139" s="56"/>
      <c r="N139" s="5"/>
      <c r="O139" s="6"/>
    </row>
    <row r="140" spans="1:15" ht="15.75">
      <c r="A140" s="7"/>
      <c r="B140" s="139" t="s">
        <v>96</v>
      </c>
      <c r="C140" s="129"/>
      <c r="D140" s="129"/>
      <c r="E140" s="137"/>
      <c r="F140" s="137"/>
      <c r="G140" s="137"/>
      <c r="H140" s="137"/>
      <c r="I140" s="140" t="s">
        <v>172</v>
      </c>
      <c r="J140" s="140"/>
      <c r="K140" s="140" t="s">
        <v>181</v>
      </c>
      <c r="L140" s="129"/>
      <c r="M140" s="141" t="s">
        <v>195</v>
      </c>
      <c r="N140" s="11"/>
      <c r="O140" s="6"/>
    </row>
    <row r="141" spans="1:15" ht="15.75">
      <c r="A141" s="26"/>
      <c r="B141" s="27" t="s">
        <v>97</v>
      </c>
      <c r="C141" s="27"/>
      <c r="D141" s="27"/>
      <c r="E141" s="27"/>
      <c r="F141" s="27"/>
      <c r="G141" s="27"/>
      <c r="H141" s="27"/>
      <c r="I141" s="59">
        <v>41000</v>
      </c>
      <c r="J141" s="27"/>
      <c r="K141" s="46"/>
      <c r="L141" s="27"/>
      <c r="M141" s="59"/>
      <c r="N141" s="27"/>
      <c r="O141" s="6"/>
    </row>
    <row r="142" spans="1:15" ht="15.75">
      <c r="A142" s="26"/>
      <c r="B142" s="27" t="s">
        <v>98</v>
      </c>
      <c r="C142" s="27"/>
      <c r="D142" s="27"/>
      <c r="E142" s="27"/>
      <c r="F142" s="27"/>
      <c r="G142" s="27"/>
      <c r="H142" s="27"/>
      <c r="I142" s="59">
        <f>'Nov 04'!I144</f>
        <v>19196</v>
      </c>
      <c r="J142" s="27"/>
      <c r="K142" s="59">
        <f>'Nov 04'!K144</f>
        <v>495</v>
      </c>
      <c r="L142" s="27"/>
      <c r="M142" s="59">
        <f>K142+I142</f>
        <v>19691</v>
      </c>
      <c r="N142" s="27"/>
      <c r="O142" s="6"/>
    </row>
    <row r="143" spans="1:15" ht="15.75">
      <c r="A143" s="26"/>
      <c r="B143" s="27" t="s">
        <v>99</v>
      </c>
      <c r="C143" s="27"/>
      <c r="D143" s="27"/>
      <c r="E143" s="27"/>
      <c r="F143" s="27"/>
      <c r="G143" s="27"/>
      <c r="H143" s="27"/>
      <c r="I143" s="38">
        <v>2397</v>
      </c>
      <c r="J143" s="27"/>
      <c r="K143" s="27">
        <v>0</v>
      </c>
      <c r="L143" s="27"/>
      <c r="M143" s="59">
        <f>K143+I143</f>
        <v>2397</v>
      </c>
      <c r="N143" s="27"/>
      <c r="O143" s="6"/>
    </row>
    <row r="144" spans="1:15" ht="15.75">
      <c r="A144" s="26"/>
      <c r="B144" s="27" t="s">
        <v>100</v>
      </c>
      <c r="C144" s="27"/>
      <c r="D144" s="27"/>
      <c r="E144" s="27"/>
      <c r="F144" s="27"/>
      <c r="G144" s="27"/>
      <c r="H144" s="27"/>
      <c r="I144" s="59">
        <f>I142+I143</f>
        <v>21593</v>
      </c>
      <c r="J144" s="27"/>
      <c r="K144" s="59">
        <f>K143+K142</f>
        <v>495</v>
      </c>
      <c r="L144" s="27"/>
      <c r="M144" s="59">
        <f>K144+I144</f>
        <v>22088</v>
      </c>
      <c r="N144" s="27"/>
      <c r="O144" s="6"/>
    </row>
    <row r="145" spans="1:15" ht="15.75">
      <c r="A145" s="26"/>
      <c r="B145" s="27" t="s">
        <v>101</v>
      </c>
      <c r="C145" s="27"/>
      <c r="D145" s="27"/>
      <c r="E145" s="27"/>
      <c r="F145" s="27"/>
      <c r="G145" s="27"/>
      <c r="H145" s="27"/>
      <c r="I145" s="59">
        <f>I141-I144-K144</f>
        <v>18912</v>
      </c>
      <c r="J145" s="27"/>
      <c r="K145" s="46">
        <v>0</v>
      </c>
      <c r="L145" s="27"/>
      <c r="M145" s="59"/>
      <c r="N145" s="27"/>
      <c r="O145" s="6"/>
    </row>
    <row r="146" spans="1:15" ht="15.75">
      <c r="A146" s="26"/>
      <c r="B146" s="27"/>
      <c r="C146" s="27"/>
      <c r="D146" s="27"/>
      <c r="E146" s="27"/>
      <c r="F146" s="27"/>
      <c r="G146" s="27"/>
      <c r="H146" s="27"/>
      <c r="I146" s="27"/>
      <c r="J146" s="27"/>
      <c r="K146" s="27"/>
      <c r="L146" s="27"/>
      <c r="M146" s="68"/>
      <c r="N146" s="27"/>
      <c r="O146" s="6"/>
    </row>
    <row r="147" spans="1:15" ht="15.75">
      <c r="A147" s="2"/>
      <c r="B147" s="5"/>
      <c r="C147" s="5"/>
      <c r="D147" s="5"/>
      <c r="E147" s="5"/>
      <c r="F147" s="5"/>
      <c r="G147" s="5"/>
      <c r="H147" s="5"/>
      <c r="I147" s="5"/>
      <c r="J147" s="5"/>
      <c r="K147" s="5"/>
      <c r="L147" s="5"/>
      <c r="M147" s="56"/>
      <c r="N147" s="5"/>
      <c r="O147" s="6"/>
    </row>
    <row r="148" spans="1:15" ht="15.75">
      <c r="A148" s="7"/>
      <c r="B148" s="139" t="s">
        <v>102</v>
      </c>
      <c r="C148" s="15"/>
      <c r="D148" s="15"/>
      <c r="E148" s="9"/>
      <c r="F148" s="9"/>
      <c r="G148" s="9"/>
      <c r="H148" s="9"/>
      <c r="I148" s="9"/>
      <c r="J148" s="9"/>
      <c r="K148" s="9"/>
      <c r="L148" s="9"/>
      <c r="M148" s="74"/>
      <c r="N148" s="9"/>
      <c r="O148" s="6"/>
    </row>
    <row r="149" spans="1:15" ht="15.75">
      <c r="A149" s="26"/>
      <c r="B149" s="27" t="s">
        <v>103</v>
      </c>
      <c r="C149" s="27"/>
      <c r="D149" s="27"/>
      <c r="E149" s="27"/>
      <c r="F149" s="27"/>
      <c r="G149" s="27"/>
      <c r="H149" s="27"/>
      <c r="I149" s="27"/>
      <c r="J149" s="27"/>
      <c r="K149" s="27"/>
      <c r="L149" s="27"/>
      <c r="M149" s="65">
        <f>(M81+M83+M84+M85+M86)/-M87</f>
        <v>1.3784395024500566</v>
      </c>
      <c r="N149" s="27" t="s">
        <v>196</v>
      </c>
      <c r="O149" s="6"/>
    </row>
    <row r="150" spans="1:15" ht="15.75">
      <c r="A150" s="26"/>
      <c r="B150" s="27" t="s">
        <v>104</v>
      </c>
      <c r="C150" s="27"/>
      <c r="D150" s="27"/>
      <c r="E150" s="27"/>
      <c r="F150" s="27"/>
      <c r="G150" s="27"/>
      <c r="H150" s="27"/>
      <c r="I150" s="27"/>
      <c r="J150" s="27"/>
      <c r="K150" s="27"/>
      <c r="L150" s="27"/>
      <c r="M150" s="75">
        <v>1.37</v>
      </c>
      <c r="N150" s="27" t="s">
        <v>196</v>
      </c>
      <c r="O150" s="6"/>
    </row>
    <row r="151" spans="1:15" ht="15.75">
      <c r="A151" s="26"/>
      <c r="B151" s="27" t="s">
        <v>105</v>
      </c>
      <c r="C151" s="27"/>
      <c r="D151" s="27"/>
      <c r="E151" s="27"/>
      <c r="F151" s="27"/>
      <c r="G151" s="27"/>
      <c r="H151" s="27"/>
      <c r="I151" s="27"/>
      <c r="J151" s="27"/>
      <c r="K151" s="27"/>
      <c r="L151" s="27"/>
      <c r="M151" s="65">
        <f>(M81+M83+M84+M85+M86+M87)/-M88</f>
        <v>2.758241758241758</v>
      </c>
      <c r="N151" s="27" t="s">
        <v>196</v>
      </c>
      <c r="O151" s="6"/>
    </row>
    <row r="152" spans="1:15" ht="15.75">
      <c r="A152" s="26"/>
      <c r="B152" s="27" t="s">
        <v>106</v>
      </c>
      <c r="C152" s="27"/>
      <c r="D152" s="27"/>
      <c r="E152" s="27"/>
      <c r="F152" s="27"/>
      <c r="G152" s="27"/>
      <c r="H152" s="27"/>
      <c r="I152" s="27"/>
      <c r="J152" s="27"/>
      <c r="K152" s="27"/>
      <c r="L152" s="27"/>
      <c r="M152" s="76">
        <v>2.72</v>
      </c>
      <c r="N152" s="27" t="s">
        <v>196</v>
      </c>
      <c r="O152" s="6"/>
    </row>
    <row r="153" spans="1:15" ht="15.75">
      <c r="A153" s="26"/>
      <c r="B153" s="27"/>
      <c r="C153" s="27"/>
      <c r="D153" s="27"/>
      <c r="E153" s="27"/>
      <c r="F153" s="27"/>
      <c r="G153" s="27"/>
      <c r="H153" s="27"/>
      <c r="I153" s="27"/>
      <c r="J153" s="27"/>
      <c r="K153" s="27"/>
      <c r="L153" s="27"/>
      <c r="M153" s="27"/>
      <c r="N153" s="27"/>
      <c r="O153" s="6"/>
    </row>
    <row r="154" spans="1:15" ht="15.75">
      <c r="A154" s="26"/>
      <c r="B154" s="27"/>
      <c r="C154" s="27"/>
      <c r="D154" s="27"/>
      <c r="E154" s="27"/>
      <c r="F154" s="27"/>
      <c r="G154" s="27"/>
      <c r="H154" s="27"/>
      <c r="I154" s="27"/>
      <c r="J154" s="27"/>
      <c r="K154" s="27"/>
      <c r="L154" s="27"/>
      <c r="M154" s="27"/>
      <c r="N154" s="27"/>
      <c r="O154" s="6"/>
    </row>
    <row r="155" spans="1:15" ht="15.75">
      <c r="A155" s="7"/>
      <c r="B155" s="9"/>
      <c r="C155" s="9"/>
      <c r="D155" s="9"/>
      <c r="E155" s="9"/>
      <c r="F155" s="9"/>
      <c r="G155" s="9"/>
      <c r="H155" s="9"/>
      <c r="I155" s="9"/>
      <c r="J155" s="9"/>
      <c r="K155" s="9"/>
      <c r="L155" s="9"/>
      <c r="M155" s="9"/>
      <c r="N155" s="9"/>
      <c r="O155" s="6"/>
    </row>
    <row r="156" spans="1:15" ht="19.5" thickBot="1">
      <c r="A156" s="117"/>
      <c r="B156" s="118" t="str">
        <f>B106</f>
        <v>PM5 INVESTOR REPORT QUARTER ENDING FEBRUARY 2005</v>
      </c>
      <c r="C156" s="146"/>
      <c r="D156" s="146"/>
      <c r="E156" s="146"/>
      <c r="F156" s="146"/>
      <c r="G156" s="146"/>
      <c r="H156" s="146"/>
      <c r="I156" s="146"/>
      <c r="J156" s="146"/>
      <c r="K156" s="146"/>
      <c r="L156" s="146"/>
      <c r="M156" s="146"/>
      <c r="N156" s="147"/>
      <c r="O156" s="6"/>
    </row>
    <row r="157" spans="1:15" ht="15.75">
      <c r="A157" s="77"/>
      <c r="B157" s="66" t="s">
        <v>107</v>
      </c>
      <c r="C157" s="78"/>
      <c r="D157" s="78"/>
      <c r="E157" s="78"/>
      <c r="F157" s="78"/>
      <c r="G157" s="78"/>
      <c r="H157" s="79"/>
      <c r="I157" s="79"/>
      <c r="J157" s="79"/>
      <c r="K157" s="80">
        <v>38411</v>
      </c>
      <c r="L157" s="5"/>
      <c r="M157" s="5"/>
      <c r="N157" s="5"/>
      <c r="O157" s="6"/>
    </row>
    <row r="158" spans="1:15" ht="15.75">
      <c r="A158" s="81"/>
      <c r="B158" s="82"/>
      <c r="C158" s="83"/>
      <c r="D158" s="83"/>
      <c r="E158" s="83"/>
      <c r="F158" s="83"/>
      <c r="G158" s="83"/>
      <c r="H158" s="84"/>
      <c r="I158" s="84"/>
      <c r="J158" s="84"/>
      <c r="K158" s="84"/>
      <c r="L158" s="9"/>
      <c r="M158" s="9"/>
      <c r="N158" s="9"/>
      <c r="O158" s="6"/>
    </row>
    <row r="159" spans="1:15" ht="15.75">
      <c r="A159" s="85"/>
      <c r="B159" s="86" t="s">
        <v>108</v>
      </c>
      <c r="C159" s="87"/>
      <c r="D159" s="87"/>
      <c r="E159" s="87"/>
      <c r="F159" s="87"/>
      <c r="G159" s="87"/>
      <c r="H159" s="72"/>
      <c r="I159" s="72"/>
      <c r="J159" s="72"/>
      <c r="K159" s="88">
        <v>0.0533</v>
      </c>
      <c r="L159" s="27"/>
      <c r="M159" s="27"/>
      <c r="N159" s="27"/>
      <c r="O159" s="6"/>
    </row>
    <row r="160" spans="1:15" ht="15.75">
      <c r="A160" s="85"/>
      <c r="B160" s="86" t="s">
        <v>109</v>
      </c>
      <c r="C160" s="87"/>
      <c r="D160" s="87"/>
      <c r="E160" s="87"/>
      <c r="F160" s="87"/>
      <c r="G160" s="87"/>
      <c r="H160" s="72"/>
      <c r="I160" s="72"/>
      <c r="J160" s="72"/>
      <c r="K160" s="45">
        <v>0.04050510000000001</v>
      </c>
      <c r="L160" s="27"/>
      <c r="M160" s="27"/>
      <c r="N160" s="27"/>
      <c r="O160" s="6"/>
    </row>
    <row r="161" spans="1:15" ht="15.75">
      <c r="A161" s="85"/>
      <c r="B161" s="86" t="s">
        <v>110</v>
      </c>
      <c r="C161" s="87"/>
      <c r="D161" s="87"/>
      <c r="E161" s="87"/>
      <c r="F161" s="87"/>
      <c r="G161" s="87"/>
      <c r="H161" s="72"/>
      <c r="I161" s="72"/>
      <c r="J161" s="72"/>
      <c r="K161" s="88">
        <f>K159-K160</f>
        <v>0.012794899999999991</v>
      </c>
      <c r="L161" s="27"/>
      <c r="M161" s="27"/>
      <c r="N161" s="27"/>
      <c r="O161" s="6"/>
    </row>
    <row r="162" spans="1:15" ht="15.75">
      <c r="A162" s="85"/>
      <c r="B162" s="86" t="s">
        <v>111</v>
      </c>
      <c r="C162" s="87"/>
      <c r="D162" s="87"/>
      <c r="E162" s="87"/>
      <c r="F162" s="87"/>
      <c r="G162" s="87"/>
      <c r="H162" s="72"/>
      <c r="I162" s="72"/>
      <c r="J162" s="72"/>
      <c r="K162" s="88">
        <v>0.06438</v>
      </c>
      <c r="L162" s="27"/>
      <c r="M162" s="27"/>
      <c r="N162" s="27"/>
      <c r="O162" s="6"/>
    </row>
    <row r="163" spans="1:15" ht="15.75">
      <c r="A163" s="85"/>
      <c r="B163" s="86" t="s">
        <v>112</v>
      </c>
      <c r="C163" s="87"/>
      <c r="D163" s="87"/>
      <c r="E163" s="87"/>
      <c r="F163" s="87"/>
      <c r="G163" s="87"/>
      <c r="H163" s="72"/>
      <c r="I163" s="72"/>
      <c r="J163" s="72"/>
      <c r="K163" s="88">
        <f>+M33</f>
        <v>0.05270315144859225</v>
      </c>
      <c r="L163" s="27"/>
      <c r="M163" s="27"/>
      <c r="N163" s="27"/>
      <c r="O163" s="6"/>
    </row>
    <row r="164" spans="1:15" ht="15.75">
      <c r="A164" s="85"/>
      <c r="B164" s="86" t="s">
        <v>113</v>
      </c>
      <c r="C164" s="87"/>
      <c r="D164" s="87"/>
      <c r="E164" s="87"/>
      <c r="F164" s="87"/>
      <c r="G164" s="87"/>
      <c r="H164" s="72"/>
      <c r="I164" s="72"/>
      <c r="J164" s="72"/>
      <c r="K164" s="88">
        <f>K162-K163</f>
        <v>0.011676848551407756</v>
      </c>
      <c r="L164" s="27"/>
      <c r="M164" s="27"/>
      <c r="N164" s="27"/>
      <c r="O164" s="6"/>
    </row>
    <row r="165" spans="1:15" ht="15.75">
      <c r="A165" s="85"/>
      <c r="B165" s="86" t="s">
        <v>114</v>
      </c>
      <c r="C165" s="87"/>
      <c r="D165" s="87"/>
      <c r="E165" s="87"/>
      <c r="F165" s="87"/>
      <c r="G165" s="87"/>
      <c r="H165" s="72"/>
      <c r="I165" s="72"/>
      <c r="J165" s="72"/>
      <c r="K165" s="89" t="s">
        <v>182</v>
      </c>
      <c r="L165" s="27"/>
      <c r="M165" s="27"/>
      <c r="N165" s="27"/>
      <c r="O165" s="6"/>
    </row>
    <row r="166" spans="1:15" ht="15.75">
      <c r="A166" s="85"/>
      <c r="B166" s="86" t="s">
        <v>115</v>
      </c>
      <c r="C166" s="87"/>
      <c r="D166" s="87"/>
      <c r="E166" s="87"/>
      <c r="F166" s="87"/>
      <c r="G166" s="87"/>
      <c r="H166" s="72"/>
      <c r="I166" s="72"/>
      <c r="J166" s="72"/>
      <c r="K166" s="89" t="s">
        <v>183</v>
      </c>
      <c r="L166" s="27"/>
      <c r="M166" s="27"/>
      <c r="N166" s="27"/>
      <c r="O166" s="6"/>
    </row>
    <row r="167" spans="1:15" ht="15.75">
      <c r="A167" s="85"/>
      <c r="B167" s="86" t="s">
        <v>116</v>
      </c>
      <c r="C167" s="87"/>
      <c r="D167" s="87"/>
      <c r="E167" s="87"/>
      <c r="F167" s="87"/>
      <c r="G167" s="87"/>
      <c r="H167" s="72"/>
      <c r="I167" s="72"/>
      <c r="J167" s="72"/>
      <c r="K167" s="152">
        <v>21.58</v>
      </c>
      <c r="L167" s="27" t="s">
        <v>188</v>
      </c>
      <c r="M167" s="27"/>
      <c r="N167" s="27"/>
      <c r="O167" s="6"/>
    </row>
    <row r="168" spans="1:15" ht="15.75">
      <c r="A168" s="85"/>
      <c r="B168" s="86" t="s">
        <v>117</v>
      </c>
      <c r="C168" s="87"/>
      <c r="D168" s="87"/>
      <c r="E168" s="87"/>
      <c r="F168" s="87"/>
      <c r="G168" s="87"/>
      <c r="H168" s="72"/>
      <c r="I168" s="72"/>
      <c r="J168" s="72"/>
      <c r="K168" s="152">
        <v>20.11</v>
      </c>
      <c r="L168" s="27" t="s">
        <v>188</v>
      </c>
      <c r="M168" s="27"/>
      <c r="N168" s="27"/>
      <c r="O168" s="6"/>
    </row>
    <row r="169" spans="1:15" ht="15.75">
      <c r="A169" s="85"/>
      <c r="B169" s="86" t="s">
        <v>118</v>
      </c>
      <c r="C169" s="87"/>
      <c r="D169" s="87"/>
      <c r="E169" s="87"/>
      <c r="F169" s="87"/>
      <c r="G169" s="87"/>
      <c r="H169" s="72"/>
      <c r="I169" s="72"/>
      <c r="J169" s="72"/>
      <c r="K169" s="88">
        <f>+G56/'Nov 04'!M56</f>
        <v>0.031313953839061444</v>
      </c>
      <c r="L169" s="27"/>
      <c r="M169" s="27"/>
      <c r="N169" s="27"/>
      <c r="O169" s="6"/>
    </row>
    <row r="170" spans="1:15" ht="15.75">
      <c r="A170" s="85"/>
      <c r="B170" s="86" t="s">
        <v>119</v>
      </c>
      <c r="C170" s="87"/>
      <c r="D170" s="87"/>
      <c r="E170" s="87"/>
      <c r="F170" s="87"/>
      <c r="G170" s="87"/>
      <c r="H170" s="72"/>
      <c r="I170" s="72"/>
      <c r="J170" s="72"/>
      <c r="K170" s="88">
        <v>0.1031</v>
      </c>
      <c r="L170" s="27"/>
      <c r="M170" s="27"/>
      <c r="N170" s="27"/>
      <c r="O170" s="6"/>
    </row>
    <row r="171" spans="1:15" ht="15.75">
      <c r="A171" s="85"/>
      <c r="B171" s="86"/>
      <c r="C171" s="86"/>
      <c r="D171" s="86"/>
      <c r="E171" s="86"/>
      <c r="F171" s="86"/>
      <c r="G171" s="86"/>
      <c r="H171" s="27"/>
      <c r="I171" s="27"/>
      <c r="J171" s="27"/>
      <c r="K171" s="68"/>
      <c r="L171" s="27"/>
      <c r="M171" s="91"/>
      <c r="N171" s="27"/>
      <c r="O171" s="6"/>
    </row>
    <row r="172" spans="1:15" ht="15.75">
      <c r="A172" s="92"/>
      <c r="B172" s="16" t="s">
        <v>120</v>
      </c>
      <c r="C172" s="93"/>
      <c r="D172" s="93"/>
      <c r="E172" s="94"/>
      <c r="F172" s="93"/>
      <c r="G172" s="94"/>
      <c r="H172" s="93"/>
      <c r="I172" s="94"/>
      <c r="J172" s="19" t="s">
        <v>173</v>
      </c>
      <c r="K172" s="95" t="s">
        <v>184</v>
      </c>
      <c r="L172" s="9"/>
      <c r="M172" s="9"/>
      <c r="N172" s="9"/>
      <c r="O172" s="6"/>
    </row>
    <row r="173" spans="1:15" ht="15.75">
      <c r="A173" s="96"/>
      <c r="B173" s="86" t="s">
        <v>121</v>
      </c>
      <c r="C173" s="60"/>
      <c r="D173" s="60"/>
      <c r="E173" s="60"/>
      <c r="F173" s="60"/>
      <c r="G173" s="27"/>
      <c r="H173" s="27"/>
      <c r="I173" s="27"/>
      <c r="J173" s="34">
        <v>3</v>
      </c>
      <c r="K173" s="97">
        <v>240</v>
      </c>
      <c r="L173" s="27"/>
      <c r="M173" s="91"/>
      <c r="N173" s="98"/>
      <c r="O173" s="6"/>
    </row>
    <row r="174" spans="1:15" ht="15.75">
      <c r="A174" s="96"/>
      <c r="B174" s="86" t="s">
        <v>202</v>
      </c>
      <c r="C174" s="60"/>
      <c r="D174" s="60"/>
      <c r="E174" s="60"/>
      <c r="F174" s="60"/>
      <c r="G174" s="27"/>
      <c r="H174" s="27"/>
      <c r="I174" s="27"/>
      <c r="J174" s="34">
        <v>16</v>
      </c>
      <c r="K174" s="97">
        <v>2229</v>
      </c>
      <c r="L174" s="27"/>
      <c r="M174" s="91"/>
      <c r="N174" s="98"/>
      <c r="O174" s="6"/>
    </row>
    <row r="175" spans="1:15" ht="15.75">
      <c r="A175" s="96"/>
      <c r="B175" s="86" t="s">
        <v>122</v>
      </c>
      <c r="C175" s="60"/>
      <c r="D175" s="60"/>
      <c r="E175" s="60"/>
      <c r="F175" s="60"/>
      <c r="G175" s="27"/>
      <c r="H175" s="27"/>
      <c r="I175" s="27"/>
      <c r="J175" s="34">
        <v>0</v>
      </c>
      <c r="K175" s="97">
        <v>0</v>
      </c>
      <c r="L175" s="27"/>
      <c r="M175" s="91"/>
      <c r="N175" s="98"/>
      <c r="O175" s="6"/>
    </row>
    <row r="176" spans="1:15" ht="15.75">
      <c r="A176" s="96"/>
      <c r="B176" s="142" t="s">
        <v>123</v>
      </c>
      <c r="C176" s="60"/>
      <c r="D176" s="60"/>
      <c r="E176" s="60"/>
      <c r="F176" s="60"/>
      <c r="G176" s="27"/>
      <c r="H176" s="27"/>
      <c r="I176" s="27"/>
      <c r="J176" s="27"/>
      <c r="K176" s="97">
        <v>0</v>
      </c>
      <c r="L176" s="27"/>
      <c r="M176" s="91"/>
      <c r="N176" s="98"/>
      <c r="O176" s="6"/>
    </row>
    <row r="177" spans="1:15" ht="15.75">
      <c r="A177" s="96"/>
      <c r="B177" s="142" t="s">
        <v>124</v>
      </c>
      <c r="C177" s="60"/>
      <c r="D177" s="60"/>
      <c r="E177" s="60"/>
      <c r="F177" s="60"/>
      <c r="G177" s="27"/>
      <c r="H177" s="27"/>
      <c r="I177" s="27"/>
      <c r="J177" s="27"/>
      <c r="K177" s="70" t="s">
        <v>185</v>
      </c>
      <c r="L177" s="27"/>
      <c r="M177" s="91"/>
      <c r="N177" s="98"/>
      <c r="O177" s="6"/>
    </row>
    <row r="178" spans="1:15" ht="15.75">
      <c r="A178" s="99"/>
      <c r="B178" s="142" t="s">
        <v>125</v>
      </c>
      <c r="C178" s="60"/>
      <c r="D178" s="60"/>
      <c r="E178" s="86"/>
      <c r="F178" s="86"/>
      <c r="G178" s="86"/>
      <c r="H178" s="27"/>
      <c r="I178" s="27"/>
      <c r="J178" s="27"/>
      <c r="K178" s="97"/>
      <c r="L178" s="27"/>
      <c r="M178" s="91"/>
      <c r="N178" s="100"/>
      <c r="O178" s="6"/>
    </row>
    <row r="179" spans="1:15" ht="15.75">
      <c r="A179" s="99"/>
      <c r="B179" s="150" t="s">
        <v>126</v>
      </c>
      <c r="C179" s="60"/>
      <c r="D179" s="60"/>
      <c r="E179" s="86"/>
      <c r="F179" s="86"/>
      <c r="G179" s="86"/>
      <c r="H179" s="27"/>
      <c r="I179" s="27"/>
      <c r="J179" s="27">
        <v>0</v>
      </c>
      <c r="K179" s="97">
        <f>M128</f>
        <v>0</v>
      </c>
      <c r="L179" s="27"/>
      <c r="M179" s="91"/>
      <c r="N179" s="100"/>
      <c r="O179" s="6"/>
    </row>
    <row r="180" spans="1:15" ht="15.75">
      <c r="A180" s="96"/>
      <c r="B180" s="86" t="s">
        <v>127</v>
      </c>
      <c r="C180" s="60"/>
      <c r="D180" s="60"/>
      <c r="E180" s="60"/>
      <c r="F180" s="60"/>
      <c r="G180" s="60"/>
      <c r="H180" s="27"/>
      <c r="I180" s="27"/>
      <c r="J180" s="27">
        <v>0</v>
      </c>
      <c r="K180" s="97">
        <f>+'Nov 04'!K180+K179</f>
        <v>0</v>
      </c>
      <c r="L180" s="27"/>
      <c r="M180" s="91"/>
      <c r="N180" s="100"/>
      <c r="O180" s="6"/>
    </row>
    <row r="181" spans="1:15" ht="15.75">
      <c r="A181" s="96"/>
      <c r="B181" s="86" t="s">
        <v>128</v>
      </c>
      <c r="C181" s="60"/>
      <c r="D181" s="60"/>
      <c r="E181" s="60"/>
      <c r="F181" s="60"/>
      <c r="G181" s="60"/>
      <c r="H181" s="27"/>
      <c r="I181" s="27"/>
      <c r="J181" s="27"/>
      <c r="K181" s="97">
        <v>0</v>
      </c>
      <c r="L181" s="27"/>
      <c r="M181" s="91"/>
      <c r="N181" s="100"/>
      <c r="O181" s="6"/>
    </row>
    <row r="182" spans="1:15" ht="15.75">
      <c r="A182" s="99"/>
      <c r="B182" s="142" t="s">
        <v>129</v>
      </c>
      <c r="C182" s="60"/>
      <c r="D182" s="60"/>
      <c r="E182" s="86"/>
      <c r="F182" s="86"/>
      <c r="G182" s="86"/>
      <c r="H182" s="27"/>
      <c r="I182" s="27"/>
      <c r="J182" s="27"/>
      <c r="K182" s="97"/>
      <c r="L182" s="27"/>
      <c r="M182" s="91"/>
      <c r="N182" s="100"/>
      <c r="O182" s="6"/>
    </row>
    <row r="183" spans="1:15" ht="15.75">
      <c r="A183" s="99"/>
      <c r="B183" s="86" t="s">
        <v>130</v>
      </c>
      <c r="C183" s="60"/>
      <c r="D183" s="60"/>
      <c r="E183" s="86"/>
      <c r="F183" s="86"/>
      <c r="G183" s="86"/>
      <c r="H183" s="27"/>
      <c r="I183" s="27"/>
      <c r="J183" s="27">
        <v>0</v>
      </c>
      <c r="K183" s="97">
        <v>0</v>
      </c>
      <c r="L183" s="27"/>
      <c r="M183" s="91"/>
      <c r="N183" s="100"/>
      <c r="O183" s="6"/>
    </row>
    <row r="184" spans="1:15" ht="15.75">
      <c r="A184" s="96"/>
      <c r="B184" s="86" t="s">
        <v>131</v>
      </c>
      <c r="C184" s="60"/>
      <c r="D184" s="60"/>
      <c r="E184" s="101"/>
      <c r="F184" s="101"/>
      <c r="G184" s="102"/>
      <c r="H184" s="27"/>
      <c r="I184" s="27"/>
      <c r="J184" s="27"/>
      <c r="K184" s="70">
        <v>0</v>
      </c>
      <c r="L184" s="27"/>
      <c r="M184" s="91"/>
      <c r="N184" s="100"/>
      <c r="O184" s="6"/>
    </row>
    <row r="185" spans="1:15" ht="15.75">
      <c r="A185" s="96"/>
      <c r="B185" s="86" t="s">
        <v>132</v>
      </c>
      <c r="C185" s="60"/>
      <c r="D185" s="60"/>
      <c r="E185" s="101"/>
      <c r="F185" s="101"/>
      <c r="G185" s="102"/>
      <c r="H185" s="27"/>
      <c r="I185" s="27"/>
      <c r="J185" s="27"/>
      <c r="K185" s="70">
        <v>0</v>
      </c>
      <c r="L185" s="27"/>
      <c r="M185" s="91"/>
      <c r="N185" s="100"/>
      <c r="O185" s="6"/>
    </row>
    <row r="186" spans="1:15" ht="15.75">
      <c r="A186" s="96"/>
      <c r="B186" s="86" t="s">
        <v>133</v>
      </c>
      <c r="C186" s="60"/>
      <c r="D186" s="60"/>
      <c r="E186" s="103"/>
      <c r="F186" s="101"/>
      <c r="G186" s="102"/>
      <c r="H186" s="27"/>
      <c r="I186" s="27"/>
      <c r="J186" s="27"/>
      <c r="K186" s="104">
        <v>0</v>
      </c>
      <c r="L186" s="27"/>
      <c r="M186" s="91"/>
      <c r="N186" s="100"/>
      <c r="O186" s="6"/>
    </row>
    <row r="187" spans="1:15" ht="15.75">
      <c r="A187" s="96"/>
      <c r="B187" s="86"/>
      <c r="C187" s="60"/>
      <c r="D187" s="60"/>
      <c r="E187" s="103"/>
      <c r="F187" s="101"/>
      <c r="G187" s="102"/>
      <c r="H187" s="27"/>
      <c r="I187" s="27"/>
      <c r="J187" s="27"/>
      <c r="K187" s="104"/>
      <c r="L187" s="27"/>
      <c r="M187" s="91"/>
      <c r="N187" s="100"/>
      <c r="O187" s="6"/>
    </row>
    <row r="188" spans="1:15" ht="15.75">
      <c r="A188" s="7"/>
      <c r="B188" s="16" t="s">
        <v>134</v>
      </c>
      <c r="C188" s="93"/>
      <c r="D188" s="93"/>
      <c r="E188" s="94"/>
      <c r="F188" s="93"/>
      <c r="G188" s="94"/>
      <c r="H188" s="93"/>
      <c r="I188" s="95" t="s">
        <v>173</v>
      </c>
      <c r="J188" s="19" t="s">
        <v>174</v>
      </c>
      <c r="K188" s="95" t="s">
        <v>186</v>
      </c>
      <c r="L188" s="19" t="s">
        <v>174</v>
      </c>
      <c r="M188" s="9"/>
      <c r="N188" s="105"/>
      <c r="O188" s="6"/>
    </row>
    <row r="189" spans="1:15" ht="15.75">
      <c r="A189" s="26"/>
      <c r="B189" s="60" t="s">
        <v>135</v>
      </c>
      <c r="C189" s="106"/>
      <c r="D189" s="106"/>
      <c r="E189" s="60"/>
      <c r="F189" s="106"/>
      <c r="G189" s="27"/>
      <c r="H189" s="106"/>
      <c r="I189" s="60">
        <v>2130</v>
      </c>
      <c r="J189" s="108">
        <f>I189/I199</f>
        <v>0.9833795013850416</v>
      </c>
      <c r="K189" s="59">
        <v>220756</v>
      </c>
      <c r="L189" s="151">
        <f>K189/K199</f>
        <v>0.9715090437002156</v>
      </c>
      <c r="M189" s="91"/>
      <c r="N189" s="100"/>
      <c r="O189" s="6"/>
    </row>
    <row r="190" spans="1:15" ht="15.75">
      <c r="A190" s="26"/>
      <c r="B190" s="60" t="s">
        <v>136</v>
      </c>
      <c r="C190" s="106"/>
      <c r="D190" s="106"/>
      <c r="E190" s="60"/>
      <c r="F190" s="106"/>
      <c r="G190" s="27"/>
      <c r="H190" s="108"/>
      <c r="I190" s="60">
        <v>32</v>
      </c>
      <c r="J190" s="108">
        <f>I190/I199</f>
        <v>0.014773776546629732</v>
      </c>
      <c r="K190" s="59">
        <v>5762</v>
      </c>
      <c r="L190" s="151">
        <f>K190/K199</f>
        <v>0.025357567222637857</v>
      </c>
      <c r="M190" s="91"/>
      <c r="N190" s="100"/>
      <c r="O190" s="6"/>
    </row>
    <row r="191" spans="1:15" ht="15.75">
      <c r="A191" s="26"/>
      <c r="B191" s="60" t="s">
        <v>137</v>
      </c>
      <c r="C191" s="106"/>
      <c r="D191" s="106"/>
      <c r="E191" s="60"/>
      <c r="F191" s="106"/>
      <c r="G191" s="27"/>
      <c r="H191" s="108"/>
      <c r="I191" s="60">
        <v>2</v>
      </c>
      <c r="J191" s="108">
        <f>I191/I199</f>
        <v>0.0009233610341643582</v>
      </c>
      <c r="K191" s="59">
        <v>406</v>
      </c>
      <c r="L191" s="151">
        <f>K191/K199</f>
        <v>0.0017867359063503938</v>
      </c>
      <c r="M191" s="91"/>
      <c r="N191" s="100"/>
      <c r="O191" s="6"/>
    </row>
    <row r="192" spans="1:15" ht="15.75">
      <c r="A192" s="26"/>
      <c r="B192" s="60" t="s">
        <v>210</v>
      </c>
      <c r="C192" s="106"/>
      <c r="D192" s="106"/>
      <c r="E192" s="60"/>
      <c r="F192" s="106"/>
      <c r="G192" s="27"/>
      <c r="H192" s="108"/>
      <c r="I192" s="60">
        <v>0</v>
      </c>
      <c r="J192" s="108">
        <f>I192/I199</f>
        <v>0</v>
      </c>
      <c r="K192" s="59">
        <v>0</v>
      </c>
      <c r="L192" s="151">
        <f>K192/$K$199</f>
        <v>0</v>
      </c>
      <c r="M192" s="91"/>
      <c r="N192" s="100"/>
      <c r="O192" s="6"/>
    </row>
    <row r="193" spans="1:15" ht="15.75">
      <c r="A193" s="26"/>
      <c r="B193" s="60" t="s">
        <v>211</v>
      </c>
      <c r="C193" s="106"/>
      <c r="D193" s="106"/>
      <c r="E193" s="60"/>
      <c r="F193" s="106"/>
      <c r="G193" s="27"/>
      <c r="H193" s="108"/>
      <c r="I193" s="60">
        <v>0</v>
      </c>
      <c r="J193" s="108">
        <f>I193/$I$199</f>
        <v>0</v>
      </c>
      <c r="K193" s="59">
        <v>0</v>
      </c>
      <c r="L193" s="151">
        <f>K193/$K$199</f>
        <v>0</v>
      </c>
      <c r="M193" s="91"/>
      <c r="N193" s="100"/>
      <c r="O193" s="6"/>
    </row>
    <row r="194" spans="1:15" ht="15.75">
      <c r="A194" s="26"/>
      <c r="B194" s="60" t="s">
        <v>212</v>
      </c>
      <c r="C194" s="106"/>
      <c r="D194" s="106"/>
      <c r="E194" s="60"/>
      <c r="F194" s="106"/>
      <c r="G194" s="27"/>
      <c r="H194" s="108"/>
      <c r="I194" s="60">
        <v>0</v>
      </c>
      <c r="J194" s="108">
        <f>I194/$I$199</f>
        <v>0</v>
      </c>
      <c r="K194" s="59">
        <v>0</v>
      </c>
      <c r="L194" s="151">
        <f>K194/$K$199</f>
        <v>0</v>
      </c>
      <c r="M194" s="91"/>
      <c r="N194" s="100"/>
      <c r="O194" s="6"/>
    </row>
    <row r="195" spans="1:15" ht="15.75">
      <c r="A195" s="26"/>
      <c r="B195" s="60" t="s">
        <v>213</v>
      </c>
      <c r="C195" s="106"/>
      <c r="D195" s="106"/>
      <c r="E195" s="60"/>
      <c r="F195" s="106"/>
      <c r="G195" s="27"/>
      <c r="H195" s="108"/>
      <c r="I195" s="60">
        <v>2</v>
      </c>
      <c r="J195" s="108">
        <f>I195/$I$199</f>
        <v>0.0009233610341643582</v>
      </c>
      <c r="K195" s="59">
        <v>306</v>
      </c>
      <c r="L195" s="151">
        <f>K195/$K$199</f>
        <v>0.0013466531707961096</v>
      </c>
      <c r="M195" s="91"/>
      <c r="N195" s="100"/>
      <c r="O195" s="6"/>
    </row>
    <row r="196" spans="1:15" ht="15.75">
      <c r="A196" s="26"/>
      <c r="B196" s="60" t="s">
        <v>214</v>
      </c>
      <c r="C196" s="106"/>
      <c r="D196" s="106"/>
      <c r="E196" s="60"/>
      <c r="F196" s="106"/>
      <c r="G196" s="27"/>
      <c r="H196" s="108"/>
      <c r="I196" s="60">
        <v>0</v>
      </c>
      <c r="J196" s="108">
        <f>I196/$I$199</f>
        <v>0</v>
      </c>
      <c r="K196" s="59">
        <v>0</v>
      </c>
      <c r="L196" s="151">
        <f>K196/$K$199</f>
        <v>0</v>
      </c>
      <c r="M196" s="91"/>
      <c r="N196" s="100"/>
      <c r="O196" s="6"/>
    </row>
    <row r="197" spans="1:15" ht="15.75">
      <c r="A197" s="26"/>
      <c r="B197" s="60"/>
      <c r="C197" s="106"/>
      <c r="D197" s="106"/>
      <c r="E197" s="60"/>
      <c r="F197" s="106"/>
      <c r="G197" s="27"/>
      <c r="H197" s="108"/>
      <c r="I197" s="60"/>
      <c r="J197" s="108"/>
      <c r="K197" s="59"/>
      <c r="L197" s="151"/>
      <c r="M197" s="91"/>
      <c r="N197" s="100"/>
      <c r="O197" s="6"/>
    </row>
    <row r="198" spans="1:15" ht="15.75">
      <c r="A198" s="26"/>
      <c r="B198" s="144"/>
      <c r="C198" s="106"/>
      <c r="D198" s="106"/>
      <c r="E198" s="60"/>
      <c r="F198" s="106"/>
      <c r="G198" s="27"/>
      <c r="H198" s="108"/>
      <c r="I198" s="60"/>
      <c r="J198" s="106"/>
      <c r="K198" s="59"/>
      <c r="L198" s="107"/>
      <c r="M198" s="91"/>
      <c r="N198" s="100"/>
      <c r="O198" s="6"/>
    </row>
    <row r="199" spans="1:15" ht="15.75">
      <c r="A199" s="26"/>
      <c r="B199" s="27"/>
      <c r="C199" s="27"/>
      <c r="D199" s="27"/>
      <c r="E199" s="27"/>
      <c r="F199" s="27"/>
      <c r="G199" s="27"/>
      <c r="H199" s="27"/>
      <c r="I199" s="38">
        <f>SUM(I189:I198)</f>
        <v>2166</v>
      </c>
      <c r="J199" s="109">
        <f>SUM(J189:J198)</f>
        <v>1</v>
      </c>
      <c r="K199" s="59">
        <f>SUM(K189:K198)</f>
        <v>227230</v>
      </c>
      <c r="L199" s="109">
        <f>SUM(L189:L198)</f>
        <v>0.9999999999999999</v>
      </c>
      <c r="M199" s="27"/>
      <c r="N199" s="27"/>
      <c r="O199" s="6"/>
    </row>
    <row r="200" spans="1:15" ht="15.75">
      <c r="A200" s="26"/>
      <c r="B200" s="27"/>
      <c r="C200" s="27"/>
      <c r="D200" s="27"/>
      <c r="E200" s="27"/>
      <c r="F200" s="27"/>
      <c r="G200" s="27"/>
      <c r="H200" s="27"/>
      <c r="I200" s="38"/>
      <c r="J200" s="109"/>
      <c r="K200" s="59"/>
      <c r="L200" s="109"/>
      <c r="M200" s="27"/>
      <c r="N200" s="27"/>
      <c r="O200" s="6"/>
    </row>
    <row r="201" spans="1:15" ht="15.75">
      <c r="A201" s="7"/>
      <c r="B201" s="9"/>
      <c r="C201" s="9"/>
      <c r="D201" s="9"/>
      <c r="E201" s="9"/>
      <c r="F201" s="9"/>
      <c r="G201" s="9"/>
      <c r="H201" s="9"/>
      <c r="I201" s="61"/>
      <c r="J201" s="110"/>
      <c r="K201" s="111"/>
      <c r="L201" s="110"/>
      <c r="M201" s="9"/>
      <c r="N201" s="9"/>
      <c r="O201" s="6"/>
    </row>
    <row r="202" spans="1:15" ht="15.75">
      <c r="A202" s="148"/>
      <c r="B202" s="16" t="s">
        <v>216</v>
      </c>
      <c r="C202" s="113"/>
      <c r="D202" s="113"/>
      <c r="E202" s="19"/>
      <c r="F202" s="17"/>
      <c r="G202" s="16"/>
      <c r="H202" s="143"/>
      <c r="I202" s="143"/>
      <c r="J202" s="143"/>
      <c r="K202" s="143"/>
      <c r="L202" s="143"/>
      <c r="M202" s="143"/>
      <c r="N202" s="143"/>
      <c r="O202" s="6"/>
    </row>
    <row r="203" spans="1:15" ht="15.75">
      <c r="A203" s="148"/>
      <c r="B203" s="143"/>
      <c r="C203" s="143"/>
      <c r="D203" s="143"/>
      <c r="E203" s="9"/>
      <c r="F203" s="9"/>
      <c r="G203" s="9"/>
      <c r="H203" s="143"/>
      <c r="I203" s="143"/>
      <c r="J203" s="143"/>
      <c r="K203" s="143"/>
      <c r="L203" s="143"/>
      <c r="M203" s="143"/>
      <c r="N203" s="143"/>
      <c r="O203" s="6"/>
    </row>
    <row r="204" spans="1:15" ht="15.75">
      <c r="A204" s="148"/>
      <c r="B204" s="15" t="s">
        <v>217</v>
      </c>
      <c r="C204" s="114"/>
      <c r="D204" s="114"/>
      <c r="E204" s="115"/>
      <c r="F204" s="15"/>
      <c r="G204" s="15"/>
      <c r="H204" s="114"/>
      <c r="I204" s="114"/>
      <c r="J204" s="143"/>
      <c r="K204" s="143"/>
      <c r="L204" s="143"/>
      <c r="M204" s="143"/>
      <c r="N204" s="143"/>
      <c r="O204" s="6"/>
    </row>
    <row r="205" spans="1:15" ht="15.75">
      <c r="A205" s="148"/>
      <c r="B205" s="15" t="s">
        <v>215</v>
      </c>
      <c r="C205" s="114"/>
      <c r="D205" s="114"/>
      <c r="E205" s="115"/>
      <c r="F205" s="15"/>
      <c r="G205" s="15"/>
      <c r="H205" s="114"/>
      <c r="I205" s="114"/>
      <c r="J205" s="143"/>
      <c r="K205" s="143"/>
      <c r="L205" s="143"/>
      <c r="M205" s="143"/>
      <c r="N205" s="143"/>
      <c r="O205" s="6"/>
    </row>
    <row r="206" spans="1:15" ht="15.75">
      <c r="A206" s="148"/>
      <c r="B206" s="15"/>
      <c r="C206" s="114"/>
      <c r="D206" s="114"/>
      <c r="E206" s="115"/>
      <c r="F206" s="15"/>
      <c r="G206" s="15"/>
      <c r="H206" s="114"/>
      <c r="I206" s="114"/>
      <c r="J206" s="143"/>
      <c r="K206" s="143"/>
      <c r="L206" s="143"/>
      <c r="M206" s="143"/>
      <c r="N206" s="143"/>
      <c r="O206" s="6"/>
    </row>
    <row r="207" spans="1:15" ht="15.75">
      <c r="A207" s="148"/>
      <c r="B207" s="15"/>
      <c r="C207" s="114"/>
      <c r="D207" s="114"/>
      <c r="E207" s="115"/>
      <c r="F207" s="15"/>
      <c r="G207" s="15"/>
      <c r="H207" s="114"/>
      <c r="I207" s="114"/>
      <c r="J207" s="143"/>
      <c r="K207" s="143"/>
      <c r="L207" s="143"/>
      <c r="M207" s="143"/>
      <c r="N207" s="143"/>
      <c r="O207" s="6"/>
    </row>
    <row r="208" spans="1:15" ht="18.75">
      <c r="A208" s="148"/>
      <c r="B208" s="55" t="str">
        <f>B156</f>
        <v>PM5 INVESTOR REPORT QUARTER ENDING FEBRUARY 2005</v>
      </c>
      <c r="C208" s="114"/>
      <c r="D208" s="114"/>
      <c r="E208" s="115"/>
      <c r="F208" s="15"/>
      <c r="G208" s="15"/>
      <c r="H208" s="114"/>
      <c r="I208" s="114"/>
      <c r="J208" s="143"/>
      <c r="K208" s="143"/>
      <c r="L208" s="143"/>
      <c r="M208" s="143"/>
      <c r="N208" s="143"/>
      <c r="O208" s="6"/>
    </row>
    <row r="209" spans="1:14" ht="15">
      <c r="A209" s="116"/>
      <c r="B209" s="116"/>
      <c r="C209" s="116"/>
      <c r="D209" s="116"/>
      <c r="E209" s="116"/>
      <c r="F209" s="116"/>
      <c r="G209" s="116"/>
      <c r="H209" s="116"/>
      <c r="I209" s="116"/>
      <c r="J209" s="116"/>
      <c r="K209" s="116"/>
      <c r="L209" s="116"/>
      <c r="M209" s="116"/>
      <c r="N209" s="116"/>
    </row>
    <row r="211" ht="15">
      <c r="I211" s="125"/>
    </row>
  </sheetData>
  <printOptions horizontalCentered="1" verticalCentered="1"/>
  <pageMargins left="0.5118110236220472" right="0.5118110236220472" top="0.5118110236220472" bottom="0.5118110236220472" header="0" footer="0"/>
  <pageSetup horizontalDpi="600" verticalDpi="600" orientation="landscape" scale="51" r:id="rId2"/>
  <rowBreaks count="3" manualBreakCount="3">
    <brk id="51" max="14" man="1"/>
    <brk id="106" max="14" man="1"/>
    <brk id="156" max="14" man="1"/>
  </rowBreaks>
  <drawing r:id="rId1"/>
</worksheet>
</file>

<file path=xl/worksheets/sheet8.xml><?xml version="1.0" encoding="utf-8"?>
<worksheet xmlns="http://schemas.openxmlformats.org/spreadsheetml/2006/main" xmlns:r="http://schemas.openxmlformats.org/officeDocument/2006/relationships">
  <sheetPr>
    <tabColor indexed="54"/>
  </sheetPr>
  <dimension ref="A1:P236"/>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6.6640625" style="1" customWidth="1"/>
    <col min="11" max="11" width="12.6640625" style="1" customWidth="1"/>
    <col min="12" max="12" width="6.6640625" style="1" customWidth="1"/>
    <col min="13" max="13" width="14.6640625" style="1" customWidth="1"/>
    <col min="14" max="14" width="23.445312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8.75">
      <c r="A10" s="7"/>
      <c r="B10" s="168"/>
      <c r="C10" s="13"/>
      <c r="D10" s="13"/>
      <c r="E10" s="9"/>
      <c r="F10" s="9"/>
      <c r="G10" s="9"/>
      <c r="H10" s="9"/>
      <c r="I10" s="9"/>
      <c r="J10" s="9"/>
      <c r="K10" s="9"/>
      <c r="L10" s="9"/>
      <c r="M10" s="9"/>
      <c r="N10" s="9"/>
      <c r="O10" s="6"/>
    </row>
    <row r="11" spans="1:15" ht="15.75">
      <c r="A11" s="7"/>
      <c r="B11" s="12"/>
      <c r="C11" s="13"/>
      <c r="D11" s="13"/>
      <c r="E11" s="15"/>
      <c r="F11" s="15"/>
      <c r="G11" s="9"/>
      <c r="H11" s="9"/>
      <c r="I11" s="9"/>
      <c r="J11" s="9"/>
      <c r="K11" s="9"/>
      <c r="L11" s="9"/>
      <c r="M11" s="9"/>
      <c r="N11" s="9"/>
      <c r="O11" s="6"/>
    </row>
    <row r="12" spans="1:15" ht="15.75">
      <c r="A12" s="7"/>
      <c r="B12" s="16" t="s">
        <v>5</v>
      </c>
      <c r="C12" s="15"/>
      <c r="D12" s="15"/>
      <c r="E12" s="9"/>
      <c r="F12" s="9"/>
      <c r="G12" s="9"/>
      <c r="H12" s="9"/>
      <c r="I12" s="9"/>
      <c r="J12" s="9"/>
      <c r="K12" s="9"/>
      <c r="L12" s="9"/>
      <c r="M12" s="9"/>
      <c r="N12" s="9"/>
      <c r="O12" s="6"/>
    </row>
    <row r="13" spans="1:15" ht="15.75">
      <c r="A13" s="7"/>
      <c r="B13" s="15"/>
      <c r="C13" s="15"/>
      <c r="D13" s="15"/>
      <c r="E13" s="9"/>
      <c r="F13" s="9"/>
      <c r="G13" s="9"/>
      <c r="H13" s="9"/>
      <c r="I13" s="9"/>
      <c r="J13" s="9"/>
      <c r="K13" s="9"/>
      <c r="L13" s="9"/>
      <c r="M13" s="9"/>
      <c r="N13" s="9"/>
      <c r="O13" s="6"/>
    </row>
    <row r="14" spans="1:15" ht="15.75">
      <c r="A14" s="2"/>
      <c r="B14" s="5"/>
      <c r="C14" s="5"/>
      <c r="D14" s="5"/>
      <c r="E14" s="5"/>
      <c r="F14" s="5"/>
      <c r="G14" s="5"/>
      <c r="H14" s="5"/>
      <c r="I14" s="5"/>
      <c r="J14" s="5"/>
      <c r="K14" s="5"/>
      <c r="L14" s="5"/>
      <c r="M14" s="5"/>
      <c r="N14" s="5"/>
      <c r="O14" s="6"/>
    </row>
    <row r="15" spans="1:15" ht="15.75">
      <c r="A15" s="7"/>
      <c r="B15" s="16" t="s">
        <v>6</v>
      </c>
      <c r="C15" s="16"/>
      <c r="D15" s="16"/>
      <c r="E15" s="17"/>
      <c r="F15" s="17"/>
      <c r="G15" s="17"/>
      <c r="H15" s="17"/>
      <c r="I15" s="17"/>
      <c r="J15" s="17"/>
      <c r="K15" s="17"/>
      <c r="L15" s="17"/>
      <c r="M15" s="18" t="s">
        <v>190</v>
      </c>
      <c r="N15" s="17"/>
      <c r="O15" s="6"/>
    </row>
    <row r="16" spans="1:15" ht="15.75">
      <c r="A16" s="7"/>
      <c r="B16" s="16" t="s">
        <v>7</v>
      </c>
      <c r="C16" s="16"/>
      <c r="D16" s="16"/>
      <c r="E16" s="17"/>
      <c r="F16" s="17"/>
      <c r="G16" s="17"/>
      <c r="H16" s="17"/>
      <c r="I16" s="19"/>
      <c r="J16" s="20"/>
      <c r="K16" s="19" t="s">
        <v>175</v>
      </c>
      <c r="L16" s="20">
        <v>1</v>
      </c>
      <c r="M16" s="18"/>
      <c r="N16" s="17"/>
      <c r="O16" s="6"/>
    </row>
    <row r="17" spans="1:15" ht="15.75">
      <c r="A17" s="7"/>
      <c r="B17" s="16" t="s">
        <v>8</v>
      </c>
      <c r="C17" s="16"/>
      <c r="D17" s="16"/>
      <c r="E17" s="17"/>
      <c r="F17" s="17"/>
      <c r="G17" s="17"/>
      <c r="H17" s="17"/>
      <c r="I17" s="19"/>
      <c r="J17" s="20"/>
      <c r="K17" s="19" t="s">
        <v>175</v>
      </c>
      <c r="L17" s="20">
        <v>1</v>
      </c>
      <c r="M17" s="18"/>
      <c r="N17" s="17"/>
      <c r="O17" s="6"/>
    </row>
    <row r="18" spans="1:15" ht="15.75">
      <c r="A18" s="7"/>
      <c r="B18" s="16" t="s">
        <v>9</v>
      </c>
      <c r="C18" s="16"/>
      <c r="D18" s="16"/>
      <c r="E18" s="17"/>
      <c r="F18" s="17"/>
      <c r="G18" s="17"/>
      <c r="H18" s="17"/>
      <c r="I18" s="17"/>
      <c r="J18" s="17"/>
      <c r="K18" s="17"/>
      <c r="L18" s="17"/>
      <c r="M18" s="21">
        <v>37798</v>
      </c>
      <c r="N18" s="17"/>
      <c r="O18" s="6"/>
    </row>
    <row r="19" spans="1:15" ht="15.75">
      <c r="A19" s="7"/>
      <c r="B19" s="16" t="s">
        <v>10</v>
      </c>
      <c r="C19" s="16"/>
      <c r="D19" s="16"/>
      <c r="E19" s="17"/>
      <c r="F19" s="17"/>
      <c r="G19" s="17"/>
      <c r="H19" s="17"/>
      <c r="I19" s="17"/>
      <c r="J19" s="17"/>
      <c r="K19" s="17"/>
      <c r="L19" s="17"/>
      <c r="M19" s="21">
        <v>38524</v>
      </c>
      <c r="N19" s="17"/>
      <c r="O19" s="6"/>
    </row>
    <row r="20" spans="1:15" ht="15.75">
      <c r="A20" s="7"/>
      <c r="B20" s="9"/>
      <c r="C20" s="9"/>
      <c r="D20" s="9"/>
      <c r="E20" s="9"/>
      <c r="F20" s="9"/>
      <c r="G20" s="9"/>
      <c r="H20" s="9"/>
      <c r="I20" s="9"/>
      <c r="J20" s="9"/>
      <c r="K20" s="9"/>
      <c r="L20" s="9"/>
      <c r="M20" s="22"/>
      <c r="N20" s="9"/>
      <c r="O20" s="6"/>
    </row>
    <row r="21" spans="1:15" ht="15.75">
      <c r="A21" s="7"/>
      <c r="B21" s="23" t="s">
        <v>11</v>
      </c>
      <c r="C21" s="9"/>
      <c r="D21" s="9"/>
      <c r="E21" s="9"/>
      <c r="F21" s="9"/>
      <c r="G21" s="9"/>
      <c r="H21" s="9"/>
      <c r="I21" s="9"/>
      <c r="J21" s="9"/>
      <c r="K21" s="22" t="s">
        <v>176</v>
      </c>
      <c r="L21" s="9"/>
      <c r="M21" s="143"/>
      <c r="N21" s="9"/>
      <c r="O21" s="6"/>
    </row>
    <row r="22" spans="1:15" ht="15.75">
      <c r="A22" s="7"/>
      <c r="B22" s="9"/>
      <c r="C22" s="9"/>
      <c r="D22" s="9"/>
      <c r="E22" s="9"/>
      <c r="F22" s="9"/>
      <c r="G22" s="9"/>
      <c r="H22" s="9"/>
      <c r="I22" s="9"/>
      <c r="J22" s="9"/>
      <c r="K22" s="9"/>
      <c r="L22" s="9"/>
      <c r="M22" s="24"/>
      <c r="N22" s="9"/>
      <c r="O22" s="6"/>
    </row>
    <row r="23" spans="1:15" ht="15.75">
      <c r="A23" s="7"/>
      <c r="B23" s="9"/>
      <c r="C23" s="130" t="s">
        <v>142</v>
      </c>
      <c r="D23" s="130" t="s">
        <v>146</v>
      </c>
      <c r="E23" s="132" t="s">
        <v>147</v>
      </c>
      <c r="F23" s="132"/>
      <c r="G23" s="132" t="s">
        <v>157</v>
      </c>
      <c r="H23" s="132"/>
      <c r="I23" s="132" t="s">
        <v>165</v>
      </c>
      <c r="J23" s="133"/>
      <c r="K23" s="25"/>
      <c r="L23" s="143"/>
      <c r="M23" s="143"/>
      <c r="N23" s="9"/>
      <c r="O23" s="6"/>
    </row>
    <row r="24" spans="1:15" ht="15.75">
      <c r="A24" s="26"/>
      <c r="B24" s="27" t="s">
        <v>12</v>
      </c>
      <c r="C24" s="131" t="s">
        <v>143</v>
      </c>
      <c r="D24" s="131" t="s">
        <v>143</v>
      </c>
      <c r="E24" s="29" t="s">
        <v>148</v>
      </c>
      <c r="F24" s="29"/>
      <c r="G24" s="29" t="s">
        <v>148</v>
      </c>
      <c r="H24" s="29"/>
      <c r="I24" s="29" t="s">
        <v>166</v>
      </c>
      <c r="J24" s="29"/>
      <c r="K24" s="29"/>
      <c r="L24" s="144"/>
      <c r="M24" s="144"/>
      <c r="N24" s="27"/>
      <c r="O24" s="6"/>
    </row>
    <row r="25" spans="1:15" ht="15.75">
      <c r="A25" s="26"/>
      <c r="B25" s="27" t="s">
        <v>13</v>
      </c>
      <c r="C25" s="28"/>
      <c r="D25" s="28"/>
      <c r="E25" s="29" t="s">
        <v>149</v>
      </c>
      <c r="F25" s="29"/>
      <c r="G25" s="29" t="s">
        <v>149</v>
      </c>
      <c r="H25" s="29"/>
      <c r="I25" s="29" t="s">
        <v>167</v>
      </c>
      <c r="J25" s="29"/>
      <c r="K25" s="29"/>
      <c r="L25" s="144"/>
      <c r="M25" s="144"/>
      <c r="N25" s="27"/>
      <c r="O25" s="6"/>
    </row>
    <row r="26" spans="1:15" ht="15.75">
      <c r="A26" s="31"/>
      <c r="B26" s="32" t="s">
        <v>14</v>
      </c>
      <c r="C26" s="32"/>
      <c r="D26" s="32"/>
      <c r="E26" s="33" t="s">
        <v>148</v>
      </c>
      <c r="F26" s="33"/>
      <c r="G26" s="33" t="s">
        <v>148</v>
      </c>
      <c r="H26" s="33"/>
      <c r="I26" s="33" t="s">
        <v>166</v>
      </c>
      <c r="J26" s="29"/>
      <c r="K26" s="29"/>
      <c r="L26" s="144"/>
      <c r="M26" s="144"/>
      <c r="N26" s="27"/>
      <c r="O26" s="6"/>
    </row>
    <row r="27" spans="1:15" ht="15.75">
      <c r="A27" s="31"/>
      <c r="B27" s="32" t="s">
        <v>15</v>
      </c>
      <c r="C27" s="32"/>
      <c r="D27" s="32"/>
      <c r="E27" s="33" t="s">
        <v>149</v>
      </c>
      <c r="F27" s="33"/>
      <c r="G27" s="33" t="s">
        <v>149</v>
      </c>
      <c r="H27" s="33"/>
      <c r="I27" s="33" t="s">
        <v>167</v>
      </c>
      <c r="J27" s="29"/>
      <c r="K27" s="29"/>
      <c r="L27" s="144"/>
      <c r="M27" s="144"/>
      <c r="N27" s="27"/>
      <c r="O27" s="6"/>
    </row>
    <row r="28" spans="1:15" ht="15.75">
      <c r="A28" s="26"/>
      <c r="B28" s="27" t="s">
        <v>16</v>
      </c>
      <c r="C28" s="27"/>
      <c r="D28" s="27"/>
      <c r="E28" s="34" t="s">
        <v>150</v>
      </c>
      <c r="F28" s="29"/>
      <c r="G28" s="34" t="s">
        <v>158</v>
      </c>
      <c r="H28" s="29"/>
      <c r="I28" s="34" t="s">
        <v>168</v>
      </c>
      <c r="J28" s="29"/>
      <c r="K28" s="34"/>
      <c r="L28" s="144"/>
      <c r="M28" s="144"/>
      <c r="N28" s="27"/>
      <c r="O28" s="6"/>
    </row>
    <row r="29" spans="1:15" ht="15.75">
      <c r="A29" s="26"/>
      <c r="B29" s="27"/>
      <c r="C29" s="27"/>
      <c r="D29" s="27"/>
      <c r="E29" s="27"/>
      <c r="F29" s="29"/>
      <c r="G29" s="29"/>
      <c r="H29" s="29"/>
      <c r="I29" s="29"/>
      <c r="J29" s="29"/>
      <c r="K29" s="29"/>
      <c r="L29" s="144"/>
      <c r="M29" s="144"/>
      <c r="N29" s="27"/>
      <c r="O29" s="6"/>
    </row>
    <row r="30" spans="1:15" ht="15.75">
      <c r="A30" s="26"/>
      <c r="B30" s="27" t="s">
        <v>17</v>
      </c>
      <c r="C30" s="27"/>
      <c r="D30" s="27"/>
      <c r="E30" s="35">
        <v>50000</v>
      </c>
      <c r="F30" s="36"/>
      <c r="G30" s="35">
        <v>176250</v>
      </c>
      <c r="H30" s="35"/>
      <c r="I30" s="35">
        <v>23750</v>
      </c>
      <c r="J30" s="35"/>
      <c r="K30" s="35"/>
      <c r="L30" s="145"/>
      <c r="M30" s="35">
        <f>I30+G30+E30</f>
        <v>250000</v>
      </c>
      <c r="N30" s="38"/>
      <c r="O30" s="6"/>
    </row>
    <row r="31" spans="1:15" ht="15.75">
      <c r="A31" s="26"/>
      <c r="B31" s="27" t="s">
        <v>18</v>
      </c>
      <c r="C31" s="39">
        <v>0.544607</v>
      </c>
      <c r="D31" s="39">
        <v>1</v>
      </c>
      <c r="E31" s="35">
        <f>E30*C31</f>
        <v>27230.35</v>
      </c>
      <c r="F31" s="36"/>
      <c r="G31" s="35">
        <v>176250</v>
      </c>
      <c r="H31" s="35"/>
      <c r="I31" s="35">
        <v>23750</v>
      </c>
      <c r="J31" s="35"/>
      <c r="K31" s="35"/>
      <c r="L31" s="145"/>
      <c r="M31" s="35">
        <f>I31+G31+E31</f>
        <v>227230.35</v>
      </c>
      <c r="N31" s="38"/>
      <c r="O31" s="6"/>
    </row>
    <row r="32" spans="1:15" ht="15.75">
      <c r="A32" s="31"/>
      <c r="B32" s="32" t="s">
        <v>19</v>
      </c>
      <c r="C32" s="39">
        <v>0.485839</v>
      </c>
      <c r="D32" s="39">
        <v>1</v>
      </c>
      <c r="E32" s="40">
        <f>E30*C32</f>
        <v>24291.95</v>
      </c>
      <c r="F32" s="41"/>
      <c r="G32" s="40">
        <v>176250</v>
      </c>
      <c r="H32" s="40"/>
      <c r="I32" s="40">
        <v>23750</v>
      </c>
      <c r="J32" s="40"/>
      <c r="K32" s="40"/>
      <c r="L32" s="42"/>
      <c r="M32" s="40">
        <f>I32+G32+E32</f>
        <v>224291.95</v>
      </c>
      <c r="N32" s="38"/>
      <c r="O32" s="6"/>
    </row>
    <row r="33" spans="1:15" ht="15.75">
      <c r="A33" s="26"/>
      <c r="B33" s="27" t="s">
        <v>20</v>
      </c>
      <c r="C33" s="43"/>
      <c r="D33" s="43"/>
      <c r="E33" s="34" t="s">
        <v>151</v>
      </c>
      <c r="F33" s="27"/>
      <c r="G33" s="34" t="s">
        <v>159</v>
      </c>
      <c r="H33" s="34"/>
      <c r="I33" s="34" t="s">
        <v>169</v>
      </c>
      <c r="J33" s="34"/>
      <c r="K33" s="34"/>
      <c r="L33" s="144"/>
      <c r="M33" s="144"/>
      <c r="N33" s="27"/>
      <c r="O33" s="6"/>
    </row>
    <row r="34" spans="1:15" ht="15.75">
      <c r="A34" s="26"/>
      <c r="B34" s="27" t="s">
        <v>21</v>
      </c>
      <c r="C34" s="27"/>
      <c r="D34" s="27"/>
      <c r="E34" s="44">
        <v>0.052075</v>
      </c>
      <c r="F34" s="27"/>
      <c r="G34" s="44">
        <v>0.053075</v>
      </c>
      <c r="H34" s="45"/>
      <c r="I34" s="44">
        <v>0.063375</v>
      </c>
      <c r="J34" s="45"/>
      <c r="K34" s="44"/>
      <c r="L34" s="144"/>
      <c r="M34" s="45">
        <f>SUMPRODUCT(E34:I34,E31:I31)/M31</f>
        <v>0.054031714849050755</v>
      </c>
      <c r="N34" s="27"/>
      <c r="O34" s="6"/>
    </row>
    <row r="35" spans="1:15" ht="15.75">
      <c r="A35" s="26"/>
      <c r="B35" s="27" t="s">
        <v>22</v>
      </c>
      <c r="C35" s="27"/>
      <c r="D35" s="27"/>
      <c r="E35" s="44">
        <v>0.0507875</v>
      </c>
      <c r="F35" s="27"/>
      <c r="G35" s="44">
        <v>0.0517875</v>
      </c>
      <c r="H35" s="45"/>
      <c r="I35" s="44">
        <v>0.0620875</v>
      </c>
      <c r="J35" s="45"/>
      <c r="K35" s="44"/>
      <c r="L35" s="144"/>
      <c r="M35" s="144"/>
      <c r="N35" s="27"/>
      <c r="O35" s="6"/>
    </row>
    <row r="36" spans="1:15" ht="15.75">
      <c r="A36" s="26"/>
      <c r="B36" s="27" t="s">
        <v>23</v>
      </c>
      <c r="C36" s="27"/>
      <c r="D36" s="27"/>
      <c r="E36" s="126">
        <v>38875</v>
      </c>
      <c r="F36" s="126"/>
      <c r="G36" s="126">
        <v>38875</v>
      </c>
      <c r="H36" s="126"/>
      <c r="I36" s="126">
        <v>38875</v>
      </c>
      <c r="J36" s="34"/>
      <c r="K36" s="34"/>
      <c r="L36" s="144"/>
      <c r="M36" s="144"/>
      <c r="N36" s="27"/>
      <c r="O36" s="6"/>
    </row>
    <row r="37" spans="1:15" ht="15.75">
      <c r="A37" s="26"/>
      <c r="B37" s="27" t="s">
        <v>24</v>
      </c>
      <c r="C37" s="27"/>
      <c r="D37" s="27"/>
      <c r="E37" s="126">
        <v>39240</v>
      </c>
      <c r="F37" s="126"/>
      <c r="G37" s="126">
        <v>39240</v>
      </c>
      <c r="H37" s="126"/>
      <c r="I37" s="126">
        <v>39240</v>
      </c>
      <c r="J37" s="34"/>
      <c r="K37" s="34"/>
      <c r="L37" s="144"/>
      <c r="M37" s="144"/>
      <c r="N37" s="27"/>
      <c r="O37" s="6"/>
    </row>
    <row r="38" spans="1:15" ht="15.75">
      <c r="A38" s="26"/>
      <c r="B38" s="27" t="s">
        <v>25</v>
      </c>
      <c r="C38" s="27"/>
      <c r="D38" s="27"/>
      <c r="E38" s="34" t="s">
        <v>152</v>
      </c>
      <c r="F38" s="27"/>
      <c r="G38" s="34" t="s">
        <v>160</v>
      </c>
      <c r="H38" s="34"/>
      <c r="I38" s="34" t="s">
        <v>170</v>
      </c>
      <c r="J38" s="34"/>
      <c r="K38" s="34"/>
      <c r="L38" s="144"/>
      <c r="M38" s="144"/>
      <c r="N38" s="27"/>
      <c r="O38" s="6"/>
    </row>
    <row r="39" spans="1:15" ht="15.75">
      <c r="A39" s="26"/>
      <c r="B39" s="27"/>
      <c r="C39" s="27"/>
      <c r="D39" s="27"/>
      <c r="E39" s="34"/>
      <c r="F39" s="27"/>
      <c r="G39" s="44"/>
      <c r="H39" s="34"/>
      <c r="I39" s="44"/>
      <c r="J39" s="46"/>
      <c r="K39" s="46"/>
      <c r="L39" s="46"/>
      <c r="M39" s="46"/>
      <c r="N39" s="27"/>
      <c r="O39" s="6"/>
    </row>
    <row r="40" spans="1:15" ht="15.75">
      <c r="A40" s="26"/>
      <c r="B40" s="27" t="s">
        <v>26</v>
      </c>
      <c r="C40" s="27"/>
      <c r="D40" s="27"/>
      <c r="E40" s="27"/>
      <c r="F40" s="27"/>
      <c r="G40" s="44"/>
      <c r="H40" s="27"/>
      <c r="I40" s="44"/>
      <c r="J40" s="27"/>
      <c r="K40" s="27"/>
      <c r="L40" s="27"/>
      <c r="M40" s="45">
        <f>(I30)/(E30+G30)</f>
        <v>0.10497237569060773</v>
      </c>
      <c r="N40" s="27"/>
      <c r="O40" s="6"/>
    </row>
    <row r="41" spans="1:15" ht="15.75">
      <c r="A41" s="26"/>
      <c r="B41" s="27" t="s">
        <v>27</v>
      </c>
      <c r="C41" s="27"/>
      <c r="D41" s="27"/>
      <c r="E41" s="27"/>
      <c r="F41" s="27"/>
      <c r="G41" s="47"/>
      <c r="H41" s="27"/>
      <c r="I41" s="47"/>
      <c r="J41" s="27"/>
      <c r="K41" s="27"/>
      <c r="L41" s="27"/>
      <c r="M41" s="45">
        <f>(I32)/(E32+G32)</f>
        <v>0.11842908678209221</v>
      </c>
      <c r="N41" s="27"/>
      <c r="O41" s="6"/>
    </row>
    <row r="42" spans="1:15" ht="15.75">
      <c r="A42" s="26"/>
      <c r="B42" s="27" t="s">
        <v>28</v>
      </c>
      <c r="C42" s="27"/>
      <c r="D42" s="27"/>
      <c r="E42" s="27"/>
      <c r="F42" s="27"/>
      <c r="G42" s="27"/>
      <c r="H42" s="27"/>
      <c r="I42" s="27"/>
      <c r="J42" s="27"/>
      <c r="K42" s="34" t="s">
        <v>177</v>
      </c>
      <c r="L42" s="34" t="s">
        <v>187</v>
      </c>
      <c r="M42" s="35">
        <f>M30/2-I30</f>
        <v>101250</v>
      </c>
      <c r="N42" s="27"/>
      <c r="O42" s="6"/>
    </row>
    <row r="43" spans="1:15" ht="15.75">
      <c r="A43" s="26"/>
      <c r="B43" s="27"/>
      <c r="C43" s="27"/>
      <c r="D43" s="27"/>
      <c r="E43" s="27"/>
      <c r="F43" s="27"/>
      <c r="G43" s="27"/>
      <c r="H43" s="27"/>
      <c r="I43" s="27"/>
      <c r="J43" s="27"/>
      <c r="K43" s="27" t="s">
        <v>178</v>
      </c>
      <c r="L43" s="27"/>
      <c r="M43" s="48"/>
      <c r="N43" s="27"/>
      <c r="O43" s="6"/>
    </row>
    <row r="44" spans="1:15" ht="15.75">
      <c r="A44" s="26"/>
      <c r="B44" s="27" t="s">
        <v>29</v>
      </c>
      <c r="C44" s="27"/>
      <c r="D44" s="27"/>
      <c r="E44" s="27"/>
      <c r="F44" s="27"/>
      <c r="G44" s="27"/>
      <c r="H44" s="27"/>
      <c r="I44" s="27"/>
      <c r="J44" s="27"/>
      <c r="K44" s="34"/>
      <c r="L44" s="34"/>
      <c r="M44" s="34" t="s">
        <v>191</v>
      </c>
      <c r="N44" s="27"/>
      <c r="O44" s="6"/>
    </row>
    <row r="45" spans="1:15" ht="15.75">
      <c r="A45" s="26"/>
      <c r="B45" s="32" t="s">
        <v>30</v>
      </c>
      <c r="C45" s="32"/>
      <c r="D45" s="32"/>
      <c r="E45" s="32"/>
      <c r="F45" s="32"/>
      <c r="G45" s="32"/>
      <c r="H45" s="32"/>
      <c r="I45" s="32"/>
      <c r="J45" s="32"/>
      <c r="K45" s="49"/>
      <c r="L45" s="49"/>
      <c r="M45" s="50">
        <v>38510</v>
      </c>
      <c r="N45" s="27"/>
      <c r="O45" s="6"/>
    </row>
    <row r="46" spans="1:15" ht="15.75">
      <c r="A46" s="26"/>
      <c r="B46" s="27" t="s">
        <v>31</v>
      </c>
      <c r="C46" s="27"/>
      <c r="D46" s="27"/>
      <c r="E46" s="27"/>
      <c r="F46" s="27"/>
      <c r="G46" s="27"/>
      <c r="H46" s="27"/>
      <c r="I46" s="27"/>
      <c r="J46" s="27">
        <f>M46-K46+1</f>
        <v>90</v>
      </c>
      <c r="K46" s="51">
        <v>38328</v>
      </c>
      <c r="L46" s="52"/>
      <c r="M46" s="51">
        <v>38417</v>
      </c>
      <c r="N46" s="27"/>
      <c r="O46" s="6"/>
    </row>
    <row r="47" spans="1:15" ht="15.75">
      <c r="A47" s="26"/>
      <c r="B47" s="27" t="s">
        <v>32</v>
      </c>
      <c r="C47" s="27"/>
      <c r="D47" s="27"/>
      <c r="E47" s="27"/>
      <c r="F47" s="27"/>
      <c r="G47" s="27"/>
      <c r="H47" s="27"/>
      <c r="I47" s="27"/>
      <c r="J47" s="27">
        <f>M47-K47+1</f>
        <v>92</v>
      </c>
      <c r="K47" s="51">
        <v>38418</v>
      </c>
      <c r="L47" s="52"/>
      <c r="M47" s="51">
        <v>38509</v>
      </c>
      <c r="N47" s="27"/>
      <c r="O47" s="6"/>
    </row>
    <row r="48" spans="1:15" ht="15.75">
      <c r="A48" s="26"/>
      <c r="B48" s="27" t="s">
        <v>33</v>
      </c>
      <c r="C48" s="27"/>
      <c r="D48" s="27"/>
      <c r="E48" s="27"/>
      <c r="F48" s="27"/>
      <c r="G48" s="27"/>
      <c r="H48" s="27"/>
      <c r="I48" s="27"/>
      <c r="J48" s="27"/>
      <c r="K48" s="51"/>
      <c r="L48" s="52"/>
      <c r="M48" s="51" t="s">
        <v>192</v>
      </c>
      <c r="N48" s="27"/>
      <c r="O48" s="6"/>
    </row>
    <row r="49" spans="1:15" ht="15.75">
      <c r="A49" s="26"/>
      <c r="B49" s="27" t="s">
        <v>34</v>
      </c>
      <c r="C49" s="27"/>
      <c r="D49" s="27"/>
      <c r="E49" s="27"/>
      <c r="F49" s="27"/>
      <c r="G49" s="27"/>
      <c r="H49" s="27"/>
      <c r="I49" s="27"/>
      <c r="J49" s="27"/>
      <c r="K49" s="51"/>
      <c r="L49" s="52"/>
      <c r="M49" s="51">
        <v>38504</v>
      </c>
      <c r="N49" s="27"/>
      <c r="O49" s="6"/>
    </row>
    <row r="50" spans="1:15" ht="15.75">
      <c r="A50" s="26"/>
      <c r="B50" s="27"/>
      <c r="C50" s="27"/>
      <c r="D50" s="27"/>
      <c r="E50" s="27"/>
      <c r="F50" s="27"/>
      <c r="G50" s="27"/>
      <c r="H50" s="27"/>
      <c r="I50" s="27"/>
      <c r="J50" s="27"/>
      <c r="K50" s="51"/>
      <c r="L50" s="52"/>
      <c r="M50" s="51"/>
      <c r="N50" s="27"/>
      <c r="O50" s="6"/>
    </row>
    <row r="51" spans="1:15" ht="15.75">
      <c r="A51" s="7"/>
      <c r="B51" s="9"/>
      <c r="C51" s="9"/>
      <c r="D51" s="9"/>
      <c r="E51" s="9"/>
      <c r="F51" s="9"/>
      <c r="G51" s="9"/>
      <c r="H51" s="9"/>
      <c r="I51" s="9"/>
      <c r="J51" s="9"/>
      <c r="K51" s="53"/>
      <c r="L51" s="54"/>
      <c r="M51" s="53"/>
      <c r="N51" s="9"/>
      <c r="O51" s="6"/>
    </row>
    <row r="52" spans="1:15" ht="19.5" thickBot="1">
      <c r="A52" s="117"/>
      <c r="B52" s="118" t="s">
        <v>220</v>
      </c>
      <c r="C52" s="119"/>
      <c r="D52" s="119"/>
      <c r="E52" s="119"/>
      <c r="F52" s="119"/>
      <c r="G52" s="119"/>
      <c r="H52" s="119"/>
      <c r="I52" s="119"/>
      <c r="J52" s="119"/>
      <c r="K52" s="119"/>
      <c r="L52" s="119"/>
      <c r="M52" s="120"/>
      <c r="N52" s="121"/>
      <c r="O52" s="6"/>
    </row>
    <row r="53" spans="1:15" ht="15.75">
      <c r="A53" s="2"/>
      <c r="B53" s="5"/>
      <c r="C53" s="5"/>
      <c r="D53" s="5"/>
      <c r="E53" s="5"/>
      <c r="F53" s="5"/>
      <c r="G53" s="5"/>
      <c r="H53" s="5"/>
      <c r="I53" s="5"/>
      <c r="J53" s="5"/>
      <c r="K53" s="5"/>
      <c r="L53" s="5"/>
      <c r="M53" s="56"/>
      <c r="N53" s="5"/>
      <c r="O53" s="6"/>
    </row>
    <row r="54" spans="1:15" ht="15.75">
      <c r="A54" s="7"/>
      <c r="B54" s="57" t="s">
        <v>36</v>
      </c>
      <c r="C54" s="15"/>
      <c r="D54" s="15"/>
      <c r="E54" s="9"/>
      <c r="F54" s="9"/>
      <c r="G54" s="9"/>
      <c r="H54" s="9"/>
      <c r="I54" s="9"/>
      <c r="J54" s="9"/>
      <c r="K54" s="9"/>
      <c r="L54" s="9"/>
      <c r="M54" s="58"/>
      <c r="N54" s="9"/>
      <c r="O54" s="6"/>
    </row>
    <row r="55" spans="1:15" ht="15.75">
      <c r="A55" s="7"/>
      <c r="B55" s="15"/>
      <c r="C55" s="15"/>
      <c r="D55" s="15"/>
      <c r="E55" s="9"/>
      <c r="F55" s="9"/>
      <c r="G55" s="9"/>
      <c r="H55" s="9"/>
      <c r="I55" s="9"/>
      <c r="J55" s="9"/>
      <c r="K55" s="9"/>
      <c r="L55" s="9"/>
      <c r="M55" s="58"/>
      <c r="N55" s="9"/>
      <c r="O55" s="6"/>
    </row>
    <row r="56" spans="1:15" ht="47.25">
      <c r="A56" s="7"/>
      <c r="B56" s="134" t="s">
        <v>37</v>
      </c>
      <c r="C56" s="135" t="s">
        <v>144</v>
      </c>
      <c r="D56" s="135"/>
      <c r="E56" s="135" t="s">
        <v>153</v>
      </c>
      <c r="F56" s="135"/>
      <c r="G56" s="135" t="s">
        <v>161</v>
      </c>
      <c r="H56" s="135"/>
      <c r="I56" s="135" t="s">
        <v>171</v>
      </c>
      <c r="J56" s="135"/>
      <c r="K56" s="135" t="s">
        <v>179</v>
      </c>
      <c r="L56" s="135"/>
      <c r="M56" s="136" t="s">
        <v>193</v>
      </c>
      <c r="N56" s="137"/>
      <c r="O56" s="6"/>
    </row>
    <row r="57" spans="1:15" ht="15.75">
      <c r="A57" s="26"/>
      <c r="B57" s="27" t="s">
        <v>38</v>
      </c>
      <c r="C57" s="38">
        <v>249994</v>
      </c>
      <c r="D57" s="38"/>
      <c r="E57" s="59">
        <v>227230</v>
      </c>
      <c r="F57" s="38"/>
      <c r="G57" s="38">
        <f>2938+12+18+3161</f>
        <v>6129</v>
      </c>
      <c r="H57" s="38"/>
      <c r="I57" s="38">
        <f>12+18+3161</f>
        <v>3191</v>
      </c>
      <c r="J57" s="38"/>
      <c r="K57" s="38">
        <v>0</v>
      </c>
      <c r="L57" s="38"/>
      <c r="M57" s="59">
        <f>E57-G57+I57-K57</f>
        <v>224292</v>
      </c>
      <c r="N57" s="27"/>
      <c r="O57" s="6"/>
    </row>
    <row r="58" spans="1:15" ht="15.75">
      <c r="A58" s="26"/>
      <c r="B58" s="27" t="s">
        <v>39</v>
      </c>
      <c r="C58" s="38">
        <v>6</v>
      </c>
      <c r="D58" s="38"/>
      <c r="E58" s="59">
        <v>0</v>
      </c>
      <c r="F58" s="38"/>
      <c r="G58" s="38">
        <v>0</v>
      </c>
      <c r="H58" s="38"/>
      <c r="I58" s="38">
        <v>0</v>
      </c>
      <c r="J58" s="38"/>
      <c r="K58" s="38">
        <v>0</v>
      </c>
      <c r="L58" s="38"/>
      <c r="M58" s="59">
        <f>E58-G58</f>
        <v>0</v>
      </c>
      <c r="N58" s="27"/>
      <c r="O58" s="6"/>
    </row>
    <row r="59" spans="1:15" ht="15.75">
      <c r="A59" s="26"/>
      <c r="B59" s="27"/>
      <c r="C59" s="38"/>
      <c r="D59" s="38"/>
      <c r="E59" s="59"/>
      <c r="F59" s="38"/>
      <c r="G59" s="38"/>
      <c r="H59" s="38"/>
      <c r="I59" s="38"/>
      <c r="J59" s="38"/>
      <c r="K59" s="38"/>
      <c r="L59" s="38"/>
      <c r="M59" s="59"/>
      <c r="N59" s="27"/>
      <c r="O59" s="6"/>
    </row>
    <row r="60" spans="1:15" ht="15.75">
      <c r="A60" s="26"/>
      <c r="B60" s="27" t="s">
        <v>40</v>
      </c>
      <c r="C60" s="38">
        <f>SUM(C57:C59)</f>
        <v>250000</v>
      </c>
      <c r="D60" s="38"/>
      <c r="E60" s="60">
        <f>E57+E58</f>
        <v>227230</v>
      </c>
      <c r="F60" s="38"/>
      <c r="G60" s="38">
        <f>SUM(G57:G59)</f>
        <v>6129</v>
      </c>
      <c r="H60" s="38"/>
      <c r="I60" s="38">
        <f>SUM(I57:I59)</f>
        <v>3191</v>
      </c>
      <c r="J60" s="38"/>
      <c r="K60" s="38">
        <f>SUM(K57:K59)</f>
        <v>0</v>
      </c>
      <c r="L60" s="38"/>
      <c r="M60" s="60">
        <f>SUM(M57:M59)</f>
        <v>224292</v>
      </c>
      <c r="N60" s="27"/>
      <c r="O60" s="6"/>
    </row>
    <row r="61" spans="1:15" ht="15.75">
      <c r="A61" s="26"/>
      <c r="B61" s="27"/>
      <c r="C61" s="38"/>
      <c r="D61" s="38"/>
      <c r="E61" s="38"/>
      <c r="F61" s="38"/>
      <c r="G61" s="38"/>
      <c r="H61" s="38"/>
      <c r="I61" s="38"/>
      <c r="J61" s="38"/>
      <c r="K61" s="38"/>
      <c r="L61" s="38"/>
      <c r="M61" s="60"/>
      <c r="N61" s="27"/>
      <c r="O61" s="6"/>
    </row>
    <row r="62" spans="1:15" ht="15.75">
      <c r="A62" s="7"/>
      <c r="B62" s="129" t="s">
        <v>41</v>
      </c>
      <c r="C62" s="61"/>
      <c r="D62" s="61"/>
      <c r="E62" s="61"/>
      <c r="F62" s="61"/>
      <c r="G62" s="61"/>
      <c r="H62" s="61"/>
      <c r="I62" s="61"/>
      <c r="J62" s="61"/>
      <c r="K62" s="61"/>
      <c r="L62" s="61"/>
      <c r="M62" s="62"/>
      <c r="N62" s="9"/>
      <c r="O62" s="6"/>
    </row>
    <row r="63" spans="1:15" ht="15.75">
      <c r="A63" s="7"/>
      <c r="B63" s="9"/>
      <c r="C63" s="61"/>
      <c r="D63" s="61"/>
      <c r="E63" s="61"/>
      <c r="F63" s="61"/>
      <c r="G63" s="61"/>
      <c r="H63" s="61"/>
      <c r="I63" s="61"/>
      <c r="J63" s="61"/>
      <c r="K63" s="61"/>
      <c r="L63" s="61"/>
      <c r="M63" s="62"/>
      <c r="N63" s="9"/>
      <c r="O63" s="6"/>
    </row>
    <row r="64" spans="1:15" ht="15.75">
      <c r="A64" s="26"/>
      <c r="B64" s="27" t="s">
        <v>38</v>
      </c>
      <c r="C64" s="38"/>
      <c r="D64" s="38"/>
      <c r="E64" s="38"/>
      <c r="F64" s="38"/>
      <c r="G64" s="38"/>
      <c r="H64" s="38"/>
      <c r="I64" s="38"/>
      <c r="J64" s="38"/>
      <c r="K64" s="38"/>
      <c r="L64" s="38"/>
      <c r="M64" s="60"/>
      <c r="N64" s="27"/>
      <c r="O64" s="6"/>
    </row>
    <row r="65" spans="1:15" ht="15.75">
      <c r="A65" s="26"/>
      <c r="B65" s="27" t="s">
        <v>39</v>
      </c>
      <c r="C65" s="38"/>
      <c r="D65" s="38"/>
      <c r="E65" s="38"/>
      <c r="F65" s="38"/>
      <c r="G65" s="38"/>
      <c r="H65" s="38"/>
      <c r="I65" s="38"/>
      <c r="J65" s="38"/>
      <c r="K65" s="38"/>
      <c r="L65" s="38"/>
      <c r="M65" s="60"/>
      <c r="N65" s="27"/>
      <c r="O65" s="6"/>
    </row>
    <row r="66" spans="1:15" ht="15.75">
      <c r="A66" s="26"/>
      <c r="B66" s="27"/>
      <c r="C66" s="38"/>
      <c r="D66" s="38"/>
      <c r="E66" s="38"/>
      <c r="F66" s="38"/>
      <c r="G66" s="38"/>
      <c r="H66" s="38"/>
      <c r="I66" s="38"/>
      <c r="J66" s="38"/>
      <c r="K66" s="38"/>
      <c r="L66" s="38"/>
      <c r="M66" s="60"/>
      <c r="N66" s="27"/>
      <c r="O66" s="6"/>
    </row>
    <row r="67" spans="1:15" ht="15.75">
      <c r="A67" s="26"/>
      <c r="B67" s="27" t="s">
        <v>40</v>
      </c>
      <c r="C67" s="38"/>
      <c r="D67" s="38"/>
      <c r="E67" s="38"/>
      <c r="F67" s="38"/>
      <c r="G67" s="38"/>
      <c r="H67" s="38"/>
      <c r="I67" s="38"/>
      <c r="J67" s="38"/>
      <c r="K67" s="38"/>
      <c r="L67" s="38"/>
      <c r="M67" s="38"/>
      <c r="N67" s="27"/>
      <c r="O67" s="6"/>
    </row>
    <row r="68" spans="1:15" ht="15.75">
      <c r="A68" s="26"/>
      <c r="B68" s="27"/>
      <c r="C68" s="38"/>
      <c r="D68" s="38"/>
      <c r="E68" s="38"/>
      <c r="F68" s="38"/>
      <c r="G68" s="38"/>
      <c r="H68" s="38"/>
      <c r="I68" s="38"/>
      <c r="J68" s="38"/>
      <c r="K68" s="38"/>
      <c r="L68" s="38"/>
      <c r="M68" s="38"/>
      <c r="N68" s="27"/>
      <c r="O68" s="6"/>
    </row>
    <row r="69" spans="1:15" ht="15.75">
      <c r="A69" s="26"/>
      <c r="B69" s="27" t="s">
        <v>42</v>
      </c>
      <c r="C69" s="38">
        <v>0</v>
      </c>
      <c r="D69" s="38"/>
      <c r="E69" s="38">
        <v>0</v>
      </c>
      <c r="F69" s="38"/>
      <c r="G69" s="38"/>
      <c r="H69" s="38"/>
      <c r="I69" s="38"/>
      <c r="J69" s="38"/>
      <c r="K69" s="38"/>
      <c r="L69" s="38"/>
      <c r="M69" s="59">
        <f>E69-G69+I69-K69</f>
        <v>0</v>
      </c>
      <c r="N69" s="27"/>
      <c r="O69" s="6"/>
    </row>
    <row r="70" spans="1:15" ht="15.75">
      <c r="A70" s="26"/>
      <c r="B70" s="27" t="s">
        <v>198</v>
      </c>
      <c r="C70" s="38">
        <v>0</v>
      </c>
      <c r="D70" s="38"/>
      <c r="E70" s="38">
        <v>0</v>
      </c>
      <c r="F70" s="38"/>
      <c r="G70" s="38"/>
      <c r="H70" s="38"/>
      <c r="I70" s="38"/>
      <c r="J70" s="38"/>
      <c r="K70" s="38"/>
      <c r="L70" s="38"/>
      <c r="M70" s="60">
        <v>0</v>
      </c>
      <c r="N70" s="27"/>
      <c r="O70" s="6"/>
    </row>
    <row r="71" spans="1:15" ht="15.75">
      <c r="A71" s="26"/>
      <c r="B71" s="27" t="s">
        <v>44</v>
      </c>
      <c r="C71" s="38">
        <v>0</v>
      </c>
      <c r="D71" s="38"/>
      <c r="E71" s="38">
        <v>0</v>
      </c>
      <c r="F71" s="38"/>
      <c r="G71" s="38"/>
      <c r="H71" s="38"/>
      <c r="I71" s="38"/>
      <c r="J71" s="38"/>
      <c r="K71" s="38"/>
      <c r="L71" s="38"/>
      <c r="M71" s="60">
        <v>0</v>
      </c>
      <c r="N71" s="27"/>
      <c r="O71" s="6"/>
    </row>
    <row r="72" spans="1:15" ht="15.75">
      <c r="A72" s="26"/>
      <c r="B72" s="27" t="s">
        <v>45</v>
      </c>
      <c r="C72" s="60">
        <f>SUM(C60:C71)</f>
        <v>250000</v>
      </c>
      <c r="D72" s="60"/>
      <c r="E72" s="60">
        <f>SUM(E60:E71)</f>
        <v>227230</v>
      </c>
      <c r="F72" s="38"/>
      <c r="G72" s="60"/>
      <c r="H72" s="38"/>
      <c r="I72" s="60"/>
      <c r="J72" s="38"/>
      <c r="K72" s="60"/>
      <c r="L72" s="38"/>
      <c r="M72" s="60">
        <f>SUM(M60:M71)</f>
        <v>224292</v>
      </c>
      <c r="N72" s="27"/>
      <c r="O72" s="6"/>
    </row>
    <row r="73" spans="1:15" ht="15.75">
      <c r="A73" s="26"/>
      <c r="B73" s="27"/>
      <c r="C73" s="38"/>
      <c r="D73" s="38"/>
      <c r="E73" s="38"/>
      <c r="F73" s="38"/>
      <c r="G73" s="38"/>
      <c r="H73" s="38"/>
      <c r="I73" s="38"/>
      <c r="J73" s="38"/>
      <c r="K73" s="38"/>
      <c r="L73" s="38"/>
      <c r="M73" s="60"/>
      <c r="N73" s="27"/>
      <c r="O73" s="6"/>
    </row>
    <row r="74" spans="1:15" ht="15.75">
      <c r="A74" s="7"/>
      <c r="B74" s="9"/>
      <c r="C74" s="9"/>
      <c r="D74" s="9"/>
      <c r="E74" s="9"/>
      <c r="F74" s="9"/>
      <c r="G74" s="9"/>
      <c r="H74" s="9"/>
      <c r="I74" s="9"/>
      <c r="J74" s="9"/>
      <c r="K74" s="9"/>
      <c r="L74" s="9"/>
      <c r="M74" s="9"/>
      <c r="N74" s="9"/>
      <c r="O74" s="6"/>
    </row>
    <row r="75" spans="1:15" ht="15.75">
      <c r="A75" s="7"/>
      <c r="B75" s="57" t="s">
        <v>46</v>
      </c>
      <c r="C75" s="16"/>
      <c r="D75" s="16"/>
      <c r="E75" s="16"/>
      <c r="F75" s="16"/>
      <c r="G75" s="16"/>
      <c r="H75" s="16"/>
      <c r="I75" s="16"/>
      <c r="J75" s="19"/>
      <c r="K75" s="19" t="s">
        <v>180</v>
      </c>
      <c r="L75" s="19"/>
      <c r="M75" s="19" t="s">
        <v>194</v>
      </c>
      <c r="N75" s="9"/>
      <c r="O75" s="6"/>
    </row>
    <row r="76" spans="1:15" ht="15.75">
      <c r="A76" s="26"/>
      <c r="B76" s="27" t="s">
        <v>47</v>
      </c>
      <c r="C76" s="27"/>
      <c r="D76" s="27"/>
      <c r="E76" s="27"/>
      <c r="F76" s="27"/>
      <c r="G76" s="27"/>
      <c r="H76" s="27"/>
      <c r="I76" s="27"/>
      <c r="J76" s="27"/>
      <c r="K76" s="38">
        <v>0</v>
      </c>
      <c r="L76" s="27"/>
      <c r="M76" s="59">
        <v>0</v>
      </c>
      <c r="N76" s="27"/>
      <c r="O76" s="6"/>
    </row>
    <row r="77" spans="1:15" ht="15.75">
      <c r="A77" s="26"/>
      <c r="B77" s="27" t="s">
        <v>48</v>
      </c>
      <c r="C77" s="46" t="s">
        <v>145</v>
      </c>
      <c r="D77" s="149">
        <f>+K158</f>
        <v>38503</v>
      </c>
      <c r="E77" s="63"/>
      <c r="F77" s="27"/>
      <c r="G77" s="27"/>
      <c r="H77" s="27"/>
      <c r="I77" s="27"/>
      <c r="J77" s="27"/>
      <c r="K77" s="38">
        <v>6129</v>
      </c>
      <c r="L77" s="27"/>
      <c r="M77" s="59"/>
      <c r="N77" s="27"/>
      <c r="O77" s="6"/>
    </row>
    <row r="78" spans="1:15" ht="15.75">
      <c r="A78" s="26"/>
      <c r="B78" s="27" t="s">
        <v>49</v>
      </c>
      <c r="C78" s="27"/>
      <c r="D78" s="27"/>
      <c r="E78" s="27"/>
      <c r="F78" s="27"/>
      <c r="G78" s="27"/>
      <c r="H78" s="27"/>
      <c r="I78" s="27"/>
      <c r="J78" s="27"/>
      <c r="K78" s="38"/>
      <c r="L78" s="27"/>
      <c r="M78" s="59">
        <v>3856</v>
      </c>
      <c r="N78" s="27"/>
      <c r="O78" s="6"/>
    </row>
    <row r="79" spans="1:15" ht="15.75">
      <c r="A79" s="26"/>
      <c r="B79" s="27" t="s">
        <v>50</v>
      </c>
      <c r="C79" s="27"/>
      <c r="D79" s="27"/>
      <c r="E79" s="27"/>
      <c r="F79" s="27"/>
      <c r="G79" s="27"/>
      <c r="H79" s="27"/>
      <c r="I79" s="27"/>
      <c r="J79" s="27"/>
      <c r="K79" s="38"/>
      <c r="L79" s="27"/>
      <c r="M79" s="59">
        <v>0</v>
      </c>
      <c r="N79" s="27"/>
      <c r="O79" s="6"/>
    </row>
    <row r="80" spans="1:15" ht="15.75">
      <c r="A80" s="26"/>
      <c r="B80" s="27" t="s">
        <v>51</v>
      </c>
      <c r="C80" s="27"/>
      <c r="D80" s="27"/>
      <c r="E80" s="27"/>
      <c r="F80" s="27"/>
      <c r="G80" s="27"/>
      <c r="H80" s="27"/>
      <c r="I80" s="27"/>
      <c r="J80" s="27"/>
      <c r="K80" s="38">
        <f>SUM(K76:K79)</f>
        <v>6129</v>
      </c>
      <c r="L80" s="27"/>
      <c r="M80" s="60">
        <f>SUM(M76:M79)</f>
        <v>3856</v>
      </c>
      <c r="N80" s="27"/>
      <c r="O80" s="6"/>
    </row>
    <row r="81" spans="1:15" ht="15.75">
      <c r="A81" s="26"/>
      <c r="B81" s="27" t="s">
        <v>52</v>
      </c>
      <c r="C81" s="27"/>
      <c r="D81" s="27"/>
      <c r="E81" s="27"/>
      <c r="F81" s="27"/>
      <c r="G81" s="27"/>
      <c r="H81" s="27"/>
      <c r="I81" s="27"/>
      <c r="J81" s="27"/>
      <c r="K81" s="38">
        <v>0</v>
      </c>
      <c r="L81" s="27"/>
      <c r="M81" s="59">
        <v>0</v>
      </c>
      <c r="N81" s="27"/>
      <c r="O81" s="6"/>
    </row>
    <row r="82" spans="1:15" ht="15.75">
      <c r="A82" s="26"/>
      <c r="B82" s="27" t="s">
        <v>53</v>
      </c>
      <c r="C82" s="27"/>
      <c r="D82" s="27"/>
      <c r="E82" s="27"/>
      <c r="F82" s="27"/>
      <c r="G82" s="27"/>
      <c r="H82" s="27"/>
      <c r="I82" s="27"/>
      <c r="J82" s="27"/>
      <c r="K82" s="38">
        <f>K80+K81</f>
        <v>6129</v>
      </c>
      <c r="L82" s="27"/>
      <c r="M82" s="60">
        <f>M80+M81</f>
        <v>3856</v>
      </c>
      <c r="N82" s="27"/>
      <c r="O82" s="6"/>
    </row>
    <row r="83" spans="1:15" ht="15.75">
      <c r="A83" s="26"/>
      <c r="B83" s="138" t="s">
        <v>54</v>
      </c>
      <c r="C83" s="64"/>
      <c r="D83" s="64"/>
      <c r="E83" s="27"/>
      <c r="F83" s="27"/>
      <c r="G83" s="27"/>
      <c r="H83" s="27"/>
      <c r="I83" s="27"/>
      <c r="J83" s="27"/>
      <c r="K83" s="38"/>
      <c r="L83" s="27"/>
      <c r="M83" s="59"/>
      <c r="N83" s="27"/>
      <c r="O83" s="6"/>
    </row>
    <row r="84" spans="1:15" ht="15.75">
      <c r="A84" s="26">
        <v>1</v>
      </c>
      <c r="B84" s="27" t="s">
        <v>55</v>
      </c>
      <c r="C84" s="27"/>
      <c r="D84" s="27"/>
      <c r="E84" s="27"/>
      <c r="F84" s="27"/>
      <c r="G84" s="27"/>
      <c r="H84" s="27"/>
      <c r="I84" s="27"/>
      <c r="J84" s="27"/>
      <c r="K84" s="27"/>
      <c r="L84" s="27"/>
      <c r="M84" s="59">
        <v>0</v>
      </c>
      <c r="N84" s="27"/>
      <c r="O84" s="6"/>
    </row>
    <row r="85" spans="1:15" ht="15.75">
      <c r="A85" s="26">
        <v>2</v>
      </c>
      <c r="B85" s="27" t="s">
        <v>56</v>
      </c>
      <c r="C85" s="27"/>
      <c r="D85" s="27"/>
      <c r="E85" s="27"/>
      <c r="F85" s="27"/>
      <c r="G85" s="27"/>
      <c r="H85" s="27"/>
      <c r="I85" s="27"/>
      <c r="J85" s="27"/>
      <c r="K85" s="27"/>
      <c r="L85" s="27"/>
      <c r="M85" s="59">
        <v>-2</v>
      </c>
      <c r="N85" s="27"/>
      <c r="O85" s="6"/>
    </row>
    <row r="86" spans="1:15" ht="15.75">
      <c r="A86" s="26">
        <v>3</v>
      </c>
      <c r="B86" s="27" t="s">
        <v>57</v>
      </c>
      <c r="C86" s="27"/>
      <c r="D86" s="27"/>
      <c r="E86" s="27"/>
      <c r="F86" s="27"/>
      <c r="G86" s="27"/>
      <c r="H86" s="27"/>
      <c r="I86" s="27"/>
      <c r="J86" s="27"/>
      <c r="K86" s="27"/>
      <c r="L86" s="27"/>
      <c r="M86" s="59">
        <f>-172-2-4</f>
        <v>-178</v>
      </c>
      <c r="N86" s="27"/>
      <c r="O86" s="6"/>
    </row>
    <row r="87" spans="1:15" ht="15.75">
      <c r="A87" s="26">
        <v>4</v>
      </c>
      <c r="B87" s="27" t="s">
        <v>197</v>
      </c>
      <c r="C87" s="27"/>
      <c r="D87" s="27"/>
      <c r="E87" s="27"/>
      <c r="F87" s="27"/>
      <c r="G87" s="27"/>
      <c r="H87" s="27"/>
      <c r="I87" s="27"/>
      <c r="J87" s="27"/>
      <c r="K87" s="27"/>
      <c r="L87" s="27"/>
      <c r="M87" s="59">
        <v>-9</v>
      </c>
      <c r="N87" s="27"/>
      <c r="O87" s="6"/>
    </row>
    <row r="88" spans="1:15" ht="15.75">
      <c r="A88" s="26">
        <v>5</v>
      </c>
      <c r="B88" s="27" t="s">
        <v>58</v>
      </c>
      <c r="C88" s="27"/>
      <c r="D88" s="27"/>
      <c r="E88" s="27"/>
      <c r="F88" s="27"/>
      <c r="G88" s="27"/>
      <c r="H88" s="27"/>
      <c r="I88" s="27"/>
      <c r="J88" s="27"/>
      <c r="K88" s="27"/>
      <c r="L88" s="27"/>
      <c r="M88" s="59">
        <v>-2715</v>
      </c>
      <c r="N88" s="27"/>
      <c r="O88" s="6"/>
    </row>
    <row r="89" spans="1:15" ht="15.75">
      <c r="A89" s="26">
        <v>6</v>
      </c>
      <c r="B89" s="27" t="s">
        <v>59</v>
      </c>
      <c r="C89" s="27"/>
      <c r="D89" s="27"/>
      <c r="E89" s="27"/>
      <c r="F89" s="27"/>
      <c r="G89" s="27"/>
      <c r="H89" s="27"/>
      <c r="I89" s="27"/>
      <c r="J89" s="27"/>
      <c r="K89" s="27"/>
      <c r="L89" s="27"/>
      <c r="M89" s="59">
        <v>-379</v>
      </c>
      <c r="N89" s="27"/>
      <c r="O89" s="6"/>
    </row>
    <row r="90" spans="1:15" ht="15.75">
      <c r="A90" s="26">
        <v>7</v>
      </c>
      <c r="B90" s="27" t="s">
        <v>60</v>
      </c>
      <c r="C90" s="27"/>
      <c r="D90" s="27"/>
      <c r="E90" s="27"/>
      <c r="F90" s="27"/>
      <c r="G90" s="27"/>
      <c r="H90" s="27"/>
      <c r="I90" s="27"/>
      <c r="J90" s="27"/>
      <c r="K90" s="27"/>
      <c r="L90" s="27"/>
      <c r="M90" s="59">
        <v>-5</v>
      </c>
      <c r="N90" s="27"/>
      <c r="O90" s="6"/>
    </row>
    <row r="91" spans="1:15" ht="15.75">
      <c r="A91" s="26">
        <v>8</v>
      </c>
      <c r="B91" s="27" t="s">
        <v>81</v>
      </c>
      <c r="C91" s="27"/>
      <c r="D91" s="27"/>
      <c r="E91" s="27"/>
      <c r="F91" s="27"/>
      <c r="G91" s="27"/>
      <c r="H91" s="27"/>
      <c r="I91" s="27"/>
      <c r="J91" s="27"/>
      <c r="K91" s="27"/>
      <c r="L91" s="27"/>
      <c r="M91" s="59">
        <v>0</v>
      </c>
      <c r="N91" s="27"/>
      <c r="O91" s="6"/>
    </row>
    <row r="92" spans="1:15" ht="15.75">
      <c r="A92" s="26">
        <v>9</v>
      </c>
      <c r="B92" s="27" t="s">
        <v>61</v>
      </c>
      <c r="C92" s="27"/>
      <c r="D92" s="27"/>
      <c r="E92" s="27"/>
      <c r="F92" s="27"/>
      <c r="G92" s="27"/>
      <c r="H92" s="27"/>
      <c r="I92" s="27"/>
      <c r="J92" s="27"/>
      <c r="K92" s="27"/>
      <c r="L92" s="27"/>
      <c r="M92" s="59">
        <v>0</v>
      </c>
      <c r="N92" s="27"/>
      <c r="O92" s="6"/>
    </row>
    <row r="93" spans="1:15" ht="15.75">
      <c r="A93" s="26">
        <v>10</v>
      </c>
      <c r="B93" s="27" t="s">
        <v>62</v>
      </c>
      <c r="C93" s="27"/>
      <c r="D93" s="27"/>
      <c r="E93" s="27"/>
      <c r="F93" s="27"/>
      <c r="G93" s="27"/>
      <c r="H93" s="27"/>
      <c r="I93" s="27"/>
      <c r="J93" s="27"/>
      <c r="K93" s="27"/>
      <c r="L93" s="27"/>
      <c r="M93" s="59">
        <v>0</v>
      </c>
      <c r="N93" s="27"/>
      <c r="O93" s="6"/>
    </row>
    <row r="94" spans="1:15" ht="15.75">
      <c r="A94" s="26">
        <v>11</v>
      </c>
      <c r="B94" s="27" t="s">
        <v>63</v>
      </c>
      <c r="C94" s="27"/>
      <c r="D94" s="27"/>
      <c r="E94" s="27"/>
      <c r="F94" s="27"/>
      <c r="G94" s="27"/>
      <c r="H94" s="27"/>
      <c r="I94" s="27"/>
      <c r="J94" s="27"/>
      <c r="K94" s="27"/>
      <c r="L94" s="27"/>
      <c r="M94" s="59">
        <v>0</v>
      </c>
      <c r="N94" s="27"/>
      <c r="O94" s="6"/>
    </row>
    <row r="95" spans="1:15" ht="15.75">
      <c r="A95" s="26">
        <v>12</v>
      </c>
      <c r="B95" s="27" t="s">
        <v>64</v>
      </c>
      <c r="C95" s="27"/>
      <c r="D95" s="27"/>
      <c r="E95" s="27"/>
      <c r="F95" s="27"/>
      <c r="G95" s="27"/>
      <c r="H95" s="27"/>
      <c r="I95" s="27"/>
      <c r="J95" s="27"/>
      <c r="K95" s="27"/>
      <c r="L95" s="27"/>
      <c r="M95" s="59">
        <f>-30-143</f>
        <v>-173</v>
      </c>
      <c r="N95" s="27"/>
      <c r="O95" s="6"/>
    </row>
    <row r="96" spans="1:15" ht="15.75">
      <c r="A96" s="26">
        <v>13</v>
      </c>
      <c r="B96" s="27" t="s">
        <v>65</v>
      </c>
      <c r="C96" s="27"/>
      <c r="D96" s="27"/>
      <c r="E96" s="27"/>
      <c r="F96" s="27"/>
      <c r="G96" s="27"/>
      <c r="H96" s="27"/>
      <c r="I96" s="27"/>
      <c r="J96" s="27"/>
      <c r="K96" s="27"/>
      <c r="L96" s="27"/>
      <c r="M96" s="59">
        <f>-M82-SUM(M84:M95)</f>
        <v>-395</v>
      </c>
      <c r="N96" s="27"/>
      <c r="O96" s="6"/>
    </row>
    <row r="97" spans="1:15" ht="15.75">
      <c r="A97" s="26"/>
      <c r="B97" s="138" t="s">
        <v>66</v>
      </c>
      <c r="C97" s="64"/>
      <c r="D97" s="64"/>
      <c r="E97" s="27"/>
      <c r="F97" s="27"/>
      <c r="G97" s="27"/>
      <c r="H97" s="27"/>
      <c r="I97" s="27"/>
      <c r="J97" s="27"/>
      <c r="K97" s="27"/>
      <c r="L97" s="27"/>
      <c r="M97" s="65"/>
      <c r="N97" s="27"/>
      <c r="O97" s="6"/>
    </row>
    <row r="98" spans="1:15" ht="15.75">
      <c r="A98" s="26"/>
      <c r="B98" s="27" t="s">
        <v>67</v>
      </c>
      <c r="C98" s="64"/>
      <c r="D98" s="64"/>
      <c r="E98" s="27"/>
      <c r="F98" s="27"/>
      <c r="G98" s="27"/>
      <c r="H98" s="27"/>
      <c r="I98" s="27"/>
      <c r="J98" s="27"/>
      <c r="K98" s="38">
        <f>-K144</f>
        <v>-18</v>
      </c>
      <c r="L98" s="38"/>
      <c r="M98" s="59"/>
      <c r="N98" s="27"/>
      <c r="O98" s="6"/>
    </row>
    <row r="99" spans="1:15" ht="15.75">
      <c r="A99" s="26"/>
      <c r="B99" s="27" t="s">
        <v>68</v>
      </c>
      <c r="C99" s="27"/>
      <c r="D99" s="27"/>
      <c r="E99" s="27"/>
      <c r="F99" s="27"/>
      <c r="G99" s="27"/>
      <c r="H99" s="27"/>
      <c r="I99" s="27"/>
      <c r="J99" s="27"/>
      <c r="K99" s="38">
        <f>-I144</f>
        <v>-3173</v>
      </c>
      <c r="L99" s="38"/>
      <c r="M99" s="59"/>
      <c r="N99" s="27"/>
      <c r="O99" s="6"/>
    </row>
    <row r="100" spans="1:15" ht="15.75">
      <c r="A100" s="26"/>
      <c r="B100" s="27" t="s">
        <v>69</v>
      </c>
      <c r="C100" s="27"/>
      <c r="D100" s="27"/>
      <c r="E100" s="27"/>
      <c r="F100" s="27"/>
      <c r="G100" s="27"/>
      <c r="H100" s="27"/>
      <c r="I100" s="27"/>
      <c r="J100" s="27"/>
      <c r="K100" s="38">
        <v>-2938</v>
      </c>
      <c r="L100" s="38"/>
      <c r="M100" s="59"/>
      <c r="N100" s="27"/>
      <c r="O100" s="6"/>
    </row>
    <row r="101" spans="1:15" ht="15.75">
      <c r="A101" s="26"/>
      <c r="B101" s="27" t="s">
        <v>70</v>
      </c>
      <c r="C101" s="27"/>
      <c r="D101" s="27"/>
      <c r="E101" s="27"/>
      <c r="F101" s="27"/>
      <c r="G101" s="27"/>
      <c r="H101" s="27"/>
      <c r="I101" s="27"/>
      <c r="J101" s="27"/>
      <c r="K101" s="38">
        <v>0</v>
      </c>
      <c r="L101" s="38"/>
      <c r="M101" s="59"/>
      <c r="N101" s="27"/>
      <c r="O101" s="6"/>
    </row>
    <row r="102" spans="1:15" ht="15.75">
      <c r="A102" s="26"/>
      <c r="B102" s="27" t="s">
        <v>71</v>
      </c>
      <c r="C102" s="27"/>
      <c r="D102" s="27"/>
      <c r="E102" s="27"/>
      <c r="F102" s="27"/>
      <c r="G102" s="27"/>
      <c r="H102" s="27"/>
      <c r="I102" s="27"/>
      <c r="J102" s="27"/>
      <c r="K102" s="38">
        <v>0</v>
      </c>
      <c r="L102" s="38"/>
      <c r="M102" s="59"/>
      <c r="N102" s="27"/>
      <c r="O102" s="6"/>
    </row>
    <row r="103" spans="1:15" ht="15.75">
      <c r="A103" s="26"/>
      <c r="B103" s="27" t="s">
        <v>72</v>
      </c>
      <c r="C103" s="27"/>
      <c r="D103" s="27"/>
      <c r="E103" s="27"/>
      <c r="F103" s="27"/>
      <c r="G103" s="27"/>
      <c r="H103" s="27"/>
      <c r="I103" s="27"/>
      <c r="J103" s="27"/>
      <c r="K103" s="38">
        <f>SUM(K83:K102)</f>
        <v>-6129</v>
      </c>
      <c r="L103" s="38"/>
      <c r="M103" s="38">
        <f>SUM(M83:M102)</f>
        <v>-3856</v>
      </c>
      <c r="N103" s="27"/>
      <c r="O103" s="6"/>
    </row>
    <row r="104" spans="1:15" ht="15.75">
      <c r="A104" s="26"/>
      <c r="B104" s="27" t="s">
        <v>73</v>
      </c>
      <c r="C104" s="27"/>
      <c r="D104" s="27"/>
      <c r="E104" s="27"/>
      <c r="F104" s="27"/>
      <c r="G104" s="27"/>
      <c r="H104" s="27"/>
      <c r="I104" s="27"/>
      <c r="J104" s="27"/>
      <c r="K104" s="38">
        <f>K82+K103</f>
        <v>0</v>
      </c>
      <c r="L104" s="38"/>
      <c r="M104" s="38">
        <f>M82+M103</f>
        <v>0</v>
      </c>
      <c r="N104" s="27"/>
      <c r="O104" s="6"/>
    </row>
    <row r="105" spans="1:15" ht="15.75">
      <c r="A105" s="26"/>
      <c r="B105" s="27"/>
      <c r="C105" s="27"/>
      <c r="D105" s="27"/>
      <c r="E105" s="27"/>
      <c r="F105" s="27"/>
      <c r="G105" s="27"/>
      <c r="H105" s="27"/>
      <c r="I105" s="27"/>
      <c r="J105" s="27"/>
      <c r="K105" s="38"/>
      <c r="L105" s="38"/>
      <c r="M105" s="38"/>
      <c r="N105" s="27"/>
      <c r="O105" s="6"/>
    </row>
    <row r="106" spans="1:15" ht="15.75">
      <c r="A106" s="7"/>
      <c r="B106" s="9"/>
      <c r="C106" s="9"/>
      <c r="D106" s="9"/>
      <c r="E106" s="9"/>
      <c r="F106" s="9"/>
      <c r="G106" s="9"/>
      <c r="H106" s="9"/>
      <c r="I106" s="9"/>
      <c r="J106" s="9"/>
      <c r="K106" s="9"/>
      <c r="L106" s="9"/>
      <c r="M106" s="58"/>
      <c r="N106" s="9"/>
      <c r="O106" s="6"/>
    </row>
    <row r="107" spans="1:15" ht="19.5" thickBot="1">
      <c r="A107" s="117"/>
      <c r="B107" s="118" t="str">
        <f>B52</f>
        <v>PM5 INVESTOR REPORT QUARTER ENDING MAY 2005</v>
      </c>
      <c r="C107" s="119"/>
      <c r="D107" s="119"/>
      <c r="E107" s="119"/>
      <c r="F107" s="119"/>
      <c r="G107" s="119"/>
      <c r="H107" s="119"/>
      <c r="I107" s="119"/>
      <c r="J107" s="119"/>
      <c r="K107" s="119"/>
      <c r="L107" s="119"/>
      <c r="M107" s="122"/>
      <c r="N107" s="121"/>
      <c r="O107" s="6"/>
    </row>
    <row r="108" spans="1:15" ht="15.75">
      <c r="A108" s="2"/>
      <c r="B108" s="66" t="s">
        <v>74</v>
      </c>
      <c r="C108" s="67"/>
      <c r="D108" s="67"/>
      <c r="E108" s="5"/>
      <c r="F108" s="5"/>
      <c r="G108" s="5"/>
      <c r="H108" s="5"/>
      <c r="I108" s="5"/>
      <c r="J108" s="5"/>
      <c r="K108" s="5"/>
      <c r="L108" s="5"/>
      <c r="M108" s="56"/>
      <c r="N108" s="5"/>
      <c r="O108" s="6"/>
    </row>
    <row r="109" spans="1:15" ht="15.75">
      <c r="A109" s="7"/>
      <c r="B109" s="23"/>
      <c r="C109" s="15"/>
      <c r="D109" s="15"/>
      <c r="E109" s="9"/>
      <c r="F109" s="9"/>
      <c r="G109" s="9"/>
      <c r="H109" s="9"/>
      <c r="I109" s="9"/>
      <c r="J109" s="9"/>
      <c r="K109" s="9"/>
      <c r="L109" s="9"/>
      <c r="M109" s="58"/>
      <c r="N109" s="9"/>
      <c r="O109" s="6"/>
    </row>
    <row r="110" spans="1:15" ht="15.75">
      <c r="A110" s="7"/>
      <c r="B110" s="139" t="s">
        <v>75</v>
      </c>
      <c r="C110" s="15"/>
      <c r="D110" s="15"/>
      <c r="E110" s="9"/>
      <c r="F110" s="9"/>
      <c r="G110" s="9"/>
      <c r="H110" s="9"/>
      <c r="I110" s="9"/>
      <c r="J110" s="9"/>
      <c r="K110" s="9"/>
      <c r="L110" s="9"/>
      <c r="M110" s="58"/>
      <c r="N110" s="9"/>
      <c r="O110" s="6"/>
    </row>
    <row r="111" spans="1:15" ht="15.75">
      <c r="A111" s="26"/>
      <c r="B111" s="27" t="s">
        <v>76</v>
      </c>
      <c r="C111" s="27"/>
      <c r="D111" s="27"/>
      <c r="E111" s="27"/>
      <c r="F111" s="27"/>
      <c r="G111" s="27"/>
      <c r="H111" s="27"/>
      <c r="I111" s="27"/>
      <c r="J111" s="27"/>
      <c r="K111" s="27"/>
      <c r="L111" s="27"/>
      <c r="M111" s="59">
        <v>4000</v>
      </c>
      <c r="N111" s="27"/>
      <c r="O111" s="6"/>
    </row>
    <row r="112" spans="1:15" ht="15.75">
      <c r="A112" s="26"/>
      <c r="B112" s="27" t="s">
        <v>77</v>
      </c>
      <c r="C112" s="27"/>
      <c r="D112" s="27"/>
      <c r="E112" s="27"/>
      <c r="F112" s="27"/>
      <c r="G112" s="27"/>
      <c r="H112" s="27"/>
      <c r="I112" s="27"/>
      <c r="J112" s="27"/>
      <c r="K112" s="27"/>
      <c r="L112" s="27"/>
      <c r="M112" s="59">
        <v>4000</v>
      </c>
      <c r="N112" s="27"/>
      <c r="O112" s="6"/>
    </row>
    <row r="113" spans="1:15" ht="15.75">
      <c r="A113" s="26"/>
      <c r="B113" s="27" t="s">
        <v>78</v>
      </c>
      <c r="C113" s="27"/>
      <c r="D113" s="27"/>
      <c r="E113" s="27"/>
      <c r="F113" s="27"/>
      <c r="G113" s="27"/>
      <c r="H113" s="27"/>
      <c r="I113" s="27"/>
      <c r="J113" s="27"/>
      <c r="K113" s="27"/>
      <c r="L113" s="27"/>
      <c r="M113" s="59">
        <v>0</v>
      </c>
      <c r="N113" s="27"/>
      <c r="O113" s="6"/>
    </row>
    <row r="114" spans="1:15" ht="15.75">
      <c r="A114" s="26"/>
      <c r="B114" s="27" t="s">
        <v>79</v>
      </c>
      <c r="C114" s="27"/>
      <c r="D114" s="27"/>
      <c r="E114" s="27"/>
      <c r="F114" s="27"/>
      <c r="G114" s="27"/>
      <c r="H114" s="27"/>
      <c r="I114" s="27"/>
      <c r="J114" s="27"/>
      <c r="K114" s="27"/>
      <c r="L114" s="27"/>
      <c r="M114" s="59">
        <v>0</v>
      </c>
      <c r="N114" s="27"/>
      <c r="O114" s="6"/>
    </row>
    <row r="115" spans="1:15" ht="15.75">
      <c r="A115" s="26"/>
      <c r="B115" s="27" t="s">
        <v>80</v>
      </c>
      <c r="C115" s="27"/>
      <c r="D115" s="27"/>
      <c r="E115" s="27"/>
      <c r="F115" s="27"/>
      <c r="G115" s="27"/>
      <c r="H115" s="27"/>
      <c r="I115" s="27"/>
      <c r="J115" s="27"/>
      <c r="K115" s="27"/>
      <c r="L115" s="27"/>
      <c r="M115" s="59">
        <v>0</v>
      </c>
      <c r="N115" s="27"/>
      <c r="O115" s="6"/>
    </row>
    <row r="116" spans="1:15" ht="15.75">
      <c r="A116" s="26"/>
      <c r="B116" s="27" t="s">
        <v>58</v>
      </c>
      <c r="C116" s="27"/>
      <c r="D116" s="27"/>
      <c r="E116" s="27"/>
      <c r="F116" s="27"/>
      <c r="G116" s="27"/>
      <c r="H116" s="27"/>
      <c r="I116" s="27"/>
      <c r="J116" s="27"/>
      <c r="K116" s="27"/>
      <c r="L116" s="27"/>
      <c r="M116" s="59">
        <v>0</v>
      </c>
      <c r="N116" s="27"/>
      <c r="O116" s="6"/>
    </row>
    <row r="117" spans="1:15" ht="15.75">
      <c r="A117" s="26"/>
      <c r="B117" s="27" t="s">
        <v>59</v>
      </c>
      <c r="C117" s="27"/>
      <c r="D117" s="27"/>
      <c r="E117" s="27"/>
      <c r="F117" s="27"/>
      <c r="G117" s="27"/>
      <c r="H117" s="27"/>
      <c r="I117" s="27"/>
      <c r="J117" s="27"/>
      <c r="K117" s="27"/>
      <c r="L117" s="27"/>
      <c r="M117" s="59">
        <v>0</v>
      </c>
      <c r="N117" s="27"/>
      <c r="O117" s="6"/>
    </row>
    <row r="118" spans="1:15" ht="15.75">
      <c r="A118" s="26"/>
      <c r="B118" s="27" t="s">
        <v>81</v>
      </c>
      <c r="C118" s="27"/>
      <c r="D118" s="27"/>
      <c r="E118" s="27"/>
      <c r="F118" s="27"/>
      <c r="G118" s="27"/>
      <c r="H118" s="27"/>
      <c r="I118" s="27"/>
      <c r="J118" s="27"/>
      <c r="K118" s="27"/>
      <c r="L118" s="27"/>
      <c r="M118" s="59">
        <v>0</v>
      </c>
      <c r="N118" s="27"/>
      <c r="O118" s="6"/>
    </row>
    <row r="119" spans="1:15" ht="15.75">
      <c r="A119" s="26"/>
      <c r="B119" s="27" t="s">
        <v>82</v>
      </c>
      <c r="C119" s="27"/>
      <c r="D119" s="27"/>
      <c r="E119" s="27"/>
      <c r="F119" s="27"/>
      <c r="G119" s="27"/>
      <c r="H119" s="27"/>
      <c r="I119" s="27"/>
      <c r="J119" s="27"/>
      <c r="K119" s="27"/>
      <c r="L119" s="27"/>
      <c r="M119" s="59">
        <f>SUM(M112:M118)</f>
        <v>4000</v>
      </c>
      <c r="N119" s="27"/>
      <c r="O119" s="6"/>
    </row>
    <row r="120" spans="1:15" ht="15.75">
      <c r="A120" s="26"/>
      <c r="B120" s="27"/>
      <c r="C120" s="27"/>
      <c r="D120" s="27"/>
      <c r="E120" s="27"/>
      <c r="F120" s="27"/>
      <c r="G120" s="27"/>
      <c r="H120" s="27"/>
      <c r="I120" s="27"/>
      <c r="J120" s="27"/>
      <c r="K120" s="27"/>
      <c r="L120" s="27"/>
      <c r="M120" s="68"/>
      <c r="N120" s="27"/>
      <c r="O120" s="6"/>
    </row>
    <row r="121" spans="1:15" ht="15.75">
      <c r="A121" s="7"/>
      <c r="B121" s="139" t="s">
        <v>43</v>
      </c>
      <c r="C121" s="9"/>
      <c r="D121" s="9"/>
      <c r="E121" s="9"/>
      <c r="F121" s="9"/>
      <c r="G121" s="9"/>
      <c r="H121" s="9"/>
      <c r="I121" s="9"/>
      <c r="J121" s="9"/>
      <c r="K121" s="9"/>
      <c r="L121" s="9"/>
      <c r="M121" s="58"/>
      <c r="N121" s="9"/>
      <c r="O121" s="6"/>
    </row>
    <row r="122" spans="1:15" ht="15.75">
      <c r="A122" s="26"/>
      <c r="B122" s="27" t="s">
        <v>83</v>
      </c>
      <c r="C122" s="27"/>
      <c r="D122" s="27"/>
      <c r="E122" s="69"/>
      <c r="F122" s="27"/>
      <c r="G122" s="27"/>
      <c r="H122" s="27"/>
      <c r="I122" s="27"/>
      <c r="J122" s="27"/>
      <c r="K122" s="27"/>
      <c r="L122" s="27"/>
      <c r="M122" s="70" t="s">
        <v>185</v>
      </c>
      <c r="N122" s="27"/>
      <c r="O122" s="6"/>
    </row>
    <row r="123" spans="1:15" ht="15.75">
      <c r="A123" s="26"/>
      <c r="B123" s="27" t="s">
        <v>84</v>
      </c>
      <c r="C123" s="144"/>
      <c r="D123" s="144"/>
      <c r="E123" s="144"/>
      <c r="F123" s="144"/>
      <c r="G123" s="144"/>
      <c r="H123" s="144"/>
      <c r="I123" s="144"/>
      <c r="J123" s="144"/>
      <c r="K123" s="144"/>
      <c r="L123" s="144"/>
      <c r="M123" s="70" t="s">
        <v>185</v>
      </c>
      <c r="N123" s="27"/>
      <c r="O123" s="6"/>
    </row>
    <row r="124" spans="1:15" ht="15.75">
      <c r="A124" s="26"/>
      <c r="B124" s="27" t="s">
        <v>85</v>
      </c>
      <c r="C124" s="27"/>
      <c r="D124" s="27"/>
      <c r="E124" s="27"/>
      <c r="F124" s="27"/>
      <c r="G124" s="27"/>
      <c r="H124" s="27"/>
      <c r="I124" s="27"/>
      <c r="J124" s="27"/>
      <c r="K124" s="27"/>
      <c r="L124" s="27"/>
      <c r="M124" s="70" t="s">
        <v>185</v>
      </c>
      <c r="N124" s="27"/>
      <c r="O124" s="6"/>
    </row>
    <row r="125" spans="1:15" ht="15.75">
      <c r="A125" s="26"/>
      <c r="B125" s="27" t="s">
        <v>86</v>
      </c>
      <c r="C125" s="27"/>
      <c r="D125" s="27"/>
      <c r="E125" s="27"/>
      <c r="F125" s="27"/>
      <c r="G125" s="27"/>
      <c r="H125" s="27"/>
      <c r="I125" s="27"/>
      <c r="J125" s="27"/>
      <c r="K125" s="27"/>
      <c r="L125" s="27"/>
      <c r="M125" s="70" t="s">
        <v>185</v>
      </c>
      <c r="N125" s="27"/>
      <c r="O125" s="6"/>
    </row>
    <row r="126" spans="1:15" ht="15.75">
      <c r="A126" s="26"/>
      <c r="B126" s="27"/>
      <c r="C126" s="27"/>
      <c r="D126" s="27"/>
      <c r="E126" s="27"/>
      <c r="F126" s="27"/>
      <c r="G126" s="27"/>
      <c r="H126" s="27"/>
      <c r="I126" s="27"/>
      <c r="J126" s="27"/>
      <c r="K126" s="27"/>
      <c r="L126" s="27"/>
      <c r="M126" s="68"/>
      <c r="N126" s="27"/>
      <c r="O126" s="6"/>
    </row>
    <row r="127" spans="1:15" ht="15.75">
      <c r="A127" s="7"/>
      <c r="B127" s="139" t="s">
        <v>87</v>
      </c>
      <c r="C127" s="15"/>
      <c r="D127" s="15"/>
      <c r="E127" s="9"/>
      <c r="F127" s="9"/>
      <c r="G127" s="9"/>
      <c r="H127" s="9"/>
      <c r="I127" s="9"/>
      <c r="J127" s="9"/>
      <c r="K127" s="9"/>
      <c r="L127" s="9"/>
      <c r="M127" s="71"/>
      <c r="N127" s="9"/>
      <c r="O127" s="6"/>
    </row>
    <row r="128" spans="1:15" ht="15.75">
      <c r="A128" s="26"/>
      <c r="B128" s="27" t="s">
        <v>88</v>
      </c>
      <c r="C128" s="27"/>
      <c r="D128" s="27"/>
      <c r="E128" s="27"/>
      <c r="F128" s="27"/>
      <c r="G128" s="27"/>
      <c r="H128" s="27"/>
      <c r="I128" s="27"/>
      <c r="J128" s="27"/>
      <c r="K128" s="27"/>
      <c r="L128" s="27"/>
      <c r="M128" s="59">
        <v>0</v>
      </c>
      <c r="N128" s="27"/>
      <c r="O128" s="6"/>
    </row>
    <row r="129" spans="1:15" ht="15.75">
      <c r="A129" s="26"/>
      <c r="B129" s="27" t="s">
        <v>89</v>
      </c>
      <c r="C129" s="27"/>
      <c r="D129" s="27"/>
      <c r="E129" s="27"/>
      <c r="F129" s="27"/>
      <c r="G129" s="27"/>
      <c r="H129" s="27"/>
      <c r="I129" s="27"/>
      <c r="J129" s="27"/>
      <c r="K129" s="27"/>
      <c r="L129" s="27"/>
      <c r="M129" s="59">
        <v>0</v>
      </c>
      <c r="N129" s="27"/>
      <c r="O129" s="6"/>
    </row>
    <row r="130" spans="1:15" ht="15.75">
      <c r="A130" s="26"/>
      <c r="B130" s="27" t="s">
        <v>90</v>
      </c>
      <c r="C130" s="27"/>
      <c r="D130" s="27"/>
      <c r="E130" s="27"/>
      <c r="F130" s="27"/>
      <c r="G130" s="27"/>
      <c r="H130" s="27"/>
      <c r="I130" s="27"/>
      <c r="J130" s="27"/>
      <c r="K130" s="27"/>
      <c r="L130" s="27"/>
      <c r="M130" s="59">
        <f>M129+M128</f>
        <v>0</v>
      </c>
      <c r="N130" s="27"/>
      <c r="O130" s="6"/>
    </row>
    <row r="131" spans="1:15" ht="15.75">
      <c r="A131" s="26"/>
      <c r="B131" s="27" t="s">
        <v>91</v>
      </c>
      <c r="C131" s="27"/>
      <c r="D131" s="27"/>
      <c r="E131" s="27"/>
      <c r="F131" s="27"/>
      <c r="G131" s="27"/>
      <c r="H131" s="27"/>
      <c r="I131" s="72"/>
      <c r="J131" s="27"/>
      <c r="K131" s="27"/>
      <c r="L131" s="27"/>
      <c r="M131" s="59">
        <f>M92</f>
        <v>0</v>
      </c>
      <c r="N131" s="27"/>
      <c r="O131" s="6"/>
    </row>
    <row r="132" spans="1:15" ht="15.75">
      <c r="A132" s="26"/>
      <c r="B132" s="27" t="s">
        <v>92</v>
      </c>
      <c r="C132" s="27"/>
      <c r="D132" s="27"/>
      <c r="E132" s="27"/>
      <c r="F132" s="27"/>
      <c r="G132" s="27"/>
      <c r="H132" s="27"/>
      <c r="I132" s="27"/>
      <c r="J132" s="27"/>
      <c r="K132" s="27"/>
      <c r="L132" s="27"/>
      <c r="M132" s="59">
        <f>M130+M131</f>
        <v>0</v>
      </c>
      <c r="N132" s="27"/>
      <c r="O132" s="6"/>
    </row>
    <row r="133" spans="1:15" ht="15.75">
      <c r="A133" s="26"/>
      <c r="B133" s="27"/>
      <c r="C133" s="27"/>
      <c r="D133" s="27"/>
      <c r="E133" s="27"/>
      <c r="F133" s="27"/>
      <c r="G133" s="27"/>
      <c r="H133" s="27"/>
      <c r="I133" s="27"/>
      <c r="J133" s="27"/>
      <c r="K133" s="27"/>
      <c r="L133" s="27"/>
      <c r="M133" s="68"/>
      <c r="N133" s="27"/>
      <c r="O133" s="6"/>
    </row>
    <row r="134" spans="1:15" ht="15.75">
      <c r="A134" s="2"/>
      <c r="B134" s="5"/>
      <c r="C134" s="5"/>
      <c r="D134" s="5"/>
      <c r="E134" s="5"/>
      <c r="F134" s="5"/>
      <c r="G134" s="5"/>
      <c r="H134" s="5"/>
      <c r="I134" s="5"/>
      <c r="J134" s="5"/>
      <c r="K134" s="5"/>
      <c r="L134" s="5"/>
      <c r="M134" s="56"/>
      <c r="N134" s="5"/>
      <c r="O134" s="6"/>
    </row>
    <row r="135" spans="1:15" ht="15.75">
      <c r="A135" s="7"/>
      <c r="B135" s="139" t="s">
        <v>93</v>
      </c>
      <c r="C135" s="15"/>
      <c r="D135" s="15"/>
      <c r="E135" s="9"/>
      <c r="F135" s="9"/>
      <c r="G135" s="9"/>
      <c r="H135" s="9"/>
      <c r="I135" s="9"/>
      <c r="J135" s="9"/>
      <c r="K135" s="9"/>
      <c r="L135" s="9"/>
      <c r="M135" s="58"/>
      <c r="N135" s="9"/>
      <c r="O135" s="6"/>
    </row>
    <row r="136" spans="1:15" ht="15.75">
      <c r="A136" s="7"/>
      <c r="B136" s="23"/>
      <c r="C136" s="15"/>
      <c r="D136" s="15"/>
      <c r="E136" s="9"/>
      <c r="F136" s="9"/>
      <c r="G136" s="9"/>
      <c r="H136" s="9"/>
      <c r="I136" s="9"/>
      <c r="J136" s="9"/>
      <c r="K136" s="9"/>
      <c r="L136" s="9"/>
      <c r="M136" s="58"/>
      <c r="N136" s="9"/>
      <c r="O136" s="6"/>
    </row>
    <row r="137" spans="1:15" ht="15.75">
      <c r="A137" s="26"/>
      <c r="B137" s="27" t="s">
        <v>94</v>
      </c>
      <c r="C137" s="73"/>
      <c r="D137" s="73"/>
      <c r="E137" s="27"/>
      <c r="F137" s="27"/>
      <c r="G137" s="27"/>
      <c r="H137" s="27"/>
      <c r="I137" s="27"/>
      <c r="J137" s="27"/>
      <c r="K137" s="27"/>
      <c r="L137" s="27"/>
      <c r="M137" s="59">
        <f>M60</f>
        <v>224292</v>
      </c>
      <c r="N137" s="27"/>
      <c r="O137" s="6"/>
    </row>
    <row r="138" spans="1:15" ht="15.75">
      <c r="A138" s="26"/>
      <c r="B138" s="27" t="s">
        <v>95</v>
      </c>
      <c r="C138" s="73"/>
      <c r="D138" s="73"/>
      <c r="E138" s="27"/>
      <c r="F138" s="27"/>
      <c r="G138" s="27"/>
      <c r="H138" s="27"/>
      <c r="I138" s="27"/>
      <c r="J138" s="27"/>
      <c r="K138" s="27"/>
      <c r="L138" s="27"/>
      <c r="M138" s="59">
        <f>M72</f>
        <v>224292</v>
      </c>
      <c r="N138" s="27"/>
      <c r="O138" s="6"/>
    </row>
    <row r="139" spans="1:15" ht="15.75">
      <c r="A139" s="26"/>
      <c r="B139" s="27"/>
      <c r="C139" s="27"/>
      <c r="D139" s="27"/>
      <c r="E139" s="27"/>
      <c r="F139" s="27"/>
      <c r="G139" s="27"/>
      <c r="H139" s="27"/>
      <c r="I139" s="27"/>
      <c r="J139" s="27"/>
      <c r="K139" s="27"/>
      <c r="L139" s="27"/>
      <c r="M139" s="68"/>
      <c r="N139" s="27"/>
      <c r="O139" s="6"/>
    </row>
    <row r="140" spans="1:15" ht="15.75">
      <c r="A140" s="2"/>
      <c r="B140" s="5"/>
      <c r="C140" s="5"/>
      <c r="D140" s="5"/>
      <c r="E140" s="5"/>
      <c r="F140" s="5"/>
      <c r="G140" s="5"/>
      <c r="H140" s="5"/>
      <c r="I140" s="5"/>
      <c r="J140" s="5"/>
      <c r="K140" s="5"/>
      <c r="L140" s="5"/>
      <c r="M140" s="56"/>
      <c r="N140" s="5"/>
      <c r="O140" s="6"/>
    </row>
    <row r="141" spans="1:15" ht="15.75">
      <c r="A141" s="7"/>
      <c r="B141" s="139" t="s">
        <v>96</v>
      </c>
      <c r="C141" s="129"/>
      <c r="D141" s="129"/>
      <c r="E141" s="137"/>
      <c r="F141" s="137"/>
      <c r="G141" s="137"/>
      <c r="H141" s="137"/>
      <c r="I141" s="140" t="s">
        <v>172</v>
      </c>
      <c r="J141" s="140"/>
      <c r="K141" s="140" t="s">
        <v>181</v>
      </c>
      <c r="L141" s="129"/>
      <c r="M141" s="141" t="s">
        <v>195</v>
      </c>
      <c r="N141" s="11"/>
      <c r="O141" s="6"/>
    </row>
    <row r="142" spans="1:15" ht="15.75">
      <c r="A142" s="26"/>
      <c r="B142" s="27" t="s">
        <v>97</v>
      </c>
      <c r="C142" s="27"/>
      <c r="D142" s="27"/>
      <c r="E142" s="27"/>
      <c r="F142" s="27"/>
      <c r="G142" s="27"/>
      <c r="H142" s="27"/>
      <c r="I142" s="59">
        <v>41000</v>
      </c>
      <c r="J142" s="27"/>
      <c r="K142" s="46"/>
      <c r="L142" s="27"/>
      <c r="M142" s="59"/>
      <c r="N142" s="27"/>
      <c r="O142" s="6"/>
    </row>
    <row r="143" spans="1:15" ht="15.75">
      <c r="A143" s="26"/>
      <c r="B143" s="27" t="s">
        <v>98</v>
      </c>
      <c r="C143" s="27"/>
      <c r="D143" s="27"/>
      <c r="E143" s="27"/>
      <c r="F143" s="27"/>
      <c r="G143" s="27"/>
      <c r="H143" s="27"/>
      <c r="I143" s="59">
        <f>'Feb 05'!I144</f>
        <v>21593</v>
      </c>
      <c r="J143" s="27"/>
      <c r="K143" s="59">
        <f>'Feb 05'!K144</f>
        <v>495</v>
      </c>
      <c r="L143" s="27"/>
      <c r="M143" s="59">
        <f>K143+I143</f>
        <v>22088</v>
      </c>
      <c r="N143" s="27"/>
      <c r="O143" s="6"/>
    </row>
    <row r="144" spans="1:15" ht="15.75">
      <c r="A144" s="26"/>
      <c r="B144" s="27" t="s">
        <v>99</v>
      </c>
      <c r="C144" s="27"/>
      <c r="D144" s="27"/>
      <c r="E144" s="27"/>
      <c r="F144" s="27"/>
      <c r="G144" s="27"/>
      <c r="H144" s="27"/>
      <c r="I144" s="38">
        <v>3173</v>
      </c>
      <c r="J144" s="27"/>
      <c r="K144" s="27">
        <v>18</v>
      </c>
      <c r="L144" s="27"/>
      <c r="M144" s="59">
        <f>K144+I144</f>
        <v>3191</v>
      </c>
      <c r="N144" s="27"/>
      <c r="O144" s="6"/>
    </row>
    <row r="145" spans="1:15" ht="15.75">
      <c r="A145" s="26"/>
      <c r="B145" s="27" t="s">
        <v>100</v>
      </c>
      <c r="C145" s="27"/>
      <c r="D145" s="27"/>
      <c r="E145" s="27"/>
      <c r="F145" s="27"/>
      <c r="G145" s="27"/>
      <c r="H145" s="27"/>
      <c r="I145" s="59">
        <f>I143+I144</f>
        <v>24766</v>
      </c>
      <c r="J145" s="27"/>
      <c r="K145" s="59">
        <f>K144+K143</f>
        <v>513</v>
      </c>
      <c r="L145" s="27"/>
      <c r="M145" s="59">
        <f>K145+I145</f>
        <v>25279</v>
      </c>
      <c r="N145" s="27"/>
      <c r="O145" s="6"/>
    </row>
    <row r="146" spans="1:15" ht="15.75">
      <c r="A146" s="26"/>
      <c r="B146" s="27" t="s">
        <v>101</v>
      </c>
      <c r="C146" s="27"/>
      <c r="D146" s="27"/>
      <c r="E146" s="27"/>
      <c r="F146" s="27"/>
      <c r="G146" s="27"/>
      <c r="H146" s="27"/>
      <c r="I146" s="59">
        <f>I142-I145-K145</f>
        <v>15721</v>
      </c>
      <c r="J146" s="27"/>
      <c r="K146" s="46">
        <v>0</v>
      </c>
      <c r="L146" s="27"/>
      <c r="M146" s="59"/>
      <c r="N146" s="27"/>
      <c r="O146" s="6"/>
    </row>
    <row r="147" spans="1:15" ht="15.75">
      <c r="A147" s="26"/>
      <c r="B147" s="27"/>
      <c r="C147" s="27"/>
      <c r="D147" s="27"/>
      <c r="E147" s="27"/>
      <c r="F147" s="27"/>
      <c r="G147" s="27"/>
      <c r="H147" s="27"/>
      <c r="I147" s="27"/>
      <c r="J147" s="27"/>
      <c r="K147" s="27"/>
      <c r="L147" s="27"/>
      <c r="M147" s="68"/>
      <c r="N147" s="27"/>
      <c r="O147" s="6"/>
    </row>
    <row r="148" spans="1:15" ht="15.75">
      <c r="A148" s="2"/>
      <c r="B148" s="5"/>
      <c r="C148" s="5"/>
      <c r="D148" s="5"/>
      <c r="E148" s="5"/>
      <c r="F148" s="5"/>
      <c r="G148" s="5"/>
      <c r="H148" s="5"/>
      <c r="I148" s="5"/>
      <c r="J148" s="5"/>
      <c r="K148" s="5"/>
      <c r="L148" s="5"/>
      <c r="M148" s="56"/>
      <c r="N148" s="5"/>
      <c r="O148" s="6"/>
    </row>
    <row r="149" spans="1:15" ht="15.75">
      <c r="A149" s="7"/>
      <c r="B149" s="139" t="s">
        <v>102</v>
      </c>
      <c r="C149" s="15"/>
      <c r="D149" s="15"/>
      <c r="E149" s="9"/>
      <c r="F149" s="9"/>
      <c r="G149" s="9"/>
      <c r="H149" s="9"/>
      <c r="I149" s="9"/>
      <c r="J149" s="9"/>
      <c r="K149" s="9"/>
      <c r="L149" s="9"/>
      <c r="M149" s="74"/>
      <c r="N149" s="9"/>
      <c r="O149" s="6"/>
    </row>
    <row r="150" spans="1:15" ht="15.75">
      <c r="A150" s="26"/>
      <c r="B150" s="27" t="s">
        <v>103</v>
      </c>
      <c r="C150" s="27"/>
      <c r="D150" s="27"/>
      <c r="E150" s="27"/>
      <c r="F150" s="27"/>
      <c r="G150" s="27"/>
      <c r="H150" s="27"/>
      <c r="I150" s="27"/>
      <c r="J150" s="27"/>
      <c r="K150" s="27"/>
      <c r="L150" s="27"/>
      <c r="M150" s="65">
        <f>(M82+M84+M85+M86+M87)/-M88</f>
        <v>1.350644567219153</v>
      </c>
      <c r="N150" s="27" t="s">
        <v>196</v>
      </c>
      <c r="O150" s="6"/>
    </row>
    <row r="151" spans="1:15" ht="15.75">
      <c r="A151" s="26"/>
      <c r="B151" s="27" t="s">
        <v>104</v>
      </c>
      <c r="C151" s="27"/>
      <c r="D151" s="27"/>
      <c r="E151" s="27"/>
      <c r="F151" s="27"/>
      <c r="G151" s="27"/>
      <c r="H151" s="27"/>
      <c r="I151" s="27"/>
      <c r="J151" s="27"/>
      <c r="K151" s="27"/>
      <c r="L151" s="27"/>
      <c r="M151" s="75">
        <v>1.36</v>
      </c>
      <c r="N151" s="27" t="s">
        <v>196</v>
      </c>
      <c r="O151" s="6"/>
    </row>
    <row r="152" spans="1:15" ht="15.75">
      <c r="A152" s="26"/>
      <c r="B152" s="27" t="s">
        <v>105</v>
      </c>
      <c r="C152" s="27"/>
      <c r="D152" s="27"/>
      <c r="E152" s="27"/>
      <c r="F152" s="27"/>
      <c r="G152" s="27"/>
      <c r="H152" s="27"/>
      <c r="I152" s="27"/>
      <c r="J152" s="27"/>
      <c r="K152" s="27"/>
      <c r="L152" s="27"/>
      <c r="M152" s="65">
        <f>(M82+M84+M85+M86+M87+M88)/-M89</f>
        <v>2.5118733509234827</v>
      </c>
      <c r="N152" s="27" t="s">
        <v>196</v>
      </c>
      <c r="O152" s="6"/>
    </row>
    <row r="153" spans="1:15" ht="15.75">
      <c r="A153" s="26"/>
      <c r="B153" s="27" t="s">
        <v>106</v>
      </c>
      <c r="C153" s="27"/>
      <c r="D153" s="27"/>
      <c r="E153" s="27"/>
      <c r="F153" s="27"/>
      <c r="G153" s="27"/>
      <c r="H153" s="27"/>
      <c r="I153" s="27"/>
      <c r="J153" s="27"/>
      <c r="K153" s="27"/>
      <c r="L153" s="27"/>
      <c r="M153" s="76">
        <v>2.69</v>
      </c>
      <c r="N153" s="27" t="s">
        <v>196</v>
      </c>
      <c r="O153" s="6"/>
    </row>
    <row r="154" spans="1:15" ht="15.75">
      <c r="A154" s="26"/>
      <c r="B154" s="27"/>
      <c r="C154" s="27"/>
      <c r="D154" s="27"/>
      <c r="E154" s="27"/>
      <c r="F154" s="27"/>
      <c r="G154" s="27"/>
      <c r="H154" s="27"/>
      <c r="I154" s="27"/>
      <c r="J154" s="27"/>
      <c r="K154" s="27"/>
      <c r="L154" s="27"/>
      <c r="M154" s="27"/>
      <c r="N154" s="27"/>
      <c r="O154" s="6"/>
    </row>
    <row r="155" spans="1:15" ht="15.75">
      <c r="A155" s="26"/>
      <c r="B155" s="27"/>
      <c r="C155" s="27"/>
      <c r="D155" s="27"/>
      <c r="E155" s="27"/>
      <c r="F155" s="27"/>
      <c r="G155" s="27"/>
      <c r="H155" s="27"/>
      <c r="I155" s="27"/>
      <c r="J155" s="27"/>
      <c r="K155" s="27"/>
      <c r="L155" s="27"/>
      <c r="M155" s="27"/>
      <c r="N155" s="27"/>
      <c r="O155" s="6"/>
    </row>
    <row r="156" spans="1:15" ht="15.75">
      <c r="A156" s="7"/>
      <c r="B156" s="9"/>
      <c r="C156" s="9"/>
      <c r="D156" s="9"/>
      <c r="E156" s="9"/>
      <c r="F156" s="9"/>
      <c r="G156" s="9"/>
      <c r="H156" s="9"/>
      <c r="I156" s="9"/>
      <c r="J156" s="9"/>
      <c r="K156" s="9"/>
      <c r="L156" s="9"/>
      <c r="M156" s="9"/>
      <c r="N156" s="9"/>
      <c r="O156" s="6"/>
    </row>
    <row r="157" spans="1:15" ht="19.5" thickBot="1">
      <c r="A157" s="117"/>
      <c r="B157" s="118" t="str">
        <f>B107</f>
        <v>PM5 INVESTOR REPORT QUARTER ENDING MAY 2005</v>
      </c>
      <c r="C157" s="146"/>
      <c r="D157" s="146"/>
      <c r="E157" s="146"/>
      <c r="F157" s="146"/>
      <c r="G157" s="146"/>
      <c r="H157" s="146"/>
      <c r="I157" s="146"/>
      <c r="J157" s="146"/>
      <c r="K157" s="146"/>
      <c r="L157" s="146"/>
      <c r="M157" s="146"/>
      <c r="N157" s="147"/>
      <c r="O157" s="6"/>
    </row>
    <row r="158" spans="1:15" ht="15.75">
      <c r="A158" s="77"/>
      <c r="B158" s="66" t="s">
        <v>107</v>
      </c>
      <c r="C158" s="78"/>
      <c r="D158" s="78"/>
      <c r="E158" s="78"/>
      <c r="F158" s="78"/>
      <c r="G158" s="78"/>
      <c r="H158" s="79"/>
      <c r="I158" s="79"/>
      <c r="J158" s="79"/>
      <c r="K158" s="80">
        <v>38503</v>
      </c>
      <c r="L158" s="5"/>
      <c r="M158" s="5"/>
      <c r="N158" s="5"/>
      <c r="O158" s="6"/>
    </row>
    <row r="159" spans="1:15" ht="15.75">
      <c r="A159" s="81"/>
      <c r="B159" s="82"/>
      <c r="C159" s="83"/>
      <c r="D159" s="83"/>
      <c r="E159" s="83"/>
      <c r="F159" s="83"/>
      <c r="G159" s="83"/>
      <c r="H159" s="84"/>
      <c r="I159" s="84"/>
      <c r="J159" s="84"/>
      <c r="K159" s="84"/>
      <c r="L159" s="9"/>
      <c r="M159" s="9"/>
      <c r="N159" s="9"/>
      <c r="O159" s="6"/>
    </row>
    <row r="160" spans="1:15" ht="15.75">
      <c r="A160" s="85"/>
      <c r="B160" s="86" t="s">
        <v>108</v>
      </c>
      <c r="C160" s="87"/>
      <c r="D160" s="87"/>
      <c r="E160" s="87"/>
      <c r="F160" s="87"/>
      <c r="G160" s="87"/>
      <c r="H160" s="72"/>
      <c r="I160" s="72"/>
      <c r="J160" s="72"/>
      <c r="K160" s="88">
        <v>0.0533</v>
      </c>
      <c r="L160" s="27"/>
      <c r="M160" s="27"/>
      <c r="N160" s="27"/>
      <c r="O160" s="6"/>
    </row>
    <row r="161" spans="1:15" ht="15.75">
      <c r="A161" s="85"/>
      <c r="B161" s="86" t="s">
        <v>109</v>
      </c>
      <c r="C161" s="87"/>
      <c r="D161" s="87"/>
      <c r="E161" s="87"/>
      <c r="F161" s="87"/>
      <c r="G161" s="87"/>
      <c r="H161" s="72"/>
      <c r="I161" s="72"/>
      <c r="J161" s="72"/>
      <c r="K161" s="45">
        <v>0.04050510000000001</v>
      </c>
      <c r="L161" s="27"/>
      <c r="M161" s="27"/>
      <c r="N161" s="27"/>
      <c r="O161" s="6"/>
    </row>
    <row r="162" spans="1:15" ht="15.75">
      <c r="A162" s="85"/>
      <c r="B162" s="86" t="s">
        <v>110</v>
      </c>
      <c r="C162" s="87"/>
      <c r="D162" s="87"/>
      <c r="E162" s="87"/>
      <c r="F162" s="87"/>
      <c r="G162" s="87"/>
      <c r="H162" s="72"/>
      <c r="I162" s="72"/>
      <c r="J162" s="72"/>
      <c r="K162" s="88">
        <f>K160-K161</f>
        <v>0.012794899999999991</v>
      </c>
      <c r="L162" s="27"/>
      <c r="M162" s="27"/>
      <c r="N162" s="27"/>
      <c r="O162" s="6"/>
    </row>
    <row r="163" spans="1:15" ht="15.75">
      <c r="A163" s="85"/>
      <c r="B163" s="86" t="s">
        <v>111</v>
      </c>
      <c r="C163" s="87"/>
      <c r="D163" s="87"/>
      <c r="E163" s="87"/>
      <c r="F163" s="87"/>
      <c r="G163" s="87"/>
      <c r="H163" s="72"/>
      <c r="I163" s="72"/>
      <c r="J163" s="72"/>
      <c r="K163" s="88">
        <v>0.06486</v>
      </c>
      <c r="L163" s="27"/>
      <c r="M163" s="27"/>
      <c r="N163" s="27"/>
      <c r="O163" s="6"/>
    </row>
    <row r="164" spans="1:15" ht="15.75">
      <c r="A164" s="85"/>
      <c r="B164" s="86" t="s">
        <v>112</v>
      </c>
      <c r="C164" s="87"/>
      <c r="D164" s="87"/>
      <c r="E164" s="87"/>
      <c r="F164" s="87"/>
      <c r="G164" s="87"/>
      <c r="H164" s="72"/>
      <c r="I164" s="72"/>
      <c r="J164" s="72"/>
      <c r="K164" s="88">
        <f>+M34</f>
        <v>0.054031714849050755</v>
      </c>
      <c r="L164" s="27"/>
      <c r="M164" s="27"/>
      <c r="N164" s="27"/>
      <c r="O164" s="6"/>
    </row>
    <row r="165" spans="1:15" ht="15.75">
      <c r="A165" s="85"/>
      <c r="B165" s="86" t="s">
        <v>113</v>
      </c>
      <c r="C165" s="87"/>
      <c r="D165" s="87"/>
      <c r="E165" s="87"/>
      <c r="F165" s="87"/>
      <c r="G165" s="87"/>
      <c r="H165" s="72"/>
      <c r="I165" s="72"/>
      <c r="J165" s="72"/>
      <c r="K165" s="88">
        <f>K163-K164</f>
        <v>0.010828285150949246</v>
      </c>
      <c r="L165" s="27"/>
      <c r="M165" s="27"/>
      <c r="N165" s="27"/>
      <c r="O165" s="6"/>
    </row>
    <row r="166" spans="1:15" ht="15.75">
      <c r="A166" s="85"/>
      <c r="B166" s="86" t="s">
        <v>114</v>
      </c>
      <c r="C166" s="87"/>
      <c r="D166" s="87"/>
      <c r="E166" s="87"/>
      <c r="F166" s="87"/>
      <c r="G166" s="87"/>
      <c r="H166" s="72"/>
      <c r="I166" s="72"/>
      <c r="J166" s="72"/>
      <c r="K166" s="89" t="s">
        <v>182</v>
      </c>
      <c r="L166" s="27"/>
      <c r="M166" s="27"/>
      <c r="N166" s="27"/>
      <c r="O166" s="6"/>
    </row>
    <row r="167" spans="1:15" ht="15.75">
      <c r="A167" s="85"/>
      <c r="B167" s="86" t="s">
        <v>115</v>
      </c>
      <c r="C167" s="87"/>
      <c r="D167" s="87"/>
      <c r="E167" s="87"/>
      <c r="F167" s="87"/>
      <c r="G167" s="87"/>
      <c r="H167" s="72"/>
      <c r="I167" s="72"/>
      <c r="J167" s="72"/>
      <c r="K167" s="89" t="s">
        <v>183</v>
      </c>
      <c r="L167" s="27"/>
      <c r="M167" s="27"/>
      <c r="N167" s="27"/>
      <c r="O167" s="6"/>
    </row>
    <row r="168" spans="1:15" ht="15.75">
      <c r="A168" s="85"/>
      <c r="B168" s="86" t="s">
        <v>116</v>
      </c>
      <c r="C168" s="87"/>
      <c r="D168" s="87"/>
      <c r="E168" s="87"/>
      <c r="F168" s="87"/>
      <c r="G168" s="87"/>
      <c r="H168" s="72"/>
      <c r="I168" s="72"/>
      <c r="J168" s="72"/>
      <c r="K168" s="152">
        <v>21.58</v>
      </c>
      <c r="L168" s="27" t="s">
        <v>188</v>
      </c>
      <c r="M168" s="27"/>
      <c r="N168" s="27"/>
      <c r="O168" s="6"/>
    </row>
    <row r="169" spans="1:15" ht="15.75">
      <c r="A169" s="85"/>
      <c r="B169" s="86" t="s">
        <v>117</v>
      </c>
      <c r="C169" s="87"/>
      <c r="D169" s="87"/>
      <c r="E169" s="87"/>
      <c r="F169" s="87"/>
      <c r="G169" s="87"/>
      <c r="H169" s="72"/>
      <c r="I169" s="72"/>
      <c r="J169" s="72"/>
      <c r="K169" s="152">
        <v>19.86</v>
      </c>
      <c r="L169" s="27" t="s">
        <v>188</v>
      </c>
      <c r="M169" s="27"/>
      <c r="N169" s="27"/>
      <c r="O169" s="6"/>
    </row>
    <row r="170" spans="1:15" ht="15.75">
      <c r="A170" s="85"/>
      <c r="B170" s="86" t="s">
        <v>118</v>
      </c>
      <c r="C170" s="87"/>
      <c r="D170" s="87"/>
      <c r="E170" s="87"/>
      <c r="F170" s="87"/>
      <c r="G170" s="87"/>
      <c r="H170" s="72"/>
      <c r="I170" s="72"/>
      <c r="J170" s="72"/>
      <c r="K170" s="88">
        <f>+G57/'Feb 05'!M56</f>
        <v>0.02697267086212208</v>
      </c>
      <c r="L170" s="27"/>
      <c r="M170" s="27"/>
      <c r="N170" s="27"/>
      <c r="O170" s="6"/>
    </row>
    <row r="171" spans="1:15" ht="15.75">
      <c r="A171" s="85"/>
      <c r="B171" s="86" t="s">
        <v>119</v>
      </c>
      <c r="C171" s="87"/>
      <c r="D171" s="87"/>
      <c r="E171" s="87"/>
      <c r="F171" s="87"/>
      <c r="G171" s="87"/>
      <c r="H171" s="72"/>
      <c r="I171" s="72"/>
      <c r="J171" s="72"/>
      <c r="K171" s="88">
        <v>0.1032</v>
      </c>
      <c r="L171" s="27"/>
      <c r="M171" s="27"/>
      <c r="N171" s="27"/>
      <c r="O171" s="6"/>
    </row>
    <row r="172" spans="1:15" ht="15.75">
      <c r="A172" s="85"/>
      <c r="B172" s="86"/>
      <c r="C172" s="86"/>
      <c r="D172" s="86"/>
      <c r="E172" s="86"/>
      <c r="F172" s="86"/>
      <c r="G172" s="86"/>
      <c r="H172" s="27"/>
      <c r="I172" s="27"/>
      <c r="J172" s="27"/>
      <c r="K172" s="68"/>
      <c r="L172" s="27"/>
      <c r="M172" s="91"/>
      <c r="N172" s="27"/>
      <c r="O172" s="6"/>
    </row>
    <row r="173" spans="1:15" ht="15.75">
      <c r="A173" s="92"/>
      <c r="B173" s="16" t="s">
        <v>120</v>
      </c>
      <c r="C173" s="93"/>
      <c r="D173" s="93"/>
      <c r="E173" s="94"/>
      <c r="F173" s="93"/>
      <c r="G173" s="94"/>
      <c r="H173" s="93"/>
      <c r="I173" s="94"/>
      <c r="J173" s="19" t="s">
        <v>173</v>
      </c>
      <c r="K173" s="95" t="s">
        <v>184</v>
      </c>
      <c r="L173" s="9"/>
      <c r="M173" s="9"/>
      <c r="N173" s="9"/>
      <c r="O173" s="6"/>
    </row>
    <row r="174" spans="1:15" ht="15.75">
      <c r="A174" s="96"/>
      <c r="B174" s="86" t="s">
        <v>121</v>
      </c>
      <c r="C174" s="60"/>
      <c r="D174" s="60"/>
      <c r="E174" s="60"/>
      <c r="F174" s="60"/>
      <c r="G174" s="27"/>
      <c r="H174" s="27"/>
      <c r="I174" s="27"/>
      <c r="J174" s="34">
        <v>1</v>
      </c>
      <c r="K174" s="97">
        <v>157</v>
      </c>
      <c r="L174" s="27"/>
      <c r="M174" s="91"/>
      <c r="N174" s="98"/>
      <c r="O174" s="6"/>
    </row>
    <row r="175" spans="1:15" ht="15.75">
      <c r="A175" s="96"/>
      <c r="B175" s="86" t="s">
        <v>202</v>
      </c>
      <c r="C175" s="60"/>
      <c r="D175" s="60"/>
      <c r="E175" s="60"/>
      <c r="F175" s="60"/>
      <c r="G175" s="27"/>
      <c r="H175" s="27"/>
      <c r="I175" s="27"/>
      <c r="J175" s="167">
        <f>+I213</f>
        <v>3</v>
      </c>
      <c r="K175" s="97">
        <f>+K213</f>
        <v>547</v>
      </c>
      <c r="L175" s="27"/>
      <c r="M175" s="91"/>
      <c r="N175" s="98"/>
      <c r="O175" s="6"/>
    </row>
    <row r="176" spans="1:15" ht="15.75">
      <c r="A176" s="96"/>
      <c r="B176" s="86" t="s">
        <v>122</v>
      </c>
      <c r="C176" s="60"/>
      <c r="D176" s="60"/>
      <c r="E176" s="60"/>
      <c r="F176" s="60"/>
      <c r="G176" s="27"/>
      <c r="H176" s="27"/>
      <c r="I176" s="27"/>
      <c r="J176" s="167">
        <f>+I225</f>
        <v>0</v>
      </c>
      <c r="K176" s="97">
        <f>+K225</f>
        <v>0</v>
      </c>
      <c r="L176" s="27"/>
      <c r="M176" s="91"/>
      <c r="N176" s="98"/>
      <c r="O176" s="6"/>
    </row>
    <row r="177" spans="1:15" ht="15.75">
      <c r="A177" s="96"/>
      <c r="B177" s="142" t="s">
        <v>123</v>
      </c>
      <c r="C177" s="60"/>
      <c r="D177" s="60"/>
      <c r="E177" s="60"/>
      <c r="F177" s="60"/>
      <c r="G177" s="27"/>
      <c r="H177" s="27"/>
      <c r="I177" s="27"/>
      <c r="J177" s="27"/>
      <c r="K177" s="97">
        <v>0</v>
      </c>
      <c r="L177" s="27"/>
      <c r="M177" s="91"/>
      <c r="N177" s="98"/>
      <c r="O177" s="6"/>
    </row>
    <row r="178" spans="1:15" ht="15.75">
      <c r="A178" s="96"/>
      <c r="B178" s="142" t="s">
        <v>124</v>
      </c>
      <c r="C178" s="60"/>
      <c r="D178" s="60"/>
      <c r="E178" s="60"/>
      <c r="F178" s="60"/>
      <c r="G178" s="27"/>
      <c r="H178" s="27"/>
      <c r="I178" s="27"/>
      <c r="J178" s="27"/>
      <c r="K178" s="70" t="s">
        <v>185</v>
      </c>
      <c r="L178" s="27"/>
      <c r="M178" s="91"/>
      <c r="N178" s="98"/>
      <c r="O178" s="6"/>
    </row>
    <row r="179" spans="1:15" ht="15.75">
      <c r="A179" s="99"/>
      <c r="B179" s="142" t="s">
        <v>125</v>
      </c>
      <c r="C179" s="60"/>
      <c r="D179" s="60"/>
      <c r="E179" s="86"/>
      <c r="F179" s="86"/>
      <c r="G179" s="86"/>
      <c r="H179" s="27"/>
      <c r="I179" s="27"/>
      <c r="J179" s="27"/>
      <c r="K179" s="97"/>
      <c r="L179" s="27"/>
      <c r="M179" s="91"/>
      <c r="N179" s="100"/>
      <c r="O179" s="6"/>
    </row>
    <row r="180" spans="1:15" ht="15.75">
      <c r="A180" s="99"/>
      <c r="B180" s="150" t="s">
        <v>126</v>
      </c>
      <c r="C180" s="60"/>
      <c r="D180" s="60"/>
      <c r="E180" s="86"/>
      <c r="F180" s="86"/>
      <c r="G180" s="86"/>
      <c r="H180" s="27"/>
      <c r="I180" s="27"/>
      <c r="J180" s="27">
        <v>0</v>
      </c>
      <c r="K180" s="97">
        <f>M129</f>
        <v>0</v>
      </c>
      <c r="L180" s="27"/>
      <c r="M180" s="91"/>
      <c r="N180" s="100"/>
      <c r="O180" s="6"/>
    </row>
    <row r="181" spans="1:15" ht="15.75">
      <c r="A181" s="96"/>
      <c r="B181" s="86" t="s">
        <v>127</v>
      </c>
      <c r="C181" s="60"/>
      <c r="D181" s="60"/>
      <c r="E181" s="60"/>
      <c r="F181" s="60"/>
      <c r="G181" s="60"/>
      <c r="H181" s="27"/>
      <c r="I181" s="27"/>
      <c r="J181" s="27">
        <v>0</v>
      </c>
      <c r="K181" s="97">
        <f>+'Feb 05'!K180+K180</f>
        <v>0</v>
      </c>
      <c r="L181" s="27"/>
      <c r="M181" s="91"/>
      <c r="N181" s="100"/>
      <c r="O181" s="6"/>
    </row>
    <row r="182" spans="1:15" ht="15.75">
      <c r="A182" s="96"/>
      <c r="B182" s="86" t="s">
        <v>128</v>
      </c>
      <c r="C182" s="60"/>
      <c r="D182" s="60"/>
      <c r="E182" s="60"/>
      <c r="F182" s="60"/>
      <c r="G182" s="60"/>
      <c r="H182" s="27"/>
      <c r="I182" s="27"/>
      <c r="J182" s="27"/>
      <c r="K182" s="97">
        <v>0</v>
      </c>
      <c r="L182" s="27"/>
      <c r="M182" s="91"/>
      <c r="N182" s="100"/>
      <c r="O182" s="6"/>
    </row>
    <row r="183" spans="1:15" ht="15.75">
      <c r="A183" s="99"/>
      <c r="B183" s="142" t="s">
        <v>129</v>
      </c>
      <c r="C183" s="60"/>
      <c r="D183" s="60"/>
      <c r="E183" s="86"/>
      <c r="F183" s="86"/>
      <c r="G183" s="86"/>
      <c r="H183" s="27"/>
      <c r="I183" s="27"/>
      <c r="J183" s="27"/>
      <c r="K183" s="97"/>
      <c r="L183" s="27"/>
      <c r="M183" s="91"/>
      <c r="N183" s="100"/>
      <c r="O183" s="6"/>
    </row>
    <row r="184" spans="1:15" ht="15.75">
      <c r="A184" s="99"/>
      <c r="B184" s="86" t="s">
        <v>130</v>
      </c>
      <c r="C184" s="60"/>
      <c r="D184" s="60"/>
      <c r="E184" s="86"/>
      <c r="F184" s="86"/>
      <c r="G184" s="86"/>
      <c r="H184" s="27"/>
      <c r="I184" s="27"/>
      <c r="J184" s="27">
        <v>0</v>
      </c>
      <c r="K184" s="97">
        <v>0</v>
      </c>
      <c r="L184" s="27"/>
      <c r="M184" s="91"/>
      <c r="N184" s="100"/>
      <c r="O184" s="6"/>
    </row>
    <row r="185" spans="1:15" ht="15.75">
      <c r="A185" s="96"/>
      <c r="B185" s="86" t="s">
        <v>131</v>
      </c>
      <c r="C185" s="60"/>
      <c r="D185" s="60"/>
      <c r="E185" s="101"/>
      <c r="F185" s="101"/>
      <c r="G185" s="102"/>
      <c r="H185" s="27"/>
      <c r="I185" s="27"/>
      <c r="J185" s="27"/>
      <c r="K185" s="70">
        <v>0</v>
      </c>
      <c r="L185" s="27"/>
      <c r="M185" s="91"/>
      <c r="N185" s="100"/>
      <c r="O185" s="6"/>
    </row>
    <row r="186" spans="1:15" ht="15.75">
      <c r="A186" s="96"/>
      <c r="B186" s="86" t="s">
        <v>132</v>
      </c>
      <c r="C186" s="60"/>
      <c r="D186" s="60"/>
      <c r="E186" s="101"/>
      <c r="F186" s="101"/>
      <c r="G186" s="102"/>
      <c r="H186" s="27"/>
      <c r="I186" s="27"/>
      <c r="J186" s="27"/>
      <c r="K186" s="70">
        <v>0</v>
      </c>
      <c r="L186" s="27"/>
      <c r="M186" s="91"/>
      <c r="N186" s="100"/>
      <c r="O186" s="6"/>
    </row>
    <row r="187" spans="1:15" ht="15.75">
      <c r="A187" s="96"/>
      <c r="B187" s="86" t="s">
        <v>133</v>
      </c>
      <c r="C187" s="60"/>
      <c r="D187" s="60"/>
      <c r="E187" s="103"/>
      <c r="F187" s="101"/>
      <c r="G187" s="102"/>
      <c r="H187" s="27"/>
      <c r="I187" s="27"/>
      <c r="J187" s="27"/>
      <c r="K187" s="104">
        <v>0</v>
      </c>
      <c r="L187" s="27"/>
      <c r="M187" s="91"/>
      <c r="N187" s="100"/>
      <c r="O187" s="6"/>
    </row>
    <row r="188" spans="1:15" ht="15.75">
      <c r="A188" s="96"/>
      <c r="B188" s="86"/>
      <c r="C188" s="60"/>
      <c r="D188" s="60"/>
      <c r="E188" s="103"/>
      <c r="F188" s="101"/>
      <c r="G188" s="102"/>
      <c r="H188" s="27"/>
      <c r="I188" s="27"/>
      <c r="J188" s="27"/>
      <c r="K188" s="104"/>
      <c r="L188" s="27"/>
      <c r="M188" s="91"/>
      <c r="N188" s="100"/>
      <c r="O188" s="6"/>
    </row>
    <row r="189" spans="1:15" ht="18.75">
      <c r="A189" s="96"/>
      <c r="B189" s="169"/>
      <c r="C189" s="60"/>
      <c r="D189" s="60"/>
      <c r="E189" s="103"/>
      <c r="F189" s="101"/>
      <c r="G189" s="102"/>
      <c r="H189" s="27"/>
      <c r="I189" s="27"/>
      <c r="J189" s="27"/>
      <c r="K189" s="104"/>
      <c r="L189" s="27"/>
      <c r="M189" s="91"/>
      <c r="N189" s="100"/>
      <c r="O189" s="6"/>
    </row>
    <row r="190" spans="1:15" ht="15.75">
      <c r="A190" s="96"/>
      <c r="B190" s="86"/>
      <c r="C190" s="60"/>
      <c r="D190" s="60"/>
      <c r="E190" s="103"/>
      <c r="F190" s="101"/>
      <c r="G190" s="102"/>
      <c r="H190" s="27"/>
      <c r="I190" s="27"/>
      <c r="J190" s="27"/>
      <c r="K190" s="104"/>
      <c r="L190" s="27"/>
      <c r="M190" s="91"/>
      <c r="N190" s="100"/>
      <c r="O190" s="6"/>
    </row>
    <row r="191" spans="1:15" ht="15.75">
      <c r="A191" s="7"/>
      <c r="B191" s="16" t="s">
        <v>218</v>
      </c>
      <c r="C191" s="93"/>
      <c r="D191" s="93"/>
      <c r="E191" s="94"/>
      <c r="F191" s="93"/>
      <c r="G191" s="94"/>
      <c r="H191" s="93"/>
      <c r="I191" s="95" t="s">
        <v>173</v>
      </c>
      <c r="J191" s="19" t="s">
        <v>174</v>
      </c>
      <c r="K191" s="95" t="s">
        <v>186</v>
      </c>
      <c r="L191" s="19" t="s">
        <v>174</v>
      </c>
      <c r="M191" s="9"/>
      <c r="N191" s="105"/>
      <c r="O191" s="6"/>
    </row>
    <row r="192" spans="1:15" ht="15.75">
      <c r="A192" s="26"/>
      <c r="B192" s="60" t="s">
        <v>135</v>
      </c>
      <c r="C192" s="106"/>
      <c r="D192" s="106"/>
      <c r="E192" s="60"/>
      <c r="F192" s="106"/>
      <c r="G192" s="27"/>
      <c r="H192" s="106"/>
      <c r="I192" s="60">
        <v>2090</v>
      </c>
      <c r="J192" s="108">
        <f>I192/I201</f>
        <v>0.9928741092636579</v>
      </c>
      <c r="K192" s="59">
        <v>221726</v>
      </c>
      <c r="L192" s="151">
        <f>K192/K201</f>
        <v>0.9909763346666964</v>
      </c>
      <c r="M192" s="91"/>
      <c r="N192" s="100"/>
      <c r="O192" s="6"/>
    </row>
    <row r="193" spans="1:15" ht="15.75">
      <c r="A193" s="26"/>
      <c r="B193" s="60" t="s">
        <v>136</v>
      </c>
      <c r="C193" s="106"/>
      <c r="D193" s="106"/>
      <c r="E193" s="60"/>
      <c r="F193" s="106"/>
      <c r="G193" s="27"/>
      <c r="H193" s="108"/>
      <c r="I193" s="60">
        <v>13</v>
      </c>
      <c r="J193" s="108">
        <f>I193/I201</f>
        <v>0.006175771971496437</v>
      </c>
      <c r="K193" s="59">
        <v>1538</v>
      </c>
      <c r="L193" s="151">
        <f>K193/K201</f>
        <v>0.0068738966233882325</v>
      </c>
      <c r="M193" s="91"/>
      <c r="N193" s="100"/>
      <c r="O193" s="6"/>
    </row>
    <row r="194" spans="1:15" ht="15.75">
      <c r="A194" s="26"/>
      <c r="B194" s="60" t="s">
        <v>137</v>
      </c>
      <c r="C194" s="106"/>
      <c r="D194" s="106"/>
      <c r="E194" s="60"/>
      <c r="F194" s="106"/>
      <c r="G194" s="27"/>
      <c r="H194" s="108"/>
      <c r="I194" s="60">
        <v>1</v>
      </c>
      <c r="J194" s="108">
        <f>I194/I201</f>
        <v>0.00047505938242280285</v>
      </c>
      <c r="K194" s="59">
        <v>393</v>
      </c>
      <c r="L194" s="151">
        <f>K194/K201</f>
        <v>0.0017564638315940022</v>
      </c>
      <c r="M194" s="91"/>
      <c r="N194" s="100"/>
      <c r="O194" s="6"/>
    </row>
    <row r="195" spans="1:15" ht="15.75">
      <c r="A195" s="26"/>
      <c r="B195" s="60" t="s">
        <v>210</v>
      </c>
      <c r="C195" s="106"/>
      <c r="D195" s="106"/>
      <c r="E195" s="60"/>
      <c r="F195" s="106"/>
      <c r="G195" s="27"/>
      <c r="H195" s="108"/>
      <c r="I195" s="60">
        <v>0</v>
      </c>
      <c r="J195" s="108">
        <f>I195/I201</f>
        <v>0</v>
      </c>
      <c r="K195" s="59">
        <v>0</v>
      </c>
      <c r="L195" s="151">
        <f>K195/$K$201</f>
        <v>0</v>
      </c>
      <c r="M195" s="91"/>
      <c r="N195" s="100"/>
      <c r="O195" s="6"/>
    </row>
    <row r="196" spans="1:15" ht="15.75">
      <c r="A196" s="26"/>
      <c r="B196" s="60" t="s">
        <v>211</v>
      </c>
      <c r="C196" s="106"/>
      <c r="D196" s="106"/>
      <c r="E196" s="60"/>
      <c r="F196" s="106"/>
      <c r="G196" s="27"/>
      <c r="H196" s="108"/>
      <c r="I196" s="60">
        <v>1</v>
      </c>
      <c r="J196" s="108">
        <f>I196/$I$201</f>
        <v>0.00047505938242280285</v>
      </c>
      <c r="K196" s="59">
        <v>88</v>
      </c>
      <c r="L196" s="151">
        <f>K196/$K$201</f>
        <v>0.00039330487832130325</v>
      </c>
      <c r="M196" s="91"/>
      <c r="N196" s="100"/>
      <c r="O196" s="6"/>
    </row>
    <row r="197" spans="1:15" ht="15.75">
      <c r="A197" s="26"/>
      <c r="B197" s="60" t="s">
        <v>212</v>
      </c>
      <c r="C197" s="106"/>
      <c r="D197" s="106"/>
      <c r="E197" s="60"/>
      <c r="F197" s="106"/>
      <c r="G197" s="27"/>
      <c r="H197" s="108"/>
      <c r="I197" s="60">
        <v>0</v>
      </c>
      <c r="J197" s="108">
        <f>I197/$I$201</f>
        <v>0</v>
      </c>
      <c r="K197" s="59">
        <v>0</v>
      </c>
      <c r="L197" s="151">
        <f>K197/$K$201</f>
        <v>0</v>
      </c>
      <c r="M197" s="91"/>
      <c r="N197" s="100"/>
      <c r="O197" s="6"/>
    </row>
    <row r="198" spans="1:15" ht="15.75">
      <c r="A198" s="26"/>
      <c r="B198" s="60" t="s">
        <v>213</v>
      </c>
      <c r="C198" s="106"/>
      <c r="D198" s="106"/>
      <c r="E198" s="60"/>
      <c r="F198" s="106"/>
      <c r="G198" s="27"/>
      <c r="H198" s="108"/>
      <c r="I198" s="60">
        <v>0</v>
      </c>
      <c r="J198" s="108">
        <f>I198/$I$201</f>
        <v>0</v>
      </c>
      <c r="K198" s="59">
        <v>0</v>
      </c>
      <c r="L198" s="151">
        <f>K198/$K$201</f>
        <v>0</v>
      </c>
      <c r="M198" s="91"/>
      <c r="N198" s="100"/>
      <c r="O198" s="6"/>
    </row>
    <row r="199" spans="1:15" ht="15.75">
      <c r="A199" s="26"/>
      <c r="B199" s="60" t="s">
        <v>214</v>
      </c>
      <c r="C199" s="106"/>
      <c r="D199" s="106"/>
      <c r="E199" s="60"/>
      <c r="F199" s="106"/>
      <c r="G199" s="27"/>
      <c r="H199" s="108"/>
      <c r="I199" s="60">
        <v>0</v>
      </c>
      <c r="J199" s="108">
        <f>I199/$I$201</f>
        <v>0</v>
      </c>
      <c r="K199" s="59">
        <v>0</v>
      </c>
      <c r="L199" s="151">
        <f>K199/$K$201</f>
        <v>0</v>
      </c>
      <c r="M199" s="91"/>
      <c r="N199" s="100"/>
      <c r="O199" s="6"/>
    </row>
    <row r="200" spans="1:15" ht="15.75">
      <c r="A200" s="26"/>
      <c r="B200" s="60"/>
      <c r="C200" s="106"/>
      <c r="D200" s="106"/>
      <c r="E200" s="60"/>
      <c r="F200" s="106"/>
      <c r="G200" s="27"/>
      <c r="H200" s="108"/>
      <c r="I200" s="60"/>
      <c r="J200" s="108"/>
      <c r="K200" s="59"/>
      <c r="L200" s="151"/>
      <c r="M200" s="91"/>
      <c r="N200" s="100"/>
      <c r="O200" s="6"/>
    </row>
    <row r="201" spans="1:15" ht="15.75">
      <c r="A201" s="26"/>
      <c r="B201" s="27"/>
      <c r="C201" s="27"/>
      <c r="D201" s="27"/>
      <c r="E201" s="27"/>
      <c r="F201" s="27"/>
      <c r="G201" s="27"/>
      <c r="H201" s="27"/>
      <c r="I201" s="38">
        <f>SUM(I192:I200)</f>
        <v>2105</v>
      </c>
      <c r="J201" s="109">
        <f>SUM(J192:J200)</f>
        <v>0.9999999999999999</v>
      </c>
      <c r="K201" s="59">
        <f>SUM(K192:K200)</f>
        <v>223745</v>
      </c>
      <c r="L201" s="109">
        <f>SUM(L192:L200)</f>
        <v>1</v>
      </c>
      <c r="M201" s="27"/>
      <c r="N201" s="27"/>
      <c r="O201" s="6"/>
    </row>
    <row r="202" spans="1:15" ht="15.75">
      <c r="A202" s="26"/>
      <c r="B202" s="27"/>
      <c r="C202" s="27"/>
      <c r="D202" s="27"/>
      <c r="E202" s="27"/>
      <c r="F202" s="27"/>
      <c r="G202" s="27"/>
      <c r="H202" s="27"/>
      <c r="I202" s="38"/>
      <c r="J202" s="109"/>
      <c r="K202" s="59"/>
      <c r="L202" s="109"/>
      <c r="M202" s="27"/>
      <c r="N202" s="27"/>
      <c r="O202" s="6"/>
    </row>
    <row r="203" spans="1:15" ht="15.75">
      <c r="A203" s="153"/>
      <c r="B203" s="16" t="s">
        <v>221</v>
      </c>
      <c r="C203" s="93"/>
      <c r="D203" s="93"/>
      <c r="E203" s="94"/>
      <c r="F203" s="93"/>
      <c r="G203" s="94"/>
      <c r="H203" s="93"/>
      <c r="I203" s="95" t="s">
        <v>173</v>
      </c>
      <c r="J203" s="19" t="s">
        <v>174</v>
      </c>
      <c r="K203" s="95" t="s">
        <v>186</v>
      </c>
      <c r="L203" s="19" t="s">
        <v>174</v>
      </c>
      <c r="M203" s="154"/>
      <c r="N203" s="155"/>
      <c r="O203" s="6"/>
    </row>
    <row r="204" spans="1:15" ht="15.75">
      <c r="A204" s="26"/>
      <c r="B204" s="60" t="s">
        <v>135</v>
      </c>
      <c r="C204" s="106"/>
      <c r="D204" s="106"/>
      <c r="E204" s="60"/>
      <c r="F204" s="106"/>
      <c r="G204" s="27"/>
      <c r="H204" s="106"/>
      <c r="I204" s="60">
        <v>1</v>
      </c>
      <c r="J204" s="108">
        <f>I204/I213</f>
        <v>0.3333333333333333</v>
      </c>
      <c r="K204" s="59">
        <v>241</v>
      </c>
      <c r="L204" s="151">
        <f>K204/K213</f>
        <v>0.4405850091407678</v>
      </c>
      <c r="M204" s="27"/>
      <c r="N204" s="27"/>
      <c r="O204" s="6"/>
    </row>
    <row r="205" spans="1:15" ht="15.75">
      <c r="A205" s="26"/>
      <c r="B205" s="60" t="s">
        <v>136</v>
      </c>
      <c r="C205" s="106"/>
      <c r="D205" s="106"/>
      <c r="E205" s="60"/>
      <c r="F205" s="106"/>
      <c r="G205" s="27"/>
      <c r="H205" s="108"/>
      <c r="I205" s="60">
        <v>0</v>
      </c>
      <c r="J205" s="108">
        <f>I205/I213</f>
        <v>0</v>
      </c>
      <c r="K205" s="59">
        <v>0</v>
      </c>
      <c r="L205" s="151">
        <f>K205/K213</f>
        <v>0</v>
      </c>
      <c r="M205" s="27"/>
      <c r="N205" s="27"/>
      <c r="O205" s="6"/>
    </row>
    <row r="206" spans="1:15" ht="15.75">
      <c r="A206" s="26"/>
      <c r="B206" s="60" t="s">
        <v>137</v>
      </c>
      <c r="C206" s="106"/>
      <c r="D206" s="106"/>
      <c r="E206" s="60"/>
      <c r="F206" s="106"/>
      <c r="G206" s="27"/>
      <c r="H206" s="108"/>
      <c r="I206" s="60">
        <v>0</v>
      </c>
      <c r="J206" s="108">
        <f>I206/I213</f>
        <v>0</v>
      </c>
      <c r="K206" s="59">
        <v>0</v>
      </c>
      <c r="L206" s="151">
        <f>K206/K213</f>
        <v>0</v>
      </c>
      <c r="M206" s="27"/>
      <c r="N206" s="27"/>
      <c r="O206" s="6"/>
    </row>
    <row r="207" spans="1:15" ht="15.75">
      <c r="A207" s="26"/>
      <c r="B207" s="60" t="s">
        <v>210</v>
      </c>
      <c r="C207" s="106"/>
      <c r="D207" s="106"/>
      <c r="E207" s="60"/>
      <c r="F207" s="106"/>
      <c r="G207" s="27"/>
      <c r="H207" s="108"/>
      <c r="I207" s="60">
        <v>0</v>
      </c>
      <c r="J207" s="108">
        <f>I207/I213</f>
        <v>0</v>
      </c>
      <c r="K207" s="59">
        <v>0</v>
      </c>
      <c r="L207" s="151">
        <f>K207/$K$213</f>
        <v>0</v>
      </c>
      <c r="M207" s="27"/>
      <c r="N207" s="27"/>
      <c r="O207" s="6"/>
    </row>
    <row r="208" spans="1:15" ht="15.75">
      <c r="A208" s="26"/>
      <c r="B208" s="60" t="s">
        <v>211</v>
      </c>
      <c r="C208" s="106"/>
      <c r="D208" s="106"/>
      <c r="E208" s="60"/>
      <c r="F208" s="106"/>
      <c r="G208" s="27"/>
      <c r="H208" s="108"/>
      <c r="I208" s="60">
        <v>0</v>
      </c>
      <c r="J208" s="108">
        <f>I208/$I$213</f>
        <v>0</v>
      </c>
      <c r="K208" s="59">
        <v>0</v>
      </c>
      <c r="L208" s="151">
        <f>K208/$K$213</f>
        <v>0</v>
      </c>
      <c r="M208" s="27"/>
      <c r="N208" s="27"/>
      <c r="O208" s="6"/>
    </row>
    <row r="209" spans="1:15" ht="15.75">
      <c r="A209" s="26"/>
      <c r="B209" s="60" t="s">
        <v>212</v>
      </c>
      <c r="C209" s="106"/>
      <c r="D209" s="106"/>
      <c r="E209" s="60"/>
      <c r="F209" s="106"/>
      <c r="G209" s="27"/>
      <c r="H209" s="108"/>
      <c r="I209" s="60">
        <v>0</v>
      </c>
      <c r="J209" s="108">
        <f>I209/$I$213</f>
        <v>0</v>
      </c>
      <c r="K209" s="59">
        <v>0</v>
      </c>
      <c r="L209" s="151">
        <f>K209/$K$213</f>
        <v>0</v>
      </c>
      <c r="M209" s="27"/>
      <c r="N209" s="27"/>
      <c r="O209" s="6"/>
    </row>
    <row r="210" spans="1:15" ht="15.75">
      <c r="A210" s="26"/>
      <c r="B210" s="60" t="s">
        <v>213</v>
      </c>
      <c r="C210" s="106"/>
      <c r="D210" s="106"/>
      <c r="E210" s="60"/>
      <c r="F210" s="106"/>
      <c r="G210" s="27"/>
      <c r="H210" s="108"/>
      <c r="I210" s="60">
        <v>1</v>
      </c>
      <c r="J210" s="108">
        <f>I210/$I$213</f>
        <v>0.3333333333333333</v>
      </c>
      <c r="K210" s="59">
        <v>153</v>
      </c>
      <c r="L210" s="151">
        <f>K210/$K$213</f>
        <v>0.2797074954296161</v>
      </c>
      <c r="M210" s="27"/>
      <c r="N210" s="27"/>
      <c r="O210" s="6"/>
    </row>
    <row r="211" spans="1:15" ht="15.75">
      <c r="A211" s="26"/>
      <c r="B211" s="60" t="s">
        <v>214</v>
      </c>
      <c r="C211" s="106"/>
      <c r="D211" s="106"/>
      <c r="E211" s="60"/>
      <c r="F211" s="106"/>
      <c r="G211" s="27"/>
      <c r="H211" s="108"/>
      <c r="I211" s="60">
        <v>1</v>
      </c>
      <c r="J211" s="108">
        <f>I211/$I$213</f>
        <v>0.3333333333333333</v>
      </c>
      <c r="K211" s="59">
        <v>153</v>
      </c>
      <c r="L211" s="151">
        <f>K211/$K$213</f>
        <v>0.2797074954296161</v>
      </c>
      <c r="M211" s="27"/>
      <c r="N211" s="27"/>
      <c r="O211" s="6"/>
    </row>
    <row r="212" spans="1:15" ht="15.75">
      <c r="A212" s="26"/>
      <c r="B212" s="60"/>
      <c r="C212" s="106"/>
      <c r="D212" s="106"/>
      <c r="E212" s="60"/>
      <c r="F212" s="106"/>
      <c r="G212" s="27"/>
      <c r="H212" s="108"/>
      <c r="I212" s="60"/>
      <c r="J212" s="108"/>
      <c r="K212" s="59"/>
      <c r="L212" s="151"/>
      <c r="M212" s="27"/>
      <c r="N212" s="27"/>
      <c r="O212" s="6"/>
    </row>
    <row r="213" spans="1:16" ht="15.75">
      <c r="A213" s="156"/>
      <c r="B213" s="157"/>
      <c r="C213" s="157"/>
      <c r="D213" s="157"/>
      <c r="E213" s="157"/>
      <c r="F213" s="157"/>
      <c r="G213" s="157"/>
      <c r="H213" s="157"/>
      <c r="I213" s="158">
        <f>SUM(I204:I212)</f>
        <v>3</v>
      </c>
      <c r="J213" s="159">
        <f>SUM(J204:J212)</f>
        <v>1</v>
      </c>
      <c r="K213" s="160">
        <f>SUM(K204:K212)</f>
        <v>547</v>
      </c>
      <c r="L213" s="159">
        <f>SUM(L204:L212)</f>
        <v>1</v>
      </c>
      <c r="M213" s="157"/>
      <c r="N213" s="161"/>
      <c r="O213" s="6"/>
      <c r="P213" s="125"/>
    </row>
    <row r="214" spans="1:15" ht="15.75">
      <c r="A214" s="162"/>
      <c r="B214" s="163"/>
      <c r="C214" s="163"/>
      <c r="D214" s="163"/>
      <c r="E214" s="163"/>
      <c r="F214" s="163"/>
      <c r="G214" s="163"/>
      <c r="H214" s="163"/>
      <c r="I214" s="164"/>
      <c r="J214" s="165"/>
      <c r="K214" s="166"/>
      <c r="L214" s="165"/>
      <c r="M214" s="163"/>
      <c r="N214" s="163"/>
      <c r="O214" s="6"/>
    </row>
    <row r="215" spans="1:15" ht="15.75">
      <c r="A215" s="153"/>
      <c r="B215" s="16" t="s">
        <v>219</v>
      </c>
      <c r="C215" s="93"/>
      <c r="D215" s="93"/>
      <c r="E215" s="94"/>
      <c r="F215" s="93"/>
      <c r="G215" s="94"/>
      <c r="H215" s="93"/>
      <c r="I215" s="95" t="s">
        <v>173</v>
      </c>
      <c r="J215" s="19" t="s">
        <v>174</v>
      </c>
      <c r="K215" s="95" t="s">
        <v>186</v>
      </c>
      <c r="L215" s="19" t="s">
        <v>174</v>
      </c>
      <c r="M215" s="154"/>
      <c r="N215" s="155"/>
      <c r="O215" s="6"/>
    </row>
    <row r="216" spans="1:15" ht="15.75">
      <c r="A216" s="26"/>
      <c r="B216" s="60" t="s">
        <v>135</v>
      </c>
      <c r="C216" s="106"/>
      <c r="D216" s="106"/>
      <c r="E216" s="60"/>
      <c r="F216" s="106"/>
      <c r="G216" s="27"/>
      <c r="H216" s="106"/>
      <c r="I216" s="60">
        <v>0</v>
      </c>
      <c r="J216" s="108">
        <v>0</v>
      </c>
      <c r="K216" s="59">
        <v>0</v>
      </c>
      <c r="L216" s="151">
        <v>0</v>
      </c>
      <c r="M216" s="27"/>
      <c r="N216" s="27"/>
      <c r="O216" s="6"/>
    </row>
    <row r="217" spans="1:15" ht="15.75">
      <c r="A217" s="26"/>
      <c r="B217" s="60" t="s">
        <v>136</v>
      </c>
      <c r="C217" s="106"/>
      <c r="D217" s="106"/>
      <c r="E217" s="60"/>
      <c r="F217" s="106"/>
      <c r="G217" s="27"/>
      <c r="H217" s="108"/>
      <c r="I217" s="60">
        <v>0</v>
      </c>
      <c r="J217" s="108">
        <v>0</v>
      </c>
      <c r="K217" s="59">
        <v>0</v>
      </c>
      <c r="L217" s="151">
        <v>0</v>
      </c>
      <c r="M217" s="27"/>
      <c r="N217" s="27"/>
      <c r="O217" s="6"/>
    </row>
    <row r="218" spans="1:15" ht="15.75">
      <c r="A218" s="26"/>
      <c r="B218" s="60" t="s">
        <v>137</v>
      </c>
      <c r="C218" s="106"/>
      <c r="D218" s="106"/>
      <c r="E218" s="60"/>
      <c r="F218" s="106"/>
      <c r="G218" s="27"/>
      <c r="H218" s="108"/>
      <c r="I218" s="60">
        <v>0</v>
      </c>
      <c r="J218" s="108">
        <v>0</v>
      </c>
      <c r="K218" s="59">
        <v>0</v>
      </c>
      <c r="L218" s="151">
        <v>0</v>
      </c>
      <c r="M218" s="27"/>
      <c r="N218" s="27"/>
      <c r="O218" s="6"/>
    </row>
    <row r="219" spans="1:15" ht="15.75">
      <c r="A219" s="26"/>
      <c r="B219" s="60" t="s">
        <v>210</v>
      </c>
      <c r="C219" s="106"/>
      <c r="D219" s="106"/>
      <c r="E219" s="60"/>
      <c r="F219" s="106"/>
      <c r="G219" s="27"/>
      <c r="H219" s="108"/>
      <c r="I219" s="60">
        <v>0</v>
      </c>
      <c r="J219" s="108">
        <v>0</v>
      </c>
      <c r="K219" s="59">
        <v>0</v>
      </c>
      <c r="L219" s="151">
        <v>0</v>
      </c>
      <c r="M219" s="27"/>
      <c r="N219" s="27"/>
      <c r="O219" s="6"/>
    </row>
    <row r="220" spans="1:15" ht="15.75">
      <c r="A220" s="26"/>
      <c r="B220" s="60" t="s">
        <v>211</v>
      </c>
      <c r="C220" s="106"/>
      <c r="D220" s="106"/>
      <c r="E220" s="60"/>
      <c r="F220" s="106"/>
      <c r="G220" s="27"/>
      <c r="H220" s="108"/>
      <c r="I220" s="60">
        <v>0</v>
      </c>
      <c r="J220" s="108">
        <v>0</v>
      </c>
      <c r="K220" s="59">
        <v>0</v>
      </c>
      <c r="L220" s="151">
        <v>0</v>
      </c>
      <c r="M220" s="27"/>
      <c r="N220" s="27"/>
      <c r="O220" s="6"/>
    </row>
    <row r="221" spans="1:15" ht="15.75">
      <c r="A221" s="26"/>
      <c r="B221" s="60" t="s">
        <v>212</v>
      </c>
      <c r="C221" s="106"/>
      <c r="D221" s="106"/>
      <c r="E221" s="60"/>
      <c r="F221" s="106"/>
      <c r="G221" s="27"/>
      <c r="H221" s="108"/>
      <c r="I221" s="60">
        <v>0</v>
      </c>
      <c r="J221" s="108">
        <v>0</v>
      </c>
      <c r="K221" s="59">
        <v>0</v>
      </c>
      <c r="L221" s="151">
        <v>0</v>
      </c>
      <c r="M221" s="27"/>
      <c r="N221" s="27"/>
      <c r="O221" s="6"/>
    </row>
    <row r="222" spans="1:15" ht="15.75">
      <c r="A222" s="26"/>
      <c r="B222" s="60" t="s">
        <v>213</v>
      </c>
      <c r="C222" s="106"/>
      <c r="D222" s="106"/>
      <c r="E222" s="60"/>
      <c r="F222" s="106"/>
      <c r="G222" s="27"/>
      <c r="H222" s="108"/>
      <c r="I222" s="60">
        <v>0</v>
      </c>
      <c r="J222" s="108">
        <v>0</v>
      </c>
      <c r="K222" s="59">
        <v>0</v>
      </c>
      <c r="L222" s="151">
        <v>0</v>
      </c>
      <c r="M222" s="27"/>
      <c r="N222" s="27"/>
      <c r="O222" s="6"/>
    </row>
    <row r="223" spans="1:15" ht="15.75">
      <c r="A223" s="26"/>
      <c r="B223" s="60" t="s">
        <v>214</v>
      </c>
      <c r="C223" s="106"/>
      <c r="D223" s="106"/>
      <c r="E223" s="60"/>
      <c r="F223" s="106"/>
      <c r="G223" s="27"/>
      <c r="H223" s="108"/>
      <c r="I223" s="60">
        <v>0</v>
      </c>
      <c r="J223" s="108">
        <v>0</v>
      </c>
      <c r="K223" s="59">
        <v>0</v>
      </c>
      <c r="L223" s="151">
        <v>0</v>
      </c>
      <c r="M223" s="27"/>
      <c r="N223" s="27"/>
      <c r="O223" s="6"/>
    </row>
    <row r="224" spans="1:15" ht="15.75">
      <c r="A224" s="26"/>
      <c r="B224" s="60"/>
      <c r="C224" s="106"/>
      <c r="D224" s="106"/>
      <c r="E224" s="60"/>
      <c r="F224" s="106"/>
      <c r="G224" s="27"/>
      <c r="H224" s="108"/>
      <c r="I224" s="60"/>
      <c r="J224" s="108"/>
      <c r="K224" s="59"/>
      <c r="L224" s="151"/>
      <c r="M224" s="27"/>
      <c r="N224" s="27"/>
      <c r="O224" s="6"/>
    </row>
    <row r="225" spans="1:15" ht="15.75">
      <c r="A225" s="156"/>
      <c r="B225" s="157"/>
      <c r="C225" s="157"/>
      <c r="D225" s="157"/>
      <c r="E225" s="157"/>
      <c r="F225" s="157"/>
      <c r="G225" s="157"/>
      <c r="H225" s="157"/>
      <c r="I225" s="158">
        <f>SUM(I216:I224)</f>
        <v>0</v>
      </c>
      <c r="J225" s="159">
        <f>SUM(J216:J224)</f>
        <v>0</v>
      </c>
      <c r="K225" s="160">
        <f>SUM(K216:K224)</f>
        <v>0</v>
      </c>
      <c r="L225" s="159">
        <f>SUM(L216:L224)</f>
        <v>0</v>
      </c>
      <c r="M225" s="157"/>
      <c r="N225" s="161"/>
      <c r="O225" s="6"/>
    </row>
    <row r="226" spans="1:15" ht="15.75">
      <c r="A226" s="162"/>
      <c r="B226" s="163"/>
      <c r="C226" s="163"/>
      <c r="D226" s="163"/>
      <c r="E226" s="163"/>
      <c r="F226" s="163"/>
      <c r="G226" s="163"/>
      <c r="H226" s="163"/>
      <c r="I226" s="164"/>
      <c r="J226" s="165"/>
      <c r="K226" s="166"/>
      <c r="L226" s="165"/>
      <c r="M226" s="163"/>
      <c r="N226" s="163"/>
      <c r="O226" s="6"/>
    </row>
    <row r="227" spans="1:15" ht="15.75">
      <c r="A227" s="148"/>
      <c r="B227" s="16" t="s">
        <v>216</v>
      </c>
      <c r="C227" s="113"/>
      <c r="D227" s="113"/>
      <c r="E227" s="19"/>
      <c r="F227" s="17"/>
      <c r="G227" s="16"/>
      <c r="H227" s="143"/>
      <c r="I227" s="143"/>
      <c r="J227" s="143"/>
      <c r="K227" s="143"/>
      <c r="L227" s="143"/>
      <c r="M227" s="143"/>
      <c r="N227" s="143"/>
      <c r="O227" s="6"/>
    </row>
    <row r="228" spans="1:15" ht="15.75">
      <c r="A228" s="148"/>
      <c r="B228" s="143"/>
      <c r="C228" s="143"/>
      <c r="D228" s="143"/>
      <c r="E228" s="9"/>
      <c r="F228" s="9"/>
      <c r="G228" s="9"/>
      <c r="H228" s="143"/>
      <c r="I228" s="143"/>
      <c r="J228" s="143"/>
      <c r="K228" s="143"/>
      <c r="L228" s="143"/>
      <c r="M228" s="143"/>
      <c r="N228" s="143"/>
      <c r="O228" s="6"/>
    </row>
    <row r="229" spans="1:15" ht="15.75">
      <c r="A229" s="148"/>
      <c r="B229" s="15" t="s">
        <v>217</v>
      </c>
      <c r="C229" s="114"/>
      <c r="D229" s="114"/>
      <c r="E229" s="115"/>
      <c r="F229" s="15"/>
      <c r="G229" s="15"/>
      <c r="H229" s="114"/>
      <c r="I229" s="114"/>
      <c r="J229" s="143"/>
      <c r="K229" s="143"/>
      <c r="L229" s="143"/>
      <c r="M229" s="143"/>
      <c r="N229" s="143"/>
      <c r="O229" s="6"/>
    </row>
    <row r="230" spans="1:15" ht="15.75">
      <c r="A230" s="148"/>
      <c r="B230" s="15" t="s">
        <v>215</v>
      </c>
      <c r="C230" s="114"/>
      <c r="D230" s="114"/>
      <c r="E230" s="115"/>
      <c r="F230" s="15"/>
      <c r="G230" s="15"/>
      <c r="H230" s="114"/>
      <c r="I230" s="114"/>
      <c r="J230" s="143"/>
      <c r="K230" s="143"/>
      <c r="L230" s="143"/>
      <c r="M230" s="143"/>
      <c r="N230" s="143"/>
      <c r="O230" s="6"/>
    </row>
    <row r="231" spans="1:15" ht="15.75">
      <c r="A231" s="148"/>
      <c r="B231" s="15"/>
      <c r="C231" s="114"/>
      <c r="D231" s="114"/>
      <c r="E231" s="115"/>
      <c r="F231" s="15"/>
      <c r="G231" s="15"/>
      <c r="H231" s="114"/>
      <c r="I231" s="114"/>
      <c r="J231" s="143"/>
      <c r="K231" s="143"/>
      <c r="L231" s="143"/>
      <c r="M231" s="143"/>
      <c r="N231" s="143"/>
      <c r="O231" s="6"/>
    </row>
    <row r="232" spans="1:15" ht="15.75">
      <c r="A232" s="148"/>
      <c r="B232" s="15"/>
      <c r="C232" s="114"/>
      <c r="D232" s="114"/>
      <c r="E232" s="115"/>
      <c r="F232" s="15"/>
      <c r="G232" s="15"/>
      <c r="H232" s="114"/>
      <c r="I232" s="114"/>
      <c r="J232" s="143"/>
      <c r="K232" s="143"/>
      <c r="L232" s="143"/>
      <c r="M232" s="143"/>
      <c r="N232" s="143"/>
      <c r="O232" s="6"/>
    </row>
    <row r="233" spans="1:15" ht="18.75">
      <c r="A233" s="148"/>
      <c r="B233" s="55" t="str">
        <f>B157</f>
        <v>PM5 INVESTOR REPORT QUARTER ENDING MAY 2005</v>
      </c>
      <c r="C233" s="114"/>
      <c r="D233" s="114"/>
      <c r="E233" s="115"/>
      <c r="F233" s="15"/>
      <c r="G233" s="15"/>
      <c r="H233" s="114"/>
      <c r="I233" s="114"/>
      <c r="J233" s="143"/>
      <c r="K233" s="143"/>
      <c r="L233" s="143"/>
      <c r="M233" s="143"/>
      <c r="N233" s="143"/>
      <c r="O233" s="6"/>
    </row>
    <row r="234" spans="1:14" ht="15">
      <c r="A234" s="116"/>
      <c r="B234" s="116"/>
      <c r="C234" s="116"/>
      <c r="D234" s="116"/>
      <c r="E234" s="116"/>
      <c r="F234" s="116"/>
      <c r="G234" s="116"/>
      <c r="H234" s="116"/>
      <c r="I234" s="116"/>
      <c r="J234" s="116"/>
      <c r="K234" s="116"/>
      <c r="L234" s="116"/>
      <c r="M234" s="116"/>
      <c r="N234" s="116"/>
    </row>
    <row r="236" ht="15">
      <c r="I236" s="125"/>
    </row>
  </sheetData>
  <printOptions horizontalCentered="1" verticalCentered="1"/>
  <pageMargins left="0.5118110236220472" right="0.5118110236220472" top="0.5118110236220472" bottom="0.5118110236220472" header="0" footer="0"/>
  <pageSetup horizontalDpi="600" verticalDpi="600" orientation="landscape" scale="46" r:id="rId2"/>
  <rowBreaks count="3" manualBreakCount="3">
    <brk id="52" max="14" man="1"/>
    <brk id="107" max="14" man="1"/>
    <brk id="157" max="14" man="1"/>
  </rowBreaks>
  <drawing r:id="rId1"/>
</worksheet>
</file>

<file path=xl/worksheets/sheet9.xml><?xml version="1.0" encoding="utf-8"?>
<worksheet xmlns="http://schemas.openxmlformats.org/spreadsheetml/2006/main" xmlns:r="http://schemas.openxmlformats.org/officeDocument/2006/relationships">
  <sheetPr>
    <tabColor indexed="52"/>
  </sheetPr>
  <dimension ref="A1:P238"/>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4" width="9.6640625" style="1" customWidth="1"/>
    <col min="5" max="5" width="13.6640625" style="1" customWidth="1"/>
    <col min="6" max="6" width="3.6640625" style="1" customWidth="1"/>
    <col min="7" max="7" width="13.6640625" style="1" customWidth="1"/>
    <col min="8" max="8" width="3.6640625" style="1" customWidth="1"/>
    <col min="9" max="9" width="12.6640625" style="1" customWidth="1"/>
    <col min="10" max="10" width="7.88671875" style="1" customWidth="1"/>
    <col min="11" max="11" width="17.77734375" style="1" customWidth="1"/>
    <col min="12" max="12" width="6.6640625" style="1" customWidth="1"/>
    <col min="13" max="13" width="11.4453125" style="1" customWidth="1"/>
    <col min="14" max="14" width="31.10546875" style="1" customWidth="1"/>
    <col min="15" max="16384" width="9.6640625" style="1" customWidth="1"/>
  </cols>
  <sheetData>
    <row r="1" spans="1:15" ht="20.25">
      <c r="A1" s="2"/>
      <c r="B1" s="3" t="s">
        <v>200</v>
      </c>
      <c r="C1" s="4"/>
      <c r="D1" s="4"/>
      <c r="E1" s="5"/>
      <c r="F1" s="5"/>
      <c r="G1" s="5"/>
      <c r="H1" s="5"/>
      <c r="I1" s="5"/>
      <c r="J1" s="5"/>
      <c r="K1" s="5"/>
      <c r="L1" s="5"/>
      <c r="M1" s="5"/>
      <c r="N1" s="5"/>
      <c r="O1" s="6"/>
    </row>
    <row r="2" spans="1:15" ht="15.75">
      <c r="A2" s="7"/>
      <c r="B2" s="8"/>
      <c r="C2" s="8"/>
      <c r="D2" s="8"/>
      <c r="E2" s="9"/>
      <c r="F2" s="9"/>
      <c r="G2" s="9"/>
      <c r="H2" s="9"/>
      <c r="I2" s="9"/>
      <c r="J2" s="9"/>
      <c r="K2" s="9"/>
      <c r="L2" s="9"/>
      <c r="M2" s="9"/>
      <c r="N2" s="9"/>
      <c r="O2" s="6"/>
    </row>
    <row r="3" spans="1:15" ht="15.75">
      <c r="A3" s="10"/>
      <c r="B3" s="129" t="s">
        <v>0</v>
      </c>
      <c r="C3" s="9"/>
      <c r="D3" s="9"/>
      <c r="E3" s="9"/>
      <c r="F3" s="9"/>
      <c r="G3" s="9"/>
      <c r="H3" s="9"/>
      <c r="I3" s="9"/>
      <c r="J3" s="9"/>
      <c r="K3" s="9"/>
      <c r="L3" s="9"/>
      <c r="M3" s="9"/>
      <c r="N3" s="9"/>
      <c r="O3" s="6"/>
    </row>
    <row r="4" spans="1:15" ht="15.75">
      <c r="A4" s="7"/>
      <c r="B4" s="8"/>
      <c r="C4" s="8"/>
      <c r="D4" s="8"/>
      <c r="E4" s="9"/>
      <c r="F4" s="9"/>
      <c r="G4" s="9"/>
      <c r="H4" s="9"/>
      <c r="I4" s="9"/>
      <c r="J4" s="9"/>
      <c r="K4" s="9"/>
      <c r="L4" s="9"/>
      <c r="M4" s="9"/>
      <c r="N4" s="9"/>
      <c r="O4" s="6"/>
    </row>
    <row r="5" spans="1:15" ht="15.75">
      <c r="A5" s="7"/>
      <c r="B5" s="12" t="s">
        <v>1</v>
      </c>
      <c r="C5" s="13"/>
      <c r="D5" s="13"/>
      <c r="E5" s="9"/>
      <c r="F5" s="9"/>
      <c r="G5" s="9"/>
      <c r="H5" s="9"/>
      <c r="I5" s="9"/>
      <c r="J5" s="9"/>
      <c r="K5" s="9"/>
      <c r="L5" s="9"/>
      <c r="M5" s="9"/>
      <c r="N5" s="9"/>
      <c r="O5" s="6"/>
    </row>
    <row r="6" spans="1:15" ht="15.75">
      <c r="A6" s="7"/>
      <c r="B6" s="12" t="s">
        <v>2</v>
      </c>
      <c r="C6" s="13"/>
      <c r="D6" s="13"/>
      <c r="E6" s="9"/>
      <c r="F6" s="9"/>
      <c r="G6" s="9"/>
      <c r="H6" s="9"/>
      <c r="I6" s="9"/>
      <c r="J6" s="9"/>
      <c r="K6" s="9"/>
      <c r="L6" s="9"/>
      <c r="M6" s="9"/>
      <c r="N6" s="9"/>
      <c r="O6" s="6"/>
    </row>
    <row r="7" spans="1:15" ht="15.75">
      <c r="A7" s="7"/>
      <c r="B7" s="12" t="s">
        <v>3</v>
      </c>
      <c r="C7" s="13"/>
      <c r="D7" s="13"/>
      <c r="E7" s="9"/>
      <c r="F7" s="9"/>
      <c r="G7" s="9"/>
      <c r="H7" s="9"/>
      <c r="I7" s="9"/>
      <c r="J7" s="9"/>
      <c r="K7" s="9"/>
      <c r="L7" s="9"/>
      <c r="M7" s="9"/>
      <c r="N7" s="9"/>
      <c r="O7" s="6"/>
    </row>
    <row r="8" spans="1:15" ht="15.75">
      <c r="A8" s="7"/>
      <c r="B8" s="12" t="s">
        <v>4</v>
      </c>
      <c r="C8" s="13"/>
      <c r="D8" s="13"/>
      <c r="E8" s="9"/>
      <c r="F8" s="9"/>
      <c r="G8" s="9"/>
      <c r="H8" s="9"/>
      <c r="I8" s="9"/>
      <c r="J8" s="9"/>
      <c r="K8" s="9"/>
      <c r="L8" s="9"/>
      <c r="M8" s="9"/>
      <c r="N8" s="9"/>
      <c r="O8" s="6"/>
    </row>
    <row r="9" spans="1:15" ht="15.75">
      <c r="A9" s="7"/>
      <c r="B9" s="143"/>
      <c r="C9" s="13"/>
      <c r="D9" s="13"/>
      <c r="E9" s="9"/>
      <c r="F9" s="9"/>
      <c r="G9" s="9"/>
      <c r="H9" s="9"/>
      <c r="I9" s="9"/>
      <c r="J9" s="9"/>
      <c r="K9" s="9"/>
      <c r="L9" s="9"/>
      <c r="M9" s="9"/>
      <c r="N9" s="9"/>
      <c r="O9" s="6"/>
    </row>
    <row r="10" spans="1:15" ht="18.75">
      <c r="A10" s="7"/>
      <c r="B10" s="168" t="s">
        <v>225</v>
      </c>
      <c r="C10" s="13"/>
      <c r="D10" s="13"/>
      <c r="E10" s="9"/>
      <c r="F10" s="9"/>
      <c r="G10" s="9"/>
      <c r="H10" s="9"/>
      <c r="I10" s="9"/>
      <c r="J10" s="9"/>
      <c r="K10" s="170" t="s">
        <v>224</v>
      </c>
      <c r="L10" s="9"/>
      <c r="M10" s="9"/>
      <c r="N10" s="9"/>
      <c r="O10" s="6"/>
    </row>
    <row r="11" spans="1:15" ht="15.75">
      <c r="A11" s="7"/>
      <c r="B11" s="12"/>
      <c r="C11" s="13"/>
      <c r="D11" s="13"/>
      <c r="E11" s="15"/>
      <c r="F11" s="15"/>
      <c r="G11" s="9"/>
      <c r="H11" s="9"/>
      <c r="I11" s="9"/>
      <c r="J11" s="9"/>
      <c r="K11" s="9"/>
      <c r="L11" s="9"/>
      <c r="M11" s="9"/>
      <c r="N11" s="9"/>
      <c r="O11" s="6"/>
    </row>
    <row r="12" spans="1:15" ht="15.75">
      <c r="A12" s="7"/>
      <c r="B12" s="16" t="s">
        <v>5</v>
      </c>
      <c r="C12" s="15"/>
      <c r="D12" s="15"/>
      <c r="E12" s="9"/>
      <c r="F12" s="9"/>
      <c r="G12" s="9"/>
      <c r="H12" s="9"/>
      <c r="I12" s="9"/>
      <c r="J12" s="9"/>
      <c r="K12" s="9"/>
      <c r="L12" s="9"/>
      <c r="M12" s="9"/>
      <c r="N12" s="9"/>
      <c r="O12" s="6"/>
    </row>
    <row r="13" spans="1:15" ht="15.75">
      <c r="A13" s="7"/>
      <c r="B13" s="15"/>
      <c r="C13" s="15"/>
      <c r="D13" s="15"/>
      <c r="E13" s="9"/>
      <c r="F13" s="9"/>
      <c r="G13" s="9"/>
      <c r="H13" s="9"/>
      <c r="I13" s="9"/>
      <c r="J13" s="9"/>
      <c r="K13" s="9"/>
      <c r="L13" s="9"/>
      <c r="M13" s="9"/>
      <c r="N13" s="9"/>
      <c r="O13" s="6"/>
    </row>
    <row r="14" spans="1:15" ht="15.75">
      <c r="A14" s="2"/>
      <c r="B14" s="5"/>
      <c r="C14" s="5"/>
      <c r="D14" s="5"/>
      <c r="E14" s="5"/>
      <c r="F14" s="5"/>
      <c r="G14" s="5"/>
      <c r="H14" s="5"/>
      <c r="I14" s="5"/>
      <c r="J14" s="5"/>
      <c r="K14" s="5"/>
      <c r="L14" s="5"/>
      <c r="M14" s="5"/>
      <c r="N14" s="5"/>
      <c r="O14" s="6"/>
    </row>
    <row r="15" spans="1:15" ht="15.75">
      <c r="A15" s="7"/>
      <c r="B15" s="16" t="s">
        <v>6</v>
      </c>
      <c r="C15" s="16"/>
      <c r="D15" s="16"/>
      <c r="E15" s="17"/>
      <c r="F15" s="17"/>
      <c r="G15" s="17"/>
      <c r="H15" s="17"/>
      <c r="I15" s="17"/>
      <c r="J15" s="17"/>
      <c r="K15" s="17"/>
      <c r="L15" s="17"/>
      <c r="M15" s="18" t="s">
        <v>190</v>
      </c>
      <c r="N15" s="17"/>
      <c r="O15" s="6"/>
    </row>
    <row r="16" spans="1:15" ht="15.75">
      <c r="A16" s="7"/>
      <c r="B16" s="16" t="s">
        <v>7</v>
      </c>
      <c r="C16" s="16"/>
      <c r="D16" s="16"/>
      <c r="E16" s="17"/>
      <c r="F16" s="17"/>
      <c r="G16" s="17"/>
      <c r="H16" s="17"/>
      <c r="I16" s="19"/>
      <c r="J16" s="20"/>
      <c r="K16" s="19" t="s">
        <v>175</v>
      </c>
      <c r="L16" s="20">
        <v>1</v>
      </c>
      <c r="M16" s="18"/>
      <c r="N16" s="17"/>
      <c r="O16" s="6"/>
    </row>
    <row r="17" spans="1:15" ht="15.75">
      <c r="A17" s="7"/>
      <c r="B17" s="16" t="s">
        <v>8</v>
      </c>
      <c r="C17" s="16"/>
      <c r="D17" s="16"/>
      <c r="E17" s="17"/>
      <c r="F17" s="17"/>
      <c r="G17" s="17"/>
      <c r="H17" s="17"/>
      <c r="I17" s="19"/>
      <c r="J17" s="20"/>
      <c r="K17" s="19" t="s">
        <v>175</v>
      </c>
      <c r="L17" s="20">
        <v>1</v>
      </c>
      <c r="M17" s="18"/>
      <c r="N17" s="17"/>
      <c r="O17" s="6"/>
    </row>
    <row r="18" spans="1:15" ht="15.75">
      <c r="A18" s="7"/>
      <c r="B18" s="16" t="s">
        <v>9</v>
      </c>
      <c r="C18" s="16"/>
      <c r="D18" s="16"/>
      <c r="E18" s="17"/>
      <c r="F18" s="17"/>
      <c r="G18" s="17"/>
      <c r="H18" s="17"/>
      <c r="I18" s="17"/>
      <c r="J18" s="17"/>
      <c r="K18" s="17"/>
      <c r="L18" s="17"/>
      <c r="M18" s="21">
        <v>37798</v>
      </c>
      <c r="N18" s="17"/>
      <c r="O18" s="6"/>
    </row>
    <row r="19" spans="1:15" ht="15.75">
      <c r="A19" s="7"/>
      <c r="B19" s="16" t="s">
        <v>10</v>
      </c>
      <c r="C19" s="16"/>
      <c r="D19" s="16"/>
      <c r="E19" s="17"/>
      <c r="F19" s="17"/>
      <c r="G19" s="17"/>
      <c r="H19" s="17"/>
      <c r="I19" s="17"/>
      <c r="J19" s="17"/>
      <c r="K19" s="17"/>
      <c r="L19" s="17"/>
      <c r="M19" s="21">
        <v>38614</v>
      </c>
      <c r="N19" s="17"/>
      <c r="O19" s="6"/>
    </row>
    <row r="20" spans="1:15" ht="15.75">
      <c r="A20" s="7"/>
      <c r="B20" s="9"/>
      <c r="C20" s="9"/>
      <c r="D20" s="9"/>
      <c r="E20" s="9"/>
      <c r="F20" s="9"/>
      <c r="G20" s="9"/>
      <c r="H20" s="9"/>
      <c r="I20" s="9"/>
      <c r="J20" s="9"/>
      <c r="K20" s="9"/>
      <c r="L20" s="9"/>
      <c r="M20" s="22"/>
      <c r="N20" s="9"/>
      <c r="O20" s="6"/>
    </row>
    <row r="21" spans="1:15" ht="15.75">
      <c r="A21" s="7"/>
      <c r="B21" s="23" t="s">
        <v>11</v>
      </c>
      <c r="C21" s="9"/>
      <c r="D21" s="9"/>
      <c r="E21" s="9"/>
      <c r="F21" s="9"/>
      <c r="G21" s="9"/>
      <c r="H21" s="9"/>
      <c r="I21" s="9"/>
      <c r="J21" s="9"/>
      <c r="K21" s="22" t="s">
        <v>176</v>
      </c>
      <c r="L21" s="9"/>
      <c r="M21" s="143"/>
      <c r="N21" s="9"/>
      <c r="O21" s="6"/>
    </row>
    <row r="22" spans="1:15" ht="15.75">
      <c r="A22" s="7"/>
      <c r="B22" s="9"/>
      <c r="C22" s="9"/>
      <c r="D22" s="9"/>
      <c r="E22" s="9"/>
      <c r="F22" s="9"/>
      <c r="G22" s="9"/>
      <c r="H22" s="9"/>
      <c r="I22" s="9"/>
      <c r="J22" s="9"/>
      <c r="K22" s="9"/>
      <c r="L22" s="9"/>
      <c r="M22" s="24"/>
      <c r="N22" s="9"/>
      <c r="O22" s="6"/>
    </row>
    <row r="23" spans="1:15" ht="15.75">
      <c r="A23" s="7"/>
      <c r="B23" s="9"/>
      <c r="C23" s="130" t="s">
        <v>142</v>
      </c>
      <c r="D23" s="130" t="s">
        <v>146</v>
      </c>
      <c r="E23" s="132" t="s">
        <v>147</v>
      </c>
      <c r="F23" s="132"/>
      <c r="G23" s="132" t="s">
        <v>157</v>
      </c>
      <c r="H23" s="132"/>
      <c r="I23" s="132" t="s">
        <v>165</v>
      </c>
      <c r="J23" s="133"/>
      <c r="K23" s="25"/>
      <c r="L23" s="143"/>
      <c r="M23" s="143"/>
      <c r="N23" s="9"/>
      <c r="O23" s="6"/>
    </row>
    <row r="24" spans="1:15" ht="15.75">
      <c r="A24" s="26"/>
      <c r="B24" s="27" t="s">
        <v>12</v>
      </c>
      <c r="C24" s="131" t="s">
        <v>143</v>
      </c>
      <c r="D24" s="131" t="s">
        <v>143</v>
      </c>
      <c r="E24" s="29" t="s">
        <v>148</v>
      </c>
      <c r="F24" s="29"/>
      <c r="G24" s="29" t="s">
        <v>148</v>
      </c>
      <c r="H24" s="29"/>
      <c r="I24" s="29" t="s">
        <v>166</v>
      </c>
      <c r="J24" s="29"/>
      <c r="K24" s="29"/>
      <c r="L24" s="144"/>
      <c r="M24" s="144"/>
      <c r="N24" s="27"/>
      <c r="O24" s="6"/>
    </row>
    <row r="25" spans="1:15" ht="15.75">
      <c r="A25" s="26"/>
      <c r="B25" s="27" t="s">
        <v>13</v>
      </c>
      <c r="C25" s="28"/>
      <c r="D25" s="28"/>
      <c r="E25" s="29" t="s">
        <v>149</v>
      </c>
      <c r="F25" s="29"/>
      <c r="G25" s="29" t="s">
        <v>149</v>
      </c>
      <c r="H25" s="29"/>
      <c r="I25" s="29" t="s">
        <v>167</v>
      </c>
      <c r="J25" s="29"/>
      <c r="K25" s="29"/>
      <c r="L25" s="144"/>
      <c r="M25" s="144"/>
      <c r="N25" s="27"/>
      <c r="O25" s="6"/>
    </row>
    <row r="26" spans="1:15" ht="15.75">
      <c r="A26" s="31"/>
      <c r="B26" s="32" t="s">
        <v>14</v>
      </c>
      <c r="C26" s="32"/>
      <c r="D26" s="32"/>
      <c r="E26" s="33" t="s">
        <v>148</v>
      </c>
      <c r="F26" s="33"/>
      <c r="G26" s="33" t="s">
        <v>148</v>
      </c>
      <c r="H26" s="33"/>
      <c r="I26" s="33" t="s">
        <v>166</v>
      </c>
      <c r="J26" s="29"/>
      <c r="K26" s="29"/>
      <c r="L26" s="144"/>
      <c r="M26" s="144"/>
      <c r="N26" s="27"/>
      <c r="O26" s="6"/>
    </row>
    <row r="27" spans="1:15" ht="15.75">
      <c r="A27" s="31"/>
      <c r="B27" s="32" t="s">
        <v>15</v>
      </c>
      <c r="C27" s="32"/>
      <c r="D27" s="32"/>
      <c r="E27" s="33" t="s">
        <v>149</v>
      </c>
      <c r="F27" s="33"/>
      <c r="G27" s="33" t="s">
        <v>149</v>
      </c>
      <c r="H27" s="33"/>
      <c r="I27" s="33" t="s">
        <v>167</v>
      </c>
      <c r="J27" s="29"/>
      <c r="K27" s="29"/>
      <c r="L27" s="144"/>
      <c r="M27" s="144"/>
      <c r="N27" s="27"/>
      <c r="O27" s="6"/>
    </row>
    <row r="28" spans="1:15" ht="15.75">
      <c r="A28" s="26"/>
      <c r="B28" s="27" t="s">
        <v>16</v>
      </c>
      <c r="C28" s="27"/>
      <c r="D28" s="27"/>
      <c r="E28" s="34" t="s">
        <v>150</v>
      </c>
      <c r="F28" s="29"/>
      <c r="G28" s="34" t="s">
        <v>158</v>
      </c>
      <c r="H28" s="29"/>
      <c r="I28" s="34" t="s">
        <v>168</v>
      </c>
      <c r="J28" s="29"/>
      <c r="K28" s="34"/>
      <c r="L28" s="144"/>
      <c r="M28" s="144"/>
      <c r="N28" s="27"/>
      <c r="O28" s="6"/>
    </row>
    <row r="29" spans="1:15" ht="15.75">
      <c r="A29" s="26"/>
      <c r="B29" s="27"/>
      <c r="C29" s="27"/>
      <c r="D29" s="27"/>
      <c r="E29" s="27"/>
      <c r="F29" s="29"/>
      <c r="G29" s="29"/>
      <c r="H29" s="29"/>
      <c r="I29" s="29"/>
      <c r="J29" s="29"/>
      <c r="K29" s="29"/>
      <c r="L29" s="144"/>
      <c r="M29" s="144"/>
      <c r="N29" s="27"/>
      <c r="O29" s="6"/>
    </row>
    <row r="30" spans="1:15" ht="15.75">
      <c r="A30" s="26"/>
      <c r="B30" s="27" t="s">
        <v>17</v>
      </c>
      <c r="C30" s="27"/>
      <c r="D30" s="27"/>
      <c r="E30" s="35">
        <v>50000</v>
      </c>
      <c r="F30" s="36"/>
      <c r="G30" s="35">
        <v>176250</v>
      </c>
      <c r="H30" s="35"/>
      <c r="I30" s="35">
        <v>23750</v>
      </c>
      <c r="J30" s="35"/>
      <c r="K30" s="35"/>
      <c r="L30" s="145"/>
      <c r="M30" s="35">
        <f>I30+G30+E30</f>
        <v>250000</v>
      </c>
      <c r="N30" s="38"/>
      <c r="O30" s="6"/>
    </row>
    <row r="31" spans="1:15" ht="15.75">
      <c r="A31" s="26"/>
      <c r="B31" s="27" t="s">
        <v>18</v>
      </c>
      <c r="C31" s="39">
        <v>0.485839</v>
      </c>
      <c r="D31" s="39">
        <v>1</v>
      </c>
      <c r="E31" s="35">
        <f>E30*C31</f>
        <v>24291.95</v>
      </c>
      <c r="F31" s="36"/>
      <c r="G31" s="35">
        <v>176250</v>
      </c>
      <c r="H31" s="35"/>
      <c r="I31" s="35">
        <v>23750</v>
      </c>
      <c r="J31" s="35"/>
      <c r="K31" s="35"/>
      <c r="L31" s="145"/>
      <c r="M31" s="35">
        <f>I31+G31+E31</f>
        <v>224291.95</v>
      </c>
      <c r="N31" s="38"/>
      <c r="O31" s="6"/>
    </row>
    <row r="32" spans="1:15" ht="15.75">
      <c r="A32" s="31" t="s">
        <v>234</v>
      </c>
      <c r="B32" s="32" t="s">
        <v>19</v>
      </c>
      <c r="C32" s="39">
        <v>0.227198</v>
      </c>
      <c r="D32" s="39">
        <v>1</v>
      </c>
      <c r="E32" s="40">
        <f>E30*C32</f>
        <v>11359.900000000001</v>
      </c>
      <c r="F32" s="41"/>
      <c r="G32" s="40">
        <v>176250</v>
      </c>
      <c r="H32" s="40"/>
      <c r="I32" s="40">
        <v>23750</v>
      </c>
      <c r="J32" s="40"/>
      <c r="K32" s="40"/>
      <c r="L32" s="42"/>
      <c r="M32" s="40">
        <f>I32+G32+E32</f>
        <v>211359.9</v>
      </c>
      <c r="N32" s="38"/>
      <c r="O32" s="6"/>
    </row>
    <row r="33" spans="1:15" ht="15.75">
      <c r="A33" s="26"/>
      <c r="B33" s="27" t="s">
        <v>20</v>
      </c>
      <c r="C33" s="43"/>
      <c r="D33" s="43"/>
      <c r="E33" s="34" t="s">
        <v>151</v>
      </c>
      <c r="F33" s="27"/>
      <c r="G33" s="34" t="s">
        <v>159</v>
      </c>
      <c r="H33" s="34"/>
      <c r="I33" s="34" t="s">
        <v>169</v>
      </c>
      <c r="J33" s="34"/>
      <c r="K33" s="34"/>
      <c r="L33" s="144"/>
      <c r="M33" s="144"/>
      <c r="N33" s="27"/>
      <c r="O33" s="6"/>
    </row>
    <row r="34" spans="1:15" ht="15.75">
      <c r="A34" s="26"/>
      <c r="B34" s="27" t="s">
        <v>21</v>
      </c>
      <c r="C34" s="27"/>
      <c r="D34" s="27"/>
      <c r="E34" s="44">
        <v>0.0508</v>
      </c>
      <c r="F34" s="27"/>
      <c r="G34" s="44">
        <v>0.0518</v>
      </c>
      <c r="H34" s="45"/>
      <c r="I34" s="44">
        <v>0.0621</v>
      </c>
      <c r="J34" s="45"/>
      <c r="K34" s="44"/>
      <c r="L34" s="144"/>
      <c r="M34" s="45">
        <f>SUMPRODUCT(E34:I34,E31:I31)/M31</f>
        <v>0.05278234934423638</v>
      </c>
      <c r="N34" s="27"/>
      <c r="O34" s="6"/>
    </row>
    <row r="35" spans="1:15" ht="15.75">
      <c r="A35" s="26"/>
      <c r="B35" s="27" t="s">
        <v>22</v>
      </c>
      <c r="C35" s="27"/>
      <c r="D35" s="27"/>
      <c r="E35" s="44">
        <v>0.052075</v>
      </c>
      <c r="F35" s="27"/>
      <c r="G35" s="44">
        <v>0.053075</v>
      </c>
      <c r="H35" s="45"/>
      <c r="I35" s="44">
        <v>0.063375</v>
      </c>
      <c r="J35" s="45"/>
      <c r="K35" s="44"/>
      <c r="L35" s="144"/>
      <c r="M35" s="144"/>
      <c r="N35" s="27"/>
      <c r="O35" s="6"/>
    </row>
    <row r="36" spans="1:15" ht="15.75">
      <c r="A36" s="26"/>
      <c r="B36" s="27" t="s">
        <v>23</v>
      </c>
      <c r="C36" s="27"/>
      <c r="D36" s="27"/>
      <c r="E36" s="126">
        <v>38875</v>
      </c>
      <c r="F36" s="126"/>
      <c r="G36" s="126">
        <v>38875</v>
      </c>
      <c r="H36" s="126"/>
      <c r="I36" s="126">
        <v>38875</v>
      </c>
      <c r="J36" s="34"/>
      <c r="K36" s="34"/>
      <c r="L36" s="144"/>
      <c r="M36" s="144"/>
      <c r="N36" s="27"/>
      <c r="O36" s="6"/>
    </row>
    <row r="37" spans="1:15" ht="15.75">
      <c r="A37" s="26"/>
      <c r="B37" s="27" t="s">
        <v>24</v>
      </c>
      <c r="C37" s="27"/>
      <c r="D37" s="27"/>
      <c r="E37" s="126">
        <v>39240</v>
      </c>
      <c r="F37" s="126"/>
      <c r="G37" s="126">
        <v>39240</v>
      </c>
      <c r="H37" s="126"/>
      <c r="I37" s="126">
        <v>39240</v>
      </c>
      <c r="J37" s="34"/>
      <c r="K37" s="34"/>
      <c r="L37" s="144"/>
      <c r="M37" s="144"/>
      <c r="N37" s="27"/>
      <c r="O37" s="6"/>
    </row>
    <row r="38" spans="1:15" ht="15.75">
      <c r="A38" s="26"/>
      <c r="B38" s="27" t="s">
        <v>25</v>
      </c>
      <c r="C38" s="27"/>
      <c r="D38" s="27"/>
      <c r="E38" s="34" t="s">
        <v>152</v>
      </c>
      <c r="F38" s="27"/>
      <c r="G38" s="34" t="s">
        <v>160</v>
      </c>
      <c r="H38" s="34"/>
      <c r="I38" s="34" t="s">
        <v>170</v>
      </c>
      <c r="J38" s="34"/>
      <c r="K38" s="34"/>
      <c r="L38" s="144"/>
      <c r="M38" s="144"/>
      <c r="N38" s="27"/>
      <c r="O38" s="6"/>
    </row>
    <row r="39" spans="1:15" ht="15.75">
      <c r="A39" s="26"/>
      <c r="B39" s="27"/>
      <c r="C39" s="27"/>
      <c r="D39" s="27"/>
      <c r="E39" s="34"/>
      <c r="F39" s="27"/>
      <c r="G39" s="44"/>
      <c r="H39" s="34"/>
      <c r="I39" s="44"/>
      <c r="J39" s="46"/>
      <c r="K39" s="46"/>
      <c r="L39" s="46"/>
      <c r="M39" s="46"/>
      <c r="N39" s="27"/>
      <c r="O39" s="6"/>
    </row>
    <row r="40" spans="1:15" ht="15.75">
      <c r="A40" s="26"/>
      <c r="B40" s="27" t="s">
        <v>26</v>
      </c>
      <c r="C40" s="27"/>
      <c r="D40" s="27"/>
      <c r="E40" s="27"/>
      <c r="F40" s="27"/>
      <c r="G40" s="44"/>
      <c r="H40" s="27"/>
      <c r="I40" s="44"/>
      <c r="J40" s="27"/>
      <c r="K40" s="27"/>
      <c r="L40" s="27"/>
      <c r="M40" s="45">
        <f>(I30)/(E30+G30)</f>
        <v>0.10497237569060773</v>
      </c>
      <c r="N40" s="27"/>
      <c r="O40" s="6"/>
    </row>
    <row r="41" spans="1:15" ht="15.75">
      <c r="A41" s="26"/>
      <c r="B41" s="27" t="s">
        <v>27</v>
      </c>
      <c r="C41" s="27"/>
      <c r="D41" s="27"/>
      <c r="E41" s="27"/>
      <c r="F41" s="27"/>
      <c r="G41" s="47"/>
      <c r="H41" s="27"/>
      <c r="I41" s="47"/>
      <c r="J41" s="27"/>
      <c r="K41" s="27"/>
      <c r="L41" s="27"/>
      <c r="M41" s="45">
        <f>(I32)/(E32+G32)</f>
        <v>0.12659246660224222</v>
      </c>
      <c r="N41" s="27"/>
      <c r="O41" s="6"/>
    </row>
    <row r="42" spans="1:15" ht="15.75">
      <c r="A42" s="26"/>
      <c r="B42" s="27" t="s">
        <v>28</v>
      </c>
      <c r="C42" s="27"/>
      <c r="D42" s="27"/>
      <c r="E42" s="27"/>
      <c r="F42" s="27"/>
      <c r="G42" s="27"/>
      <c r="H42" s="27"/>
      <c r="I42" s="27"/>
      <c r="J42" s="27"/>
      <c r="K42" s="34" t="s">
        <v>177</v>
      </c>
      <c r="L42" s="34" t="s">
        <v>187</v>
      </c>
      <c r="M42" s="35">
        <f>M30/2-I30</f>
        <v>101250</v>
      </c>
      <c r="N42" s="27"/>
      <c r="O42" s="6"/>
    </row>
    <row r="43" spans="1:15" ht="15.75">
      <c r="A43" s="26"/>
      <c r="B43" s="27"/>
      <c r="C43" s="27"/>
      <c r="D43" s="27"/>
      <c r="E43" s="27"/>
      <c r="F43" s="27"/>
      <c r="G43" s="27"/>
      <c r="H43" s="27"/>
      <c r="I43" s="27"/>
      <c r="J43" s="27"/>
      <c r="K43" s="27" t="s">
        <v>178</v>
      </c>
      <c r="L43" s="27"/>
      <c r="M43" s="48"/>
      <c r="N43" s="27"/>
      <c r="O43" s="6"/>
    </row>
    <row r="44" spans="1:15" ht="15.75">
      <c r="A44" s="26"/>
      <c r="B44" s="27" t="s">
        <v>29</v>
      </c>
      <c r="C44" s="27"/>
      <c r="D44" s="27"/>
      <c r="E44" s="27"/>
      <c r="F44" s="27"/>
      <c r="G44" s="27"/>
      <c r="H44" s="27"/>
      <c r="I44" s="27"/>
      <c r="J44" s="27"/>
      <c r="K44" s="34"/>
      <c r="L44" s="34"/>
      <c r="M44" s="34" t="s">
        <v>191</v>
      </c>
      <c r="N44" s="27"/>
      <c r="O44" s="6"/>
    </row>
    <row r="45" spans="1:15" ht="15.75">
      <c r="A45" s="26"/>
      <c r="B45" s="32" t="s">
        <v>30</v>
      </c>
      <c r="C45" s="32"/>
      <c r="D45" s="32"/>
      <c r="E45" s="32"/>
      <c r="F45" s="32"/>
      <c r="G45" s="32"/>
      <c r="H45" s="32"/>
      <c r="I45" s="32"/>
      <c r="J45" s="32"/>
      <c r="K45" s="49"/>
      <c r="L45" s="49"/>
      <c r="M45" s="50">
        <v>38602</v>
      </c>
      <c r="N45" s="27"/>
      <c r="O45" s="6"/>
    </row>
    <row r="46" spans="1:15" ht="15.75">
      <c r="A46" s="26"/>
      <c r="B46" s="27" t="s">
        <v>31</v>
      </c>
      <c r="C46" s="27"/>
      <c r="D46" s="27"/>
      <c r="E46" s="27"/>
      <c r="F46" s="27"/>
      <c r="G46" s="27"/>
      <c r="H46" s="27"/>
      <c r="I46" s="27"/>
      <c r="J46" s="27">
        <f>M46-K46+1</f>
        <v>92</v>
      </c>
      <c r="K46" s="51">
        <v>38418</v>
      </c>
      <c r="L46" s="52"/>
      <c r="M46" s="51">
        <v>38509</v>
      </c>
      <c r="N46" s="27"/>
      <c r="O46" s="6"/>
    </row>
    <row r="47" spans="1:15" ht="15.75">
      <c r="A47" s="26"/>
      <c r="B47" s="27" t="s">
        <v>32</v>
      </c>
      <c r="C47" s="27"/>
      <c r="D47" s="27"/>
      <c r="E47" s="27"/>
      <c r="F47" s="27"/>
      <c r="G47" s="27"/>
      <c r="H47" s="27"/>
      <c r="I47" s="27"/>
      <c r="J47" s="27">
        <f>M47-K47+1</f>
        <v>92</v>
      </c>
      <c r="K47" s="51">
        <v>38510</v>
      </c>
      <c r="L47" s="52"/>
      <c r="M47" s="51">
        <v>38601</v>
      </c>
      <c r="N47" s="27"/>
      <c r="O47" s="6"/>
    </row>
    <row r="48" spans="1:15" ht="15.75">
      <c r="A48" s="26"/>
      <c r="B48" s="27" t="s">
        <v>33</v>
      </c>
      <c r="C48" s="27"/>
      <c r="D48" s="27"/>
      <c r="E48" s="27"/>
      <c r="F48" s="27"/>
      <c r="G48" s="27"/>
      <c r="H48" s="27"/>
      <c r="I48" s="27"/>
      <c r="J48" s="27"/>
      <c r="K48" s="51"/>
      <c r="L48" s="52"/>
      <c r="M48" s="51" t="s">
        <v>192</v>
      </c>
      <c r="N48" s="27"/>
      <c r="O48" s="6"/>
    </row>
    <row r="49" spans="1:15" ht="15.75">
      <c r="A49" s="26"/>
      <c r="B49" s="27" t="s">
        <v>34</v>
      </c>
      <c r="C49" s="27"/>
      <c r="D49" s="27"/>
      <c r="E49" s="27"/>
      <c r="F49" s="27"/>
      <c r="G49" s="27"/>
      <c r="H49" s="27"/>
      <c r="I49" s="27"/>
      <c r="J49" s="27"/>
      <c r="K49" s="51"/>
      <c r="L49" s="52"/>
      <c r="M49" s="51">
        <v>38596</v>
      </c>
      <c r="N49" s="27"/>
      <c r="O49" s="6"/>
    </row>
    <row r="50" spans="1:15" ht="15.75">
      <c r="A50" s="26"/>
      <c r="B50" s="27"/>
      <c r="C50" s="27"/>
      <c r="D50" s="27"/>
      <c r="E50" s="27"/>
      <c r="F50" s="27"/>
      <c r="G50" s="27"/>
      <c r="H50" s="27"/>
      <c r="I50" s="27"/>
      <c r="J50" s="27"/>
      <c r="K50" s="51"/>
      <c r="L50" s="52"/>
      <c r="M50" s="51"/>
      <c r="N50" s="27"/>
      <c r="O50" s="6"/>
    </row>
    <row r="51" spans="1:15" ht="15.75">
      <c r="A51" s="7"/>
      <c r="B51" s="9"/>
      <c r="C51" s="9"/>
      <c r="D51" s="9"/>
      <c r="E51" s="9"/>
      <c r="F51" s="9"/>
      <c r="G51" s="9"/>
      <c r="H51" s="9"/>
      <c r="I51" s="9"/>
      <c r="J51" s="9"/>
      <c r="K51" s="53"/>
      <c r="L51" s="54"/>
      <c r="M51" s="53"/>
      <c r="N51" s="9"/>
      <c r="O51" s="6"/>
    </row>
    <row r="52" spans="1:15" ht="19.5" thickBot="1">
      <c r="A52" s="117"/>
      <c r="B52" s="118" t="s">
        <v>222</v>
      </c>
      <c r="C52" s="119"/>
      <c r="D52" s="119"/>
      <c r="E52" s="119"/>
      <c r="F52" s="119"/>
      <c r="G52" s="119"/>
      <c r="H52" s="119"/>
      <c r="I52" s="119"/>
      <c r="J52" s="119"/>
      <c r="K52" s="119"/>
      <c r="L52" s="119"/>
      <c r="M52" s="120"/>
      <c r="N52" s="121"/>
      <c r="O52" s="6"/>
    </row>
    <row r="53" spans="1:15" ht="15.75">
      <c r="A53" s="2"/>
      <c r="B53" s="5"/>
      <c r="C53" s="5"/>
      <c r="D53" s="5"/>
      <c r="E53" s="5"/>
      <c r="F53" s="5"/>
      <c r="G53" s="5"/>
      <c r="H53" s="5"/>
      <c r="I53" s="5"/>
      <c r="J53" s="5"/>
      <c r="K53" s="5"/>
      <c r="L53" s="5"/>
      <c r="M53" s="56"/>
      <c r="N53" s="5"/>
      <c r="O53" s="6"/>
    </row>
    <row r="54" spans="1:15" ht="15.75">
      <c r="A54" s="7"/>
      <c r="B54" s="57" t="s">
        <v>36</v>
      </c>
      <c r="C54" s="15"/>
      <c r="D54" s="15"/>
      <c r="E54" s="9"/>
      <c r="F54" s="9"/>
      <c r="G54" s="9"/>
      <c r="H54" s="9"/>
      <c r="I54" s="9"/>
      <c r="J54" s="9"/>
      <c r="K54" s="9"/>
      <c r="L54" s="9"/>
      <c r="M54" s="58"/>
      <c r="N54" s="9"/>
      <c r="O54" s="6"/>
    </row>
    <row r="55" spans="1:15" ht="15.75">
      <c r="A55" s="7"/>
      <c r="B55" s="15"/>
      <c r="C55" s="15"/>
      <c r="D55" s="15"/>
      <c r="E55" s="9"/>
      <c r="F55" s="9"/>
      <c r="G55" s="9"/>
      <c r="H55" s="9"/>
      <c r="I55" s="9"/>
      <c r="J55" s="9"/>
      <c r="K55" s="9"/>
      <c r="L55" s="9"/>
      <c r="M55" s="58"/>
      <c r="N55" s="9"/>
      <c r="O55" s="6"/>
    </row>
    <row r="56" spans="1:15" ht="47.25">
      <c r="A56" s="7"/>
      <c r="B56" s="134" t="s">
        <v>37</v>
      </c>
      <c r="C56" s="135" t="s">
        <v>144</v>
      </c>
      <c r="D56" s="135"/>
      <c r="E56" s="135" t="s">
        <v>153</v>
      </c>
      <c r="F56" s="135"/>
      <c r="G56" s="135" t="s">
        <v>161</v>
      </c>
      <c r="H56" s="135"/>
      <c r="I56" s="135" t="s">
        <v>171</v>
      </c>
      <c r="J56" s="135"/>
      <c r="K56" s="135" t="s">
        <v>179</v>
      </c>
      <c r="L56" s="135"/>
      <c r="M56" s="136" t="s">
        <v>193</v>
      </c>
      <c r="N56" s="137"/>
      <c r="O56" s="6"/>
    </row>
    <row r="57" spans="1:15" ht="15.75">
      <c r="A57" s="26"/>
      <c r="B57" s="27" t="s">
        <v>38</v>
      </c>
      <c r="C57" s="38">
        <v>249994</v>
      </c>
      <c r="D57" s="38"/>
      <c r="E57" s="59">
        <v>224292</v>
      </c>
      <c r="F57" s="38"/>
      <c r="G57" s="38">
        <f>12932+11+3+1923</f>
        <v>14869</v>
      </c>
      <c r="H57" s="38"/>
      <c r="I57" s="38">
        <f>11+1923+3</f>
        <v>1937</v>
      </c>
      <c r="J57" s="38"/>
      <c r="K57" s="38">
        <v>0</v>
      </c>
      <c r="L57" s="38"/>
      <c r="M57" s="59">
        <f>E57-G57+I57-K57</f>
        <v>211360</v>
      </c>
      <c r="N57" s="27"/>
      <c r="O57" s="6"/>
    </row>
    <row r="58" spans="1:15" ht="15.75">
      <c r="A58" s="26"/>
      <c r="B58" s="27" t="s">
        <v>39</v>
      </c>
      <c r="C58" s="38">
        <v>6</v>
      </c>
      <c r="D58" s="38"/>
      <c r="E58" s="59">
        <v>0</v>
      </c>
      <c r="F58" s="38"/>
      <c r="G58" s="38">
        <v>0</v>
      </c>
      <c r="H58" s="38"/>
      <c r="I58" s="38">
        <v>0</v>
      </c>
      <c r="J58" s="38"/>
      <c r="K58" s="38">
        <v>0</v>
      </c>
      <c r="L58" s="38"/>
      <c r="M58" s="59">
        <f>E58-G58</f>
        <v>0</v>
      </c>
      <c r="N58" s="27"/>
      <c r="O58" s="6"/>
    </row>
    <row r="59" spans="1:15" ht="15.75">
      <c r="A59" s="26"/>
      <c r="B59" s="27"/>
      <c r="C59" s="38"/>
      <c r="D59" s="38"/>
      <c r="E59" s="59"/>
      <c r="F59" s="38"/>
      <c r="G59" s="38"/>
      <c r="H59" s="38"/>
      <c r="I59" s="38"/>
      <c r="J59" s="38"/>
      <c r="K59" s="38"/>
      <c r="L59" s="38"/>
      <c r="M59" s="59"/>
      <c r="N59" s="27"/>
      <c r="O59" s="6"/>
    </row>
    <row r="60" spans="1:15" ht="15.75">
      <c r="A60" s="26"/>
      <c r="B60" s="27" t="s">
        <v>40</v>
      </c>
      <c r="C60" s="38">
        <f>SUM(C57:C59)</f>
        <v>250000</v>
      </c>
      <c r="D60" s="38"/>
      <c r="E60" s="60">
        <f>E57+E58</f>
        <v>224292</v>
      </c>
      <c r="F60" s="38"/>
      <c r="G60" s="38">
        <f>SUM(G57:G59)</f>
        <v>14869</v>
      </c>
      <c r="H60" s="38"/>
      <c r="I60" s="38">
        <f>SUM(I57:I59)</f>
        <v>1937</v>
      </c>
      <c r="J60" s="38"/>
      <c r="K60" s="38">
        <f>SUM(K57:K59)</f>
        <v>0</v>
      </c>
      <c r="L60" s="38"/>
      <c r="M60" s="60">
        <f>SUM(M57:M59)</f>
        <v>211360</v>
      </c>
      <c r="N60" s="27"/>
      <c r="O60" s="6"/>
    </row>
    <row r="61" spans="1:15" ht="15.75">
      <c r="A61" s="26"/>
      <c r="B61" s="27"/>
      <c r="C61" s="38"/>
      <c r="D61" s="38"/>
      <c r="E61" s="38"/>
      <c r="F61" s="38"/>
      <c r="G61" s="38"/>
      <c r="H61" s="38"/>
      <c r="I61" s="38"/>
      <c r="J61" s="38"/>
      <c r="K61" s="38"/>
      <c r="L61" s="38"/>
      <c r="M61" s="60"/>
      <c r="N61" s="27"/>
      <c r="O61" s="6"/>
    </row>
    <row r="62" spans="1:15" ht="15.75">
      <c r="A62" s="7"/>
      <c r="B62" s="129" t="s">
        <v>41</v>
      </c>
      <c r="C62" s="61"/>
      <c r="D62" s="61"/>
      <c r="E62" s="61"/>
      <c r="F62" s="61"/>
      <c r="G62" s="61"/>
      <c r="H62" s="61"/>
      <c r="I62" s="61"/>
      <c r="J62" s="61"/>
      <c r="K62" s="61"/>
      <c r="L62" s="61"/>
      <c r="M62" s="62"/>
      <c r="N62" s="9"/>
      <c r="O62" s="6"/>
    </row>
    <row r="63" spans="1:15" ht="15.75">
      <c r="A63" s="7"/>
      <c r="B63" s="9"/>
      <c r="C63" s="61"/>
      <c r="D63" s="61"/>
      <c r="E63" s="61"/>
      <c r="F63" s="61"/>
      <c r="G63" s="61"/>
      <c r="H63" s="61"/>
      <c r="I63" s="61"/>
      <c r="J63" s="61"/>
      <c r="K63" s="61"/>
      <c r="L63" s="61"/>
      <c r="M63" s="62"/>
      <c r="N63" s="9"/>
      <c r="O63" s="6"/>
    </row>
    <row r="64" spans="1:15" ht="15.75">
      <c r="A64" s="26"/>
      <c r="B64" s="27" t="s">
        <v>38</v>
      </c>
      <c r="C64" s="38"/>
      <c r="D64" s="38"/>
      <c r="E64" s="38"/>
      <c r="F64" s="38"/>
      <c r="G64" s="38"/>
      <c r="H64" s="38"/>
      <c r="I64" s="38"/>
      <c r="J64" s="38"/>
      <c r="K64" s="38"/>
      <c r="L64" s="38"/>
      <c r="M64" s="60"/>
      <c r="N64" s="27"/>
      <c r="O64" s="6"/>
    </row>
    <row r="65" spans="1:15" ht="15.75">
      <c r="A65" s="26"/>
      <c r="B65" s="27" t="s">
        <v>39</v>
      </c>
      <c r="C65" s="38"/>
      <c r="D65" s="38"/>
      <c r="E65" s="38"/>
      <c r="F65" s="38"/>
      <c r="G65" s="38"/>
      <c r="H65" s="38"/>
      <c r="I65" s="38"/>
      <c r="J65" s="38"/>
      <c r="K65" s="38"/>
      <c r="L65" s="38"/>
      <c r="M65" s="60"/>
      <c r="N65" s="27"/>
      <c r="O65" s="6"/>
    </row>
    <row r="66" spans="1:15" ht="15.75">
      <c r="A66" s="26"/>
      <c r="B66" s="27"/>
      <c r="C66" s="38"/>
      <c r="D66" s="38"/>
      <c r="E66" s="38"/>
      <c r="F66" s="38"/>
      <c r="G66" s="38"/>
      <c r="H66" s="38"/>
      <c r="I66" s="38"/>
      <c r="J66" s="38"/>
      <c r="K66" s="38"/>
      <c r="L66" s="38"/>
      <c r="M66" s="60"/>
      <c r="N66" s="27"/>
      <c r="O66" s="6"/>
    </row>
    <row r="67" spans="1:15" ht="15.75">
      <c r="A67" s="26"/>
      <c r="B67" s="27" t="s">
        <v>40</v>
      </c>
      <c r="C67" s="38"/>
      <c r="D67" s="38"/>
      <c r="E67" s="38"/>
      <c r="F67" s="38"/>
      <c r="G67" s="38"/>
      <c r="H67" s="38"/>
      <c r="I67" s="38"/>
      <c r="J67" s="38"/>
      <c r="K67" s="38"/>
      <c r="L67" s="38"/>
      <c r="M67" s="38"/>
      <c r="N67" s="27"/>
      <c r="O67" s="6"/>
    </row>
    <row r="68" spans="1:15" ht="15.75">
      <c r="A68" s="26"/>
      <c r="B68" s="27"/>
      <c r="C68" s="38"/>
      <c r="D68" s="38"/>
      <c r="E68" s="38"/>
      <c r="F68" s="38"/>
      <c r="G68" s="38"/>
      <c r="H68" s="38"/>
      <c r="I68" s="38"/>
      <c r="J68" s="38"/>
      <c r="K68" s="38"/>
      <c r="L68" s="38"/>
      <c r="M68" s="38"/>
      <c r="N68" s="27"/>
      <c r="O68" s="6"/>
    </row>
    <row r="69" spans="1:15" ht="15.75">
      <c r="A69" s="26"/>
      <c r="B69" s="27" t="s">
        <v>42</v>
      </c>
      <c r="C69" s="38">
        <v>0</v>
      </c>
      <c r="D69" s="38"/>
      <c r="E69" s="38">
        <v>0</v>
      </c>
      <c r="F69" s="38"/>
      <c r="G69" s="38"/>
      <c r="H69" s="38"/>
      <c r="I69" s="38"/>
      <c r="J69" s="38"/>
      <c r="K69" s="38"/>
      <c r="L69" s="38"/>
      <c r="M69" s="59">
        <f>E69-G69+I69-K69</f>
        <v>0</v>
      </c>
      <c r="N69" s="27"/>
      <c r="O69" s="6"/>
    </row>
    <row r="70" spans="1:15" ht="15.75">
      <c r="A70" s="26"/>
      <c r="B70" s="27" t="s">
        <v>198</v>
      </c>
      <c r="C70" s="38">
        <v>0</v>
      </c>
      <c r="D70" s="38"/>
      <c r="E70" s="38">
        <v>0</v>
      </c>
      <c r="F70" s="38"/>
      <c r="G70" s="38"/>
      <c r="H70" s="38"/>
      <c r="I70" s="38"/>
      <c r="J70" s="38"/>
      <c r="K70" s="38"/>
      <c r="L70" s="38"/>
      <c r="M70" s="60">
        <v>0</v>
      </c>
      <c r="N70" s="27"/>
      <c r="O70" s="6"/>
    </row>
    <row r="71" spans="1:15" ht="15.75">
      <c r="A71" s="26"/>
      <c r="B71" s="27" t="s">
        <v>44</v>
      </c>
      <c r="C71" s="38">
        <v>0</v>
      </c>
      <c r="D71" s="38"/>
      <c r="E71" s="38">
        <v>0</v>
      </c>
      <c r="F71" s="38"/>
      <c r="G71" s="38"/>
      <c r="H71" s="38"/>
      <c r="I71" s="38"/>
      <c r="J71" s="38"/>
      <c r="K71" s="38"/>
      <c r="L71" s="38"/>
      <c r="M71" s="60">
        <v>0</v>
      </c>
      <c r="N71" s="27"/>
      <c r="O71" s="6"/>
    </row>
    <row r="72" spans="1:15" ht="15.75">
      <c r="A72" s="26"/>
      <c r="B72" s="27" t="s">
        <v>45</v>
      </c>
      <c r="C72" s="60">
        <f>SUM(C60:C71)</f>
        <v>250000</v>
      </c>
      <c r="D72" s="60"/>
      <c r="E72" s="60">
        <f>SUM(E60:E71)</f>
        <v>224292</v>
      </c>
      <c r="F72" s="38"/>
      <c r="G72" s="60"/>
      <c r="H72" s="38"/>
      <c r="I72" s="60"/>
      <c r="J72" s="38"/>
      <c r="K72" s="60"/>
      <c r="L72" s="38"/>
      <c r="M72" s="60">
        <f>SUM(M60:M71)</f>
        <v>211360</v>
      </c>
      <c r="N72" s="27"/>
      <c r="O72" s="6"/>
    </row>
    <row r="73" spans="1:15" ht="15.75">
      <c r="A73" s="26"/>
      <c r="B73" s="27"/>
      <c r="C73" s="38"/>
      <c r="D73" s="38"/>
      <c r="E73" s="38"/>
      <c r="F73" s="38"/>
      <c r="G73" s="38"/>
      <c r="H73" s="38"/>
      <c r="I73" s="38"/>
      <c r="J73" s="38"/>
      <c r="K73" s="38"/>
      <c r="L73" s="38"/>
      <c r="M73" s="60"/>
      <c r="N73" s="27"/>
      <c r="O73" s="6"/>
    </row>
    <row r="74" spans="1:15" ht="15.75">
      <c r="A74" s="7"/>
      <c r="B74" s="9"/>
      <c r="C74" s="9"/>
      <c r="D74" s="9"/>
      <c r="E74" s="9"/>
      <c r="F74" s="9"/>
      <c r="G74" s="9"/>
      <c r="H74" s="9"/>
      <c r="I74" s="9"/>
      <c r="J74" s="9"/>
      <c r="K74" s="9"/>
      <c r="L74" s="9"/>
      <c r="M74" s="9"/>
      <c r="N74" s="9"/>
      <c r="O74" s="6"/>
    </row>
    <row r="75" spans="1:15" ht="15.75">
      <c r="A75" s="7"/>
      <c r="B75" s="57" t="s">
        <v>46</v>
      </c>
      <c r="C75" s="16"/>
      <c r="D75" s="16"/>
      <c r="E75" s="16"/>
      <c r="F75" s="16"/>
      <c r="G75" s="16"/>
      <c r="H75" s="16"/>
      <c r="I75" s="16"/>
      <c r="J75" s="19"/>
      <c r="K75" s="19" t="s">
        <v>180</v>
      </c>
      <c r="L75" s="19"/>
      <c r="M75" s="19" t="s">
        <v>194</v>
      </c>
      <c r="N75" s="9"/>
      <c r="O75" s="6"/>
    </row>
    <row r="76" spans="1:15" ht="15.75">
      <c r="A76" s="26"/>
      <c r="B76" s="27" t="s">
        <v>47</v>
      </c>
      <c r="C76" s="27"/>
      <c r="D76" s="27"/>
      <c r="E76" s="27"/>
      <c r="F76" s="27"/>
      <c r="G76" s="27"/>
      <c r="H76" s="27"/>
      <c r="I76" s="27"/>
      <c r="J76" s="27"/>
      <c r="K76" s="38">
        <v>0</v>
      </c>
      <c r="L76" s="27"/>
      <c r="M76" s="59">
        <v>0</v>
      </c>
      <c r="N76" s="27"/>
      <c r="O76" s="6"/>
    </row>
    <row r="77" spans="1:15" ht="15.75">
      <c r="A77" s="26"/>
      <c r="B77" s="27" t="s">
        <v>48</v>
      </c>
      <c r="C77" s="46" t="s">
        <v>145</v>
      </c>
      <c r="D77" s="149">
        <f>+K158</f>
        <v>38595</v>
      </c>
      <c r="E77" s="63"/>
      <c r="F77" s="27"/>
      <c r="G77" s="27"/>
      <c r="H77" s="27"/>
      <c r="I77" s="27"/>
      <c r="J77" s="27"/>
      <c r="K77" s="38">
        <v>14869</v>
      </c>
      <c r="L77" s="27"/>
      <c r="M77" s="59"/>
      <c r="N77" s="27"/>
      <c r="O77" s="6"/>
    </row>
    <row r="78" spans="1:15" ht="15.75">
      <c r="A78" s="26"/>
      <c r="B78" s="27" t="s">
        <v>49</v>
      </c>
      <c r="C78" s="27"/>
      <c r="D78" s="27"/>
      <c r="E78" s="27"/>
      <c r="F78" s="27"/>
      <c r="G78" s="27"/>
      <c r="H78" s="27"/>
      <c r="I78" s="27"/>
      <c r="J78" s="27"/>
      <c r="K78" s="38"/>
      <c r="L78" s="27"/>
      <c r="M78" s="59">
        <v>3690</v>
      </c>
      <c r="N78" s="27"/>
      <c r="O78" s="6"/>
    </row>
    <row r="79" spans="1:15" ht="15.75">
      <c r="A79" s="26"/>
      <c r="B79" s="27" t="s">
        <v>50</v>
      </c>
      <c r="C79" s="27"/>
      <c r="D79" s="27"/>
      <c r="E79" s="27"/>
      <c r="F79" s="27"/>
      <c r="G79" s="27"/>
      <c r="H79" s="27"/>
      <c r="I79" s="27"/>
      <c r="J79" s="27"/>
      <c r="K79" s="38"/>
      <c r="L79" s="27"/>
      <c r="M79" s="59">
        <v>0</v>
      </c>
      <c r="N79" s="27"/>
      <c r="O79" s="6"/>
    </row>
    <row r="80" spans="1:15" ht="15.75">
      <c r="A80" s="26"/>
      <c r="B80" s="27" t="s">
        <v>51</v>
      </c>
      <c r="C80" s="27"/>
      <c r="D80" s="27"/>
      <c r="E80" s="27"/>
      <c r="F80" s="27"/>
      <c r="G80" s="27"/>
      <c r="H80" s="27"/>
      <c r="I80" s="27"/>
      <c r="J80" s="27"/>
      <c r="K80" s="38">
        <f>SUM(K76:K79)</f>
        <v>14869</v>
      </c>
      <c r="L80" s="27"/>
      <c r="M80" s="60">
        <f>SUM(M76:M79)</f>
        <v>3690</v>
      </c>
      <c r="N80" s="27"/>
      <c r="O80" s="6"/>
    </row>
    <row r="81" spans="1:15" ht="15.75">
      <c r="A81" s="26"/>
      <c r="B81" s="27" t="s">
        <v>52</v>
      </c>
      <c r="C81" s="27"/>
      <c r="D81" s="27"/>
      <c r="E81" s="27"/>
      <c r="F81" s="27"/>
      <c r="G81" s="27"/>
      <c r="H81" s="27"/>
      <c r="I81" s="27"/>
      <c r="J81" s="27"/>
      <c r="K81" s="38">
        <v>0</v>
      </c>
      <c r="L81" s="27"/>
      <c r="M81" s="59">
        <v>0</v>
      </c>
      <c r="N81" s="27"/>
      <c r="O81" s="6"/>
    </row>
    <row r="82" spans="1:15" ht="15.75">
      <c r="A82" s="26"/>
      <c r="B82" s="27" t="s">
        <v>53</v>
      </c>
      <c r="C82" s="27"/>
      <c r="D82" s="27"/>
      <c r="E82" s="27"/>
      <c r="F82" s="27"/>
      <c r="G82" s="27"/>
      <c r="H82" s="27"/>
      <c r="I82" s="27"/>
      <c r="J82" s="27"/>
      <c r="K82" s="38">
        <f>K80+K81</f>
        <v>14869</v>
      </c>
      <c r="L82" s="27"/>
      <c r="M82" s="60">
        <f>M80+M81</f>
        <v>3690</v>
      </c>
      <c r="N82" s="27"/>
      <c r="O82" s="6"/>
    </row>
    <row r="83" spans="1:15" ht="15.75">
      <c r="A83" s="26"/>
      <c r="B83" s="138" t="s">
        <v>54</v>
      </c>
      <c r="C83" s="64"/>
      <c r="D83" s="64"/>
      <c r="E83" s="27"/>
      <c r="F83" s="27"/>
      <c r="G83" s="27"/>
      <c r="H83" s="27"/>
      <c r="I83" s="27"/>
      <c r="J83" s="27"/>
      <c r="K83" s="38"/>
      <c r="L83" s="27"/>
      <c r="M83" s="59"/>
      <c r="N83" s="27"/>
      <c r="O83" s="6"/>
    </row>
    <row r="84" spans="1:15" ht="15.75">
      <c r="A84" s="26">
        <v>1</v>
      </c>
      <c r="B84" s="27" t="s">
        <v>55</v>
      </c>
      <c r="C84" s="27"/>
      <c r="D84" s="27"/>
      <c r="E84" s="27"/>
      <c r="F84" s="27"/>
      <c r="G84" s="27"/>
      <c r="H84" s="27"/>
      <c r="I84" s="27"/>
      <c r="J84" s="27"/>
      <c r="K84" s="27"/>
      <c r="L84" s="27"/>
      <c r="M84" s="59">
        <v>0</v>
      </c>
      <c r="N84" s="27"/>
      <c r="O84" s="6"/>
    </row>
    <row r="85" spans="1:15" ht="15.75">
      <c r="A85" s="26">
        <v>2</v>
      </c>
      <c r="B85" s="27" t="s">
        <v>56</v>
      </c>
      <c r="C85" s="27"/>
      <c r="D85" s="27"/>
      <c r="E85" s="27"/>
      <c r="F85" s="27"/>
      <c r="G85" s="27"/>
      <c r="H85" s="27"/>
      <c r="I85" s="27"/>
      <c r="J85" s="27"/>
      <c r="K85" s="27"/>
      <c r="L85" s="27"/>
      <c r="M85" s="59">
        <v>-2</v>
      </c>
      <c r="N85" s="27"/>
      <c r="O85" s="6"/>
    </row>
    <row r="86" spans="1:15" ht="15.75">
      <c r="A86" s="26">
        <v>3</v>
      </c>
      <c r="B86" s="27" t="s">
        <v>57</v>
      </c>
      <c r="C86" s="27"/>
      <c r="D86" s="27"/>
      <c r="E86" s="27"/>
      <c r="F86" s="27"/>
      <c r="G86" s="27"/>
      <c r="H86" s="27"/>
      <c r="I86" s="27"/>
      <c r="J86" s="27"/>
      <c r="K86" s="27"/>
      <c r="L86" s="27"/>
      <c r="M86" s="59">
        <f>-170-11-4</f>
        <v>-185</v>
      </c>
      <c r="N86" s="27"/>
      <c r="O86" s="6"/>
    </row>
    <row r="87" spans="1:15" ht="15.75">
      <c r="A87" s="26">
        <v>4</v>
      </c>
      <c r="B87" s="27" t="s">
        <v>197</v>
      </c>
      <c r="C87" s="27"/>
      <c r="D87" s="27"/>
      <c r="E87" s="27"/>
      <c r="F87" s="27"/>
      <c r="G87" s="27"/>
      <c r="H87" s="27"/>
      <c r="I87" s="27"/>
      <c r="J87" s="27"/>
      <c r="K87" s="27"/>
      <c r="L87" s="27"/>
      <c r="M87" s="59">
        <v>-11</v>
      </c>
      <c r="N87" s="27"/>
      <c r="O87" s="6"/>
    </row>
    <row r="88" spans="1:15" ht="15.75">
      <c r="A88" s="26">
        <v>5</v>
      </c>
      <c r="B88" s="27" t="s">
        <v>58</v>
      </c>
      <c r="C88" s="27"/>
      <c r="D88" s="27"/>
      <c r="E88" s="27"/>
      <c r="F88" s="27"/>
      <c r="G88" s="27"/>
      <c r="H88" s="27"/>
      <c r="I88" s="27"/>
      <c r="J88" s="27"/>
      <c r="K88" s="27"/>
      <c r="L88" s="27"/>
      <c r="M88" s="59">
        <v>-2612</v>
      </c>
      <c r="N88" s="27"/>
      <c r="O88" s="6"/>
    </row>
    <row r="89" spans="1:15" ht="15.75">
      <c r="A89" s="26">
        <v>6</v>
      </c>
      <c r="B89" s="27" t="s">
        <v>59</v>
      </c>
      <c r="C89" s="27"/>
      <c r="D89" s="27"/>
      <c r="E89" s="27"/>
      <c r="F89" s="27"/>
      <c r="G89" s="27"/>
      <c r="H89" s="27"/>
      <c r="I89" s="27"/>
      <c r="J89" s="27"/>
      <c r="K89" s="27"/>
      <c r="L89" s="27"/>
      <c r="M89" s="59">
        <v>-372</v>
      </c>
      <c r="N89" s="27"/>
      <c r="O89" s="6"/>
    </row>
    <row r="90" spans="1:15" ht="15.75">
      <c r="A90" s="26">
        <v>7</v>
      </c>
      <c r="B90" s="27" t="s">
        <v>60</v>
      </c>
      <c r="C90" s="27"/>
      <c r="D90" s="27"/>
      <c r="E90" s="27"/>
      <c r="F90" s="27"/>
      <c r="G90" s="27"/>
      <c r="H90" s="27"/>
      <c r="I90" s="27"/>
      <c r="J90" s="27"/>
      <c r="K90" s="27"/>
      <c r="L90" s="27"/>
      <c r="M90" s="59">
        <v>-5</v>
      </c>
      <c r="N90" s="27"/>
      <c r="O90" s="6"/>
    </row>
    <row r="91" spans="1:15" ht="15.75">
      <c r="A91" s="26">
        <v>8</v>
      </c>
      <c r="B91" s="27" t="s">
        <v>81</v>
      </c>
      <c r="C91" s="27"/>
      <c r="D91" s="27"/>
      <c r="E91" s="27"/>
      <c r="F91" s="27"/>
      <c r="G91" s="27"/>
      <c r="H91" s="27"/>
      <c r="I91" s="27"/>
      <c r="J91" s="27"/>
      <c r="K91" s="27"/>
      <c r="L91" s="27"/>
      <c r="M91" s="59">
        <v>0</v>
      </c>
      <c r="N91" s="27"/>
      <c r="O91" s="6"/>
    </row>
    <row r="92" spans="1:15" ht="15.75">
      <c r="A92" s="26">
        <v>9</v>
      </c>
      <c r="B92" s="27" t="s">
        <v>61</v>
      </c>
      <c r="C92" s="27"/>
      <c r="D92" s="27"/>
      <c r="E92" s="27"/>
      <c r="F92" s="27"/>
      <c r="G92" s="27"/>
      <c r="H92" s="27"/>
      <c r="I92" s="27"/>
      <c r="J92" s="27"/>
      <c r="K92" s="27"/>
      <c r="L92" s="27"/>
      <c r="M92" s="59">
        <v>0</v>
      </c>
      <c r="N92" s="27"/>
      <c r="O92" s="6"/>
    </row>
    <row r="93" spans="1:15" ht="15.75">
      <c r="A93" s="26">
        <v>10</v>
      </c>
      <c r="B93" s="27" t="s">
        <v>62</v>
      </c>
      <c r="C93" s="27"/>
      <c r="D93" s="27"/>
      <c r="E93" s="27"/>
      <c r="F93" s="27"/>
      <c r="G93" s="27"/>
      <c r="H93" s="27"/>
      <c r="I93" s="27"/>
      <c r="J93" s="27"/>
      <c r="K93" s="27"/>
      <c r="L93" s="27"/>
      <c r="M93" s="59">
        <v>0</v>
      </c>
      <c r="N93" s="27"/>
      <c r="O93" s="6"/>
    </row>
    <row r="94" spans="1:15" ht="15.75">
      <c r="A94" s="26">
        <v>11</v>
      </c>
      <c r="B94" s="27" t="s">
        <v>63</v>
      </c>
      <c r="C94" s="27"/>
      <c r="D94" s="27"/>
      <c r="E94" s="27"/>
      <c r="F94" s="27"/>
      <c r="G94" s="27"/>
      <c r="H94" s="27"/>
      <c r="I94" s="27"/>
      <c r="J94" s="27"/>
      <c r="K94" s="27"/>
      <c r="L94" s="27"/>
      <c r="M94" s="59">
        <v>0</v>
      </c>
      <c r="N94" s="27"/>
      <c r="O94" s="6"/>
    </row>
    <row r="95" spans="1:15" ht="15.75">
      <c r="A95" s="26">
        <v>12</v>
      </c>
      <c r="B95" s="27" t="s">
        <v>64</v>
      </c>
      <c r="C95" s="27"/>
      <c r="D95" s="27"/>
      <c r="E95" s="27"/>
      <c r="F95" s="27"/>
      <c r="G95" s="27"/>
      <c r="H95" s="27"/>
      <c r="I95" s="27"/>
      <c r="J95" s="27"/>
      <c r="K95" s="27"/>
      <c r="L95" s="27"/>
      <c r="M95" s="59">
        <f>-27-143</f>
        <v>-170</v>
      </c>
      <c r="N95" s="27"/>
      <c r="O95" s="6"/>
    </row>
    <row r="96" spans="1:15" ht="15.75">
      <c r="A96" s="26">
        <v>13</v>
      </c>
      <c r="B96" s="27" t="s">
        <v>65</v>
      </c>
      <c r="C96" s="27"/>
      <c r="D96" s="27"/>
      <c r="E96" s="27"/>
      <c r="F96" s="27"/>
      <c r="G96" s="27"/>
      <c r="H96" s="27"/>
      <c r="I96" s="27"/>
      <c r="J96" s="27"/>
      <c r="K96" s="27"/>
      <c r="L96" s="27"/>
      <c r="M96" s="59">
        <f>-M82-SUM(M84:M95)</f>
        <v>-333</v>
      </c>
      <c r="N96" s="27"/>
      <c r="O96" s="6"/>
    </row>
    <row r="97" spans="1:15" ht="15.75">
      <c r="A97" s="26"/>
      <c r="B97" s="138" t="s">
        <v>66</v>
      </c>
      <c r="C97" s="64"/>
      <c r="D97" s="64"/>
      <c r="E97" s="27"/>
      <c r="F97" s="27"/>
      <c r="G97" s="27"/>
      <c r="H97" s="27"/>
      <c r="I97" s="27"/>
      <c r="J97" s="27"/>
      <c r="K97" s="27"/>
      <c r="L97" s="27"/>
      <c r="M97" s="65"/>
      <c r="N97" s="27"/>
      <c r="O97" s="6"/>
    </row>
    <row r="98" spans="1:15" ht="15.75">
      <c r="A98" s="26"/>
      <c r="B98" s="27" t="s">
        <v>67</v>
      </c>
      <c r="C98" s="64"/>
      <c r="D98" s="64"/>
      <c r="E98" s="27"/>
      <c r="F98" s="27"/>
      <c r="G98" s="27"/>
      <c r="H98" s="27"/>
      <c r="I98" s="27"/>
      <c r="J98" s="27"/>
      <c r="K98" s="38">
        <f>-K144</f>
        <v>-3</v>
      </c>
      <c r="L98" s="38"/>
      <c r="M98" s="59"/>
      <c r="N98" s="27"/>
      <c r="O98" s="6"/>
    </row>
    <row r="99" spans="1:15" ht="15.75">
      <c r="A99" s="26"/>
      <c r="B99" s="27" t="s">
        <v>68</v>
      </c>
      <c r="C99" s="27"/>
      <c r="D99" s="27"/>
      <c r="E99" s="27"/>
      <c r="F99" s="27"/>
      <c r="G99" s="27"/>
      <c r="H99" s="27"/>
      <c r="I99" s="27"/>
      <c r="J99" s="27"/>
      <c r="K99" s="38">
        <f>-I144</f>
        <v>-1934</v>
      </c>
      <c r="L99" s="38"/>
      <c r="M99" s="59"/>
      <c r="N99" s="27"/>
      <c r="O99" s="6"/>
    </row>
    <row r="100" spans="1:15" ht="15.75">
      <c r="A100" s="26"/>
      <c r="B100" s="27" t="s">
        <v>69</v>
      </c>
      <c r="C100" s="27"/>
      <c r="D100" s="27"/>
      <c r="E100" s="27"/>
      <c r="F100" s="27"/>
      <c r="G100" s="27"/>
      <c r="H100" s="27"/>
      <c r="I100" s="27"/>
      <c r="J100" s="27"/>
      <c r="K100" s="38">
        <v>-12932</v>
      </c>
      <c r="L100" s="38"/>
      <c r="M100" s="59"/>
      <c r="N100" s="27"/>
      <c r="O100" s="6"/>
    </row>
    <row r="101" spans="1:15" ht="15.75">
      <c r="A101" s="26"/>
      <c r="B101" s="27" t="s">
        <v>70</v>
      </c>
      <c r="C101" s="27"/>
      <c r="D101" s="27"/>
      <c r="E101" s="27"/>
      <c r="F101" s="27"/>
      <c r="G101" s="27"/>
      <c r="H101" s="27"/>
      <c r="I101" s="27"/>
      <c r="J101" s="27"/>
      <c r="K101" s="38">
        <v>0</v>
      </c>
      <c r="L101" s="38"/>
      <c r="M101" s="59"/>
      <c r="N101" s="27"/>
      <c r="O101" s="6"/>
    </row>
    <row r="102" spans="1:15" ht="15.75">
      <c r="A102" s="26"/>
      <c r="B102" s="27" t="s">
        <v>71</v>
      </c>
      <c r="C102" s="27"/>
      <c r="D102" s="27"/>
      <c r="E102" s="27"/>
      <c r="F102" s="27"/>
      <c r="G102" s="27"/>
      <c r="H102" s="27"/>
      <c r="I102" s="27"/>
      <c r="J102" s="27"/>
      <c r="K102" s="38">
        <v>0</v>
      </c>
      <c r="L102" s="38"/>
      <c r="M102" s="59"/>
      <c r="N102" s="27"/>
      <c r="O102" s="6"/>
    </row>
    <row r="103" spans="1:15" ht="15.75">
      <c r="A103" s="26"/>
      <c r="B103" s="27" t="s">
        <v>72</v>
      </c>
      <c r="C103" s="27"/>
      <c r="D103" s="27"/>
      <c r="E103" s="27"/>
      <c r="F103" s="27"/>
      <c r="G103" s="27"/>
      <c r="H103" s="27"/>
      <c r="I103" s="27"/>
      <c r="J103" s="27"/>
      <c r="K103" s="38">
        <f>SUM(K83:K102)</f>
        <v>-14869</v>
      </c>
      <c r="L103" s="38"/>
      <c r="M103" s="38">
        <f>SUM(M83:M102)</f>
        <v>-3690</v>
      </c>
      <c r="N103" s="27"/>
      <c r="O103" s="6"/>
    </row>
    <row r="104" spans="1:15" ht="15.75">
      <c r="A104" s="26"/>
      <c r="B104" s="27" t="s">
        <v>73</v>
      </c>
      <c r="C104" s="27"/>
      <c r="D104" s="27"/>
      <c r="E104" s="27"/>
      <c r="F104" s="27"/>
      <c r="G104" s="27"/>
      <c r="H104" s="27"/>
      <c r="I104" s="27"/>
      <c r="J104" s="27"/>
      <c r="K104" s="38">
        <f>K82+K103</f>
        <v>0</v>
      </c>
      <c r="L104" s="38"/>
      <c r="M104" s="38">
        <f>M82+M103</f>
        <v>0</v>
      </c>
      <c r="N104" s="27"/>
      <c r="O104" s="6"/>
    </row>
    <row r="105" spans="1:15" ht="15.75">
      <c r="A105" s="26"/>
      <c r="B105" s="27"/>
      <c r="C105" s="27"/>
      <c r="D105" s="27"/>
      <c r="E105" s="27"/>
      <c r="F105" s="27"/>
      <c r="G105" s="27"/>
      <c r="H105" s="27"/>
      <c r="I105" s="27"/>
      <c r="J105" s="27"/>
      <c r="K105" s="38"/>
      <c r="L105" s="38"/>
      <c r="M105" s="38"/>
      <c r="N105" s="27"/>
      <c r="O105" s="6"/>
    </row>
    <row r="106" spans="1:15" ht="15.75">
      <c r="A106" s="7"/>
      <c r="B106" s="9"/>
      <c r="C106" s="9"/>
      <c r="D106" s="9"/>
      <c r="E106" s="9"/>
      <c r="F106" s="9"/>
      <c r="G106" s="9"/>
      <c r="H106" s="9"/>
      <c r="I106" s="9"/>
      <c r="J106" s="9"/>
      <c r="K106" s="9"/>
      <c r="L106" s="9"/>
      <c r="M106" s="58"/>
      <c r="N106" s="9"/>
      <c r="O106" s="6"/>
    </row>
    <row r="107" spans="1:15" ht="19.5" thickBot="1">
      <c r="A107" s="117"/>
      <c r="B107" s="118" t="str">
        <f>B52</f>
        <v>PM5 INVESTOR REPORT QUARTER ENDING AUGUST 2005</v>
      </c>
      <c r="C107" s="119"/>
      <c r="D107" s="119"/>
      <c r="E107" s="119"/>
      <c r="F107" s="119"/>
      <c r="G107" s="119"/>
      <c r="H107" s="119"/>
      <c r="I107" s="119"/>
      <c r="J107" s="119"/>
      <c r="K107" s="119"/>
      <c r="L107" s="119"/>
      <c r="M107" s="122"/>
      <c r="N107" s="121"/>
      <c r="O107" s="6"/>
    </row>
    <row r="108" spans="1:15" ht="15.75">
      <c r="A108" s="2"/>
      <c r="B108" s="66" t="s">
        <v>74</v>
      </c>
      <c r="C108" s="67"/>
      <c r="D108" s="67"/>
      <c r="E108" s="5"/>
      <c r="F108" s="5"/>
      <c r="G108" s="5"/>
      <c r="H108" s="5"/>
      <c r="I108" s="5"/>
      <c r="J108" s="5"/>
      <c r="K108" s="5"/>
      <c r="L108" s="5"/>
      <c r="M108" s="56"/>
      <c r="N108" s="5"/>
      <c r="O108" s="6"/>
    </row>
    <row r="109" spans="1:15" ht="15.75">
      <c r="A109" s="7"/>
      <c r="B109" s="23"/>
      <c r="C109" s="15"/>
      <c r="D109" s="15"/>
      <c r="E109" s="9"/>
      <c r="F109" s="9"/>
      <c r="G109" s="9"/>
      <c r="H109" s="9"/>
      <c r="I109" s="9"/>
      <c r="J109" s="9"/>
      <c r="K109" s="9"/>
      <c r="L109" s="9"/>
      <c r="M109" s="58"/>
      <c r="N109" s="9"/>
      <c r="O109" s="6"/>
    </row>
    <row r="110" spans="1:15" ht="15.75">
      <c r="A110" s="7"/>
      <c r="B110" s="139" t="s">
        <v>75</v>
      </c>
      <c r="C110" s="15"/>
      <c r="D110" s="15"/>
      <c r="E110" s="9"/>
      <c r="F110" s="9"/>
      <c r="G110" s="9"/>
      <c r="H110" s="9"/>
      <c r="I110" s="9"/>
      <c r="J110" s="9"/>
      <c r="K110" s="9"/>
      <c r="L110" s="9"/>
      <c r="M110" s="58"/>
      <c r="N110" s="9"/>
      <c r="O110" s="6"/>
    </row>
    <row r="111" spans="1:15" ht="15.75">
      <c r="A111" s="26"/>
      <c r="B111" s="27" t="s">
        <v>76</v>
      </c>
      <c r="C111" s="27"/>
      <c r="D111" s="27"/>
      <c r="E111" s="27"/>
      <c r="F111" s="27"/>
      <c r="G111" s="27"/>
      <c r="H111" s="27"/>
      <c r="I111" s="27"/>
      <c r="J111" s="27"/>
      <c r="K111" s="27"/>
      <c r="L111" s="27"/>
      <c r="M111" s="59">
        <v>4000</v>
      </c>
      <c r="N111" s="27"/>
      <c r="O111" s="6"/>
    </row>
    <row r="112" spans="1:15" ht="15.75">
      <c r="A112" s="26"/>
      <c r="B112" s="27" t="s">
        <v>77</v>
      </c>
      <c r="C112" s="27"/>
      <c r="D112" s="27"/>
      <c r="E112" s="27"/>
      <c r="F112" s="27"/>
      <c r="G112" s="27"/>
      <c r="H112" s="27"/>
      <c r="I112" s="27"/>
      <c r="J112" s="27"/>
      <c r="K112" s="27"/>
      <c r="L112" s="27"/>
      <c r="M112" s="59">
        <v>4000</v>
      </c>
      <c r="N112" s="27"/>
      <c r="O112" s="6"/>
    </row>
    <row r="113" spans="1:15" ht="15.75">
      <c r="A113" s="26"/>
      <c r="B113" s="27" t="s">
        <v>78</v>
      </c>
      <c r="C113" s="27"/>
      <c r="D113" s="27"/>
      <c r="E113" s="27"/>
      <c r="F113" s="27"/>
      <c r="G113" s="27"/>
      <c r="H113" s="27"/>
      <c r="I113" s="27"/>
      <c r="J113" s="27"/>
      <c r="K113" s="27"/>
      <c r="L113" s="27"/>
      <c r="M113" s="59">
        <v>0</v>
      </c>
      <c r="N113" s="27"/>
      <c r="O113" s="6"/>
    </row>
    <row r="114" spans="1:15" ht="15.75">
      <c r="A114" s="26"/>
      <c r="B114" s="27" t="s">
        <v>79</v>
      </c>
      <c r="C114" s="27"/>
      <c r="D114" s="27"/>
      <c r="E114" s="27"/>
      <c r="F114" s="27"/>
      <c r="G114" s="27"/>
      <c r="H114" s="27"/>
      <c r="I114" s="27"/>
      <c r="J114" s="27"/>
      <c r="K114" s="27"/>
      <c r="L114" s="27"/>
      <c r="M114" s="59">
        <v>0</v>
      </c>
      <c r="N114" s="27"/>
      <c r="O114" s="6"/>
    </row>
    <row r="115" spans="1:15" ht="15.75">
      <c r="A115" s="26"/>
      <c r="B115" s="27" t="s">
        <v>80</v>
      </c>
      <c r="C115" s="27"/>
      <c r="D115" s="27"/>
      <c r="E115" s="27"/>
      <c r="F115" s="27"/>
      <c r="G115" s="27"/>
      <c r="H115" s="27"/>
      <c r="I115" s="27"/>
      <c r="J115" s="27"/>
      <c r="K115" s="27"/>
      <c r="L115" s="27"/>
      <c r="M115" s="59">
        <v>0</v>
      </c>
      <c r="N115" s="27"/>
      <c r="O115" s="6"/>
    </row>
    <row r="116" spans="1:15" ht="15.75">
      <c r="A116" s="26"/>
      <c r="B116" s="27" t="s">
        <v>58</v>
      </c>
      <c r="C116" s="27"/>
      <c r="D116" s="27"/>
      <c r="E116" s="27"/>
      <c r="F116" s="27"/>
      <c r="G116" s="27"/>
      <c r="H116" s="27"/>
      <c r="I116" s="27"/>
      <c r="J116" s="27"/>
      <c r="K116" s="27"/>
      <c r="L116" s="27"/>
      <c r="M116" s="59">
        <v>0</v>
      </c>
      <c r="N116" s="27"/>
      <c r="O116" s="6"/>
    </row>
    <row r="117" spans="1:15" ht="15.75">
      <c r="A117" s="26"/>
      <c r="B117" s="27" t="s">
        <v>59</v>
      </c>
      <c r="C117" s="27"/>
      <c r="D117" s="27"/>
      <c r="E117" s="27"/>
      <c r="F117" s="27"/>
      <c r="G117" s="27"/>
      <c r="H117" s="27"/>
      <c r="I117" s="27"/>
      <c r="J117" s="27"/>
      <c r="K117" s="27"/>
      <c r="L117" s="27"/>
      <c r="M117" s="59">
        <v>0</v>
      </c>
      <c r="N117" s="27"/>
      <c r="O117" s="6"/>
    </row>
    <row r="118" spans="1:15" ht="15.75">
      <c r="A118" s="26"/>
      <c r="B118" s="27" t="s">
        <v>81</v>
      </c>
      <c r="C118" s="27"/>
      <c r="D118" s="27"/>
      <c r="E118" s="27"/>
      <c r="F118" s="27"/>
      <c r="G118" s="27"/>
      <c r="H118" s="27"/>
      <c r="I118" s="27"/>
      <c r="J118" s="27"/>
      <c r="K118" s="27"/>
      <c r="L118" s="27"/>
      <c r="M118" s="59">
        <v>0</v>
      </c>
      <c r="N118" s="27"/>
      <c r="O118" s="6"/>
    </row>
    <row r="119" spans="1:15" ht="15.75">
      <c r="A119" s="26"/>
      <c r="B119" s="27" t="s">
        <v>82</v>
      </c>
      <c r="C119" s="27"/>
      <c r="D119" s="27"/>
      <c r="E119" s="27"/>
      <c r="F119" s="27"/>
      <c r="G119" s="27"/>
      <c r="H119" s="27"/>
      <c r="I119" s="27"/>
      <c r="J119" s="27"/>
      <c r="K119" s="27"/>
      <c r="L119" s="27"/>
      <c r="M119" s="59">
        <f>SUM(M112:M118)</f>
        <v>4000</v>
      </c>
      <c r="N119" s="27"/>
      <c r="O119" s="6"/>
    </row>
    <row r="120" spans="1:15" ht="15.75">
      <c r="A120" s="26"/>
      <c r="B120" s="27"/>
      <c r="C120" s="27"/>
      <c r="D120" s="27"/>
      <c r="E120" s="27"/>
      <c r="F120" s="27"/>
      <c r="G120" s="27"/>
      <c r="H120" s="27"/>
      <c r="I120" s="27"/>
      <c r="J120" s="27"/>
      <c r="K120" s="27"/>
      <c r="L120" s="27"/>
      <c r="M120" s="68"/>
      <c r="N120" s="27"/>
      <c r="O120" s="6"/>
    </row>
    <row r="121" spans="1:15" ht="15.75">
      <c r="A121" s="7"/>
      <c r="B121" s="139" t="s">
        <v>43</v>
      </c>
      <c r="C121" s="9"/>
      <c r="D121" s="9"/>
      <c r="E121" s="9"/>
      <c r="F121" s="9"/>
      <c r="G121" s="9"/>
      <c r="H121" s="9"/>
      <c r="I121" s="9"/>
      <c r="J121" s="9"/>
      <c r="K121" s="9"/>
      <c r="L121" s="9"/>
      <c r="M121" s="58"/>
      <c r="N121" s="9"/>
      <c r="O121" s="6"/>
    </row>
    <row r="122" spans="1:15" ht="15.75">
      <c r="A122" s="26"/>
      <c r="B122" s="27" t="s">
        <v>83</v>
      </c>
      <c r="C122" s="27"/>
      <c r="D122" s="27"/>
      <c r="E122" s="69"/>
      <c r="F122" s="27"/>
      <c r="G122" s="27"/>
      <c r="H122" s="27"/>
      <c r="I122" s="27"/>
      <c r="J122" s="27"/>
      <c r="K122" s="27"/>
      <c r="L122" s="27"/>
      <c r="M122" s="70" t="s">
        <v>185</v>
      </c>
      <c r="N122" s="27"/>
      <c r="O122" s="6"/>
    </row>
    <row r="123" spans="1:15" ht="15.75">
      <c r="A123" s="26"/>
      <c r="B123" s="27" t="s">
        <v>84</v>
      </c>
      <c r="C123" s="144"/>
      <c r="D123" s="144"/>
      <c r="E123" s="144"/>
      <c r="F123" s="144"/>
      <c r="G123" s="144"/>
      <c r="H123" s="144"/>
      <c r="I123" s="144"/>
      <c r="J123" s="144"/>
      <c r="K123" s="144"/>
      <c r="L123" s="144"/>
      <c r="M123" s="70" t="s">
        <v>185</v>
      </c>
      <c r="N123" s="27"/>
      <c r="O123" s="6"/>
    </row>
    <row r="124" spans="1:15" ht="15.75">
      <c r="A124" s="26"/>
      <c r="B124" s="27" t="s">
        <v>85</v>
      </c>
      <c r="C124" s="27"/>
      <c r="D124" s="27"/>
      <c r="E124" s="27"/>
      <c r="F124" s="27"/>
      <c r="G124" s="27"/>
      <c r="H124" s="27"/>
      <c r="I124" s="27"/>
      <c r="J124" s="27"/>
      <c r="K124" s="27"/>
      <c r="L124" s="27"/>
      <c r="M124" s="70" t="s">
        <v>185</v>
      </c>
      <c r="N124" s="27"/>
      <c r="O124" s="6"/>
    </row>
    <row r="125" spans="1:15" ht="15.75">
      <c r="A125" s="26"/>
      <c r="B125" s="27" t="s">
        <v>86</v>
      </c>
      <c r="C125" s="27"/>
      <c r="D125" s="27"/>
      <c r="E125" s="27"/>
      <c r="F125" s="27"/>
      <c r="G125" s="27"/>
      <c r="H125" s="27"/>
      <c r="I125" s="27"/>
      <c r="J125" s="27"/>
      <c r="K125" s="27"/>
      <c r="L125" s="27"/>
      <c r="M125" s="70" t="s">
        <v>185</v>
      </c>
      <c r="N125" s="27"/>
      <c r="O125" s="6"/>
    </row>
    <row r="126" spans="1:15" ht="15.75">
      <c r="A126" s="26"/>
      <c r="B126" s="27"/>
      <c r="C126" s="27"/>
      <c r="D126" s="27"/>
      <c r="E126" s="27"/>
      <c r="F126" s="27"/>
      <c r="G126" s="27"/>
      <c r="H126" s="27"/>
      <c r="I126" s="27"/>
      <c r="J126" s="27"/>
      <c r="K126" s="27"/>
      <c r="L126" s="27"/>
      <c r="M126" s="68"/>
      <c r="N126" s="27"/>
      <c r="O126" s="6"/>
    </row>
    <row r="127" spans="1:15" ht="15.75">
      <c r="A127" s="7"/>
      <c r="B127" s="139" t="s">
        <v>87</v>
      </c>
      <c r="C127" s="15"/>
      <c r="D127" s="15"/>
      <c r="E127" s="9"/>
      <c r="F127" s="9"/>
      <c r="G127" s="9"/>
      <c r="H127" s="9"/>
      <c r="I127" s="9"/>
      <c r="J127" s="9"/>
      <c r="K127" s="9"/>
      <c r="L127" s="9"/>
      <c r="M127" s="71"/>
      <c r="N127" s="9"/>
      <c r="O127" s="6"/>
    </row>
    <row r="128" spans="1:15" ht="15.75">
      <c r="A128" s="26"/>
      <c r="B128" s="27" t="s">
        <v>88</v>
      </c>
      <c r="C128" s="27"/>
      <c r="D128" s="27"/>
      <c r="E128" s="27"/>
      <c r="F128" s="27"/>
      <c r="G128" s="27"/>
      <c r="H128" s="27"/>
      <c r="I128" s="27"/>
      <c r="J128" s="27"/>
      <c r="K128" s="27"/>
      <c r="L128" s="27"/>
      <c r="M128" s="59">
        <v>0</v>
      </c>
      <c r="N128" s="27"/>
      <c r="O128" s="6"/>
    </row>
    <row r="129" spans="1:15" ht="15.75">
      <c r="A129" s="26"/>
      <c r="B129" s="27" t="s">
        <v>89</v>
      </c>
      <c r="C129" s="27"/>
      <c r="D129" s="27"/>
      <c r="E129" s="27"/>
      <c r="F129" s="27"/>
      <c r="G129" s="27"/>
      <c r="H129" s="27"/>
      <c r="I129" s="27"/>
      <c r="J129" s="27"/>
      <c r="K129" s="27"/>
      <c r="L129" s="27"/>
      <c r="M129" s="59">
        <v>0</v>
      </c>
      <c r="N129" s="27"/>
      <c r="O129" s="6"/>
    </row>
    <row r="130" spans="1:15" ht="15.75">
      <c r="A130" s="26"/>
      <c r="B130" s="27" t="s">
        <v>90</v>
      </c>
      <c r="C130" s="27"/>
      <c r="D130" s="27"/>
      <c r="E130" s="27"/>
      <c r="F130" s="27"/>
      <c r="G130" s="27"/>
      <c r="H130" s="27"/>
      <c r="I130" s="27"/>
      <c r="J130" s="27"/>
      <c r="K130" s="27"/>
      <c r="L130" s="27"/>
      <c r="M130" s="59">
        <f>M129+M128</f>
        <v>0</v>
      </c>
      <c r="N130" s="27"/>
      <c r="O130" s="6"/>
    </row>
    <row r="131" spans="1:15" ht="15.75">
      <c r="A131" s="26"/>
      <c r="B131" s="27" t="s">
        <v>91</v>
      </c>
      <c r="C131" s="27"/>
      <c r="D131" s="27"/>
      <c r="E131" s="27"/>
      <c r="F131" s="27"/>
      <c r="G131" s="27"/>
      <c r="H131" s="27"/>
      <c r="I131" s="72"/>
      <c r="J131" s="27"/>
      <c r="K131" s="27"/>
      <c r="L131" s="27"/>
      <c r="M131" s="59">
        <f>M92</f>
        <v>0</v>
      </c>
      <c r="N131" s="27"/>
      <c r="O131" s="6"/>
    </row>
    <row r="132" spans="1:15" ht="15.75">
      <c r="A132" s="26"/>
      <c r="B132" s="27" t="s">
        <v>92</v>
      </c>
      <c r="C132" s="27"/>
      <c r="D132" s="27"/>
      <c r="E132" s="27"/>
      <c r="F132" s="27"/>
      <c r="G132" s="27"/>
      <c r="H132" s="27"/>
      <c r="I132" s="27"/>
      <c r="J132" s="27"/>
      <c r="K132" s="27"/>
      <c r="L132" s="27"/>
      <c r="M132" s="59">
        <f>M130+M131</f>
        <v>0</v>
      </c>
      <c r="N132" s="27"/>
      <c r="O132" s="6"/>
    </row>
    <row r="133" spans="1:15" ht="15.75">
      <c r="A133" s="26"/>
      <c r="B133" s="27"/>
      <c r="C133" s="27"/>
      <c r="D133" s="27"/>
      <c r="E133" s="27"/>
      <c r="F133" s="27"/>
      <c r="G133" s="27"/>
      <c r="H133" s="27"/>
      <c r="I133" s="27"/>
      <c r="J133" s="27"/>
      <c r="K133" s="27"/>
      <c r="L133" s="27"/>
      <c r="M133" s="68"/>
      <c r="N133" s="27"/>
      <c r="O133" s="6"/>
    </row>
    <row r="134" spans="1:15" ht="15.75">
      <c r="A134" s="2"/>
      <c r="B134" s="5"/>
      <c r="C134" s="5"/>
      <c r="D134" s="5"/>
      <c r="E134" s="5"/>
      <c r="F134" s="5"/>
      <c r="G134" s="5"/>
      <c r="H134" s="5"/>
      <c r="I134" s="5"/>
      <c r="J134" s="5"/>
      <c r="K134" s="5"/>
      <c r="L134" s="5"/>
      <c r="M134" s="56"/>
      <c r="N134" s="5"/>
      <c r="O134" s="6"/>
    </row>
    <row r="135" spans="1:15" ht="15.75">
      <c r="A135" s="7"/>
      <c r="B135" s="139" t="s">
        <v>93</v>
      </c>
      <c r="C135" s="15"/>
      <c r="D135" s="15"/>
      <c r="E135" s="9"/>
      <c r="F135" s="9"/>
      <c r="G135" s="9"/>
      <c r="H135" s="9"/>
      <c r="I135" s="9"/>
      <c r="J135" s="9"/>
      <c r="K135" s="9"/>
      <c r="L135" s="9"/>
      <c r="M135" s="58"/>
      <c r="N135" s="9"/>
      <c r="O135" s="6"/>
    </row>
    <row r="136" spans="1:15" ht="15.75">
      <c r="A136" s="7"/>
      <c r="B136" s="23"/>
      <c r="C136" s="15"/>
      <c r="D136" s="15"/>
      <c r="E136" s="9"/>
      <c r="F136" s="9"/>
      <c r="G136" s="9"/>
      <c r="H136" s="9"/>
      <c r="I136" s="9"/>
      <c r="J136" s="9"/>
      <c r="K136" s="9"/>
      <c r="L136" s="9"/>
      <c r="M136" s="58"/>
      <c r="N136" s="9"/>
      <c r="O136" s="6"/>
    </row>
    <row r="137" spans="1:15" ht="15.75">
      <c r="A137" s="26"/>
      <c r="B137" s="27" t="s">
        <v>94</v>
      </c>
      <c r="C137" s="73"/>
      <c r="D137" s="73"/>
      <c r="E137" s="27"/>
      <c r="F137" s="27"/>
      <c r="G137" s="27"/>
      <c r="H137" s="27"/>
      <c r="I137" s="27"/>
      <c r="J137" s="27"/>
      <c r="K137" s="27"/>
      <c r="L137" s="27"/>
      <c r="M137" s="59">
        <f>M60</f>
        <v>211360</v>
      </c>
      <c r="N137" s="27"/>
      <c r="O137" s="6"/>
    </row>
    <row r="138" spans="1:15" ht="15.75">
      <c r="A138" s="26"/>
      <c r="B138" s="27" t="s">
        <v>95</v>
      </c>
      <c r="C138" s="73"/>
      <c r="D138" s="73"/>
      <c r="E138" s="27"/>
      <c r="F138" s="27"/>
      <c r="G138" s="27"/>
      <c r="H138" s="27"/>
      <c r="I138" s="27"/>
      <c r="J138" s="27"/>
      <c r="K138" s="27"/>
      <c r="L138" s="27"/>
      <c r="M138" s="59">
        <f>M72</f>
        <v>211360</v>
      </c>
      <c r="N138" s="27"/>
      <c r="O138" s="6"/>
    </row>
    <row r="139" spans="1:15" ht="15.75">
      <c r="A139" s="26"/>
      <c r="B139" s="27"/>
      <c r="C139" s="27"/>
      <c r="D139" s="27"/>
      <c r="E139" s="27"/>
      <c r="F139" s="27"/>
      <c r="G139" s="27"/>
      <c r="H139" s="27"/>
      <c r="I139" s="27"/>
      <c r="J139" s="27"/>
      <c r="K139" s="27"/>
      <c r="L139" s="27"/>
      <c r="M139" s="68"/>
      <c r="N139" s="27"/>
      <c r="O139" s="6"/>
    </row>
    <row r="140" spans="1:15" ht="15.75">
      <c r="A140" s="2"/>
      <c r="B140" s="5"/>
      <c r="C140" s="5"/>
      <c r="D140" s="5"/>
      <c r="E140" s="5"/>
      <c r="F140" s="5"/>
      <c r="G140" s="5"/>
      <c r="H140" s="5"/>
      <c r="I140" s="5"/>
      <c r="J140" s="5"/>
      <c r="K140" s="5"/>
      <c r="L140" s="5"/>
      <c r="M140" s="56"/>
      <c r="N140" s="5"/>
      <c r="O140" s="6"/>
    </row>
    <row r="141" spans="1:15" ht="15.75">
      <c r="A141" s="7"/>
      <c r="B141" s="139" t="s">
        <v>96</v>
      </c>
      <c r="C141" s="129"/>
      <c r="D141" s="129"/>
      <c r="E141" s="137"/>
      <c r="F141" s="137"/>
      <c r="G141" s="137"/>
      <c r="H141" s="137"/>
      <c r="I141" s="140" t="s">
        <v>172</v>
      </c>
      <c r="J141" s="140"/>
      <c r="K141" s="140" t="s">
        <v>181</v>
      </c>
      <c r="L141" s="129"/>
      <c r="M141" s="141" t="s">
        <v>195</v>
      </c>
      <c r="N141" s="11"/>
      <c r="O141" s="6"/>
    </row>
    <row r="142" spans="1:15" ht="15.75">
      <c r="A142" s="26"/>
      <c r="B142" s="27" t="s">
        <v>97</v>
      </c>
      <c r="C142" s="27"/>
      <c r="D142" s="27"/>
      <c r="E142" s="27"/>
      <c r="F142" s="27"/>
      <c r="G142" s="27"/>
      <c r="H142" s="27"/>
      <c r="I142" s="59">
        <v>41000</v>
      </c>
      <c r="J142" s="27"/>
      <c r="K142" s="46"/>
      <c r="L142" s="27"/>
      <c r="M142" s="59"/>
      <c r="N142" s="27"/>
      <c r="O142" s="6"/>
    </row>
    <row r="143" spans="1:15" ht="15.75">
      <c r="A143" s="26"/>
      <c r="B143" s="27" t="s">
        <v>98</v>
      </c>
      <c r="C143" s="27"/>
      <c r="D143" s="27"/>
      <c r="E143" s="27"/>
      <c r="F143" s="27"/>
      <c r="G143" s="27"/>
      <c r="H143" s="27"/>
      <c r="I143" s="59">
        <f>+'May 05'!I145</f>
        <v>24766</v>
      </c>
      <c r="J143" s="27"/>
      <c r="K143" s="59">
        <f>+'May 05'!K145</f>
        <v>513</v>
      </c>
      <c r="L143" s="27"/>
      <c r="M143" s="59">
        <f>K143+I143</f>
        <v>25279</v>
      </c>
      <c r="N143" s="27"/>
      <c r="O143" s="6"/>
    </row>
    <row r="144" spans="1:15" ht="15.75">
      <c r="A144" s="26"/>
      <c r="B144" s="27" t="s">
        <v>99</v>
      </c>
      <c r="C144" s="27"/>
      <c r="D144" s="27"/>
      <c r="E144" s="27"/>
      <c r="F144" s="27"/>
      <c r="G144" s="27"/>
      <c r="H144" s="27"/>
      <c r="I144" s="38">
        <f>11+1923</f>
        <v>1934</v>
      </c>
      <c r="J144" s="27"/>
      <c r="K144" s="27">
        <v>3</v>
      </c>
      <c r="L144" s="27"/>
      <c r="M144" s="59">
        <f>K144+I144</f>
        <v>1937</v>
      </c>
      <c r="N144" s="27"/>
      <c r="O144" s="6"/>
    </row>
    <row r="145" spans="1:15" ht="15.75">
      <c r="A145" s="26"/>
      <c r="B145" s="27" t="s">
        <v>100</v>
      </c>
      <c r="C145" s="27"/>
      <c r="D145" s="27"/>
      <c r="E145" s="27"/>
      <c r="F145" s="27"/>
      <c r="G145" s="27"/>
      <c r="H145" s="27"/>
      <c r="I145" s="59">
        <f>I143+I144</f>
        <v>26700</v>
      </c>
      <c r="J145" s="27"/>
      <c r="K145" s="59">
        <f>K144+K143</f>
        <v>516</v>
      </c>
      <c r="L145" s="27"/>
      <c r="M145" s="59">
        <f>K145+I145</f>
        <v>27216</v>
      </c>
      <c r="N145" s="27"/>
      <c r="O145" s="6"/>
    </row>
    <row r="146" spans="1:15" ht="15.75">
      <c r="A146" s="26"/>
      <c r="B146" s="27" t="s">
        <v>101</v>
      </c>
      <c r="C146" s="27"/>
      <c r="D146" s="27"/>
      <c r="E146" s="27"/>
      <c r="F146" s="27"/>
      <c r="G146" s="27"/>
      <c r="H146" s="27"/>
      <c r="I146" s="59">
        <f>I142-I145-K145</f>
        <v>13784</v>
      </c>
      <c r="J146" s="27"/>
      <c r="K146" s="46">
        <v>0</v>
      </c>
      <c r="L146" s="27"/>
      <c r="M146" s="59"/>
      <c r="N146" s="27"/>
      <c r="O146" s="6"/>
    </row>
    <row r="147" spans="1:15" ht="15.75">
      <c r="A147" s="26"/>
      <c r="B147" s="27"/>
      <c r="C147" s="27"/>
      <c r="D147" s="27"/>
      <c r="E147" s="27"/>
      <c r="F147" s="27"/>
      <c r="G147" s="27"/>
      <c r="H147" s="27"/>
      <c r="I147" s="27"/>
      <c r="J147" s="27"/>
      <c r="K147" s="27"/>
      <c r="L147" s="27"/>
      <c r="M147" s="68"/>
      <c r="N147" s="27"/>
      <c r="O147" s="6"/>
    </row>
    <row r="148" spans="1:15" ht="15.75">
      <c r="A148" s="2"/>
      <c r="B148" s="5"/>
      <c r="C148" s="5"/>
      <c r="D148" s="5"/>
      <c r="E148" s="5"/>
      <c r="F148" s="5"/>
      <c r="G148" s="5"/>
      <c r="H148" s="5"/>
      <c r="I148" s="5"/>
      <c r="J148" s="5"/>
      <c r="K148" s="5"/>
      <c r="L148" s="5"/>
      <c r="M148" s="56"/>
      <c r="N148" s="5"/>
      <c r="O148" s="6"/>
    </row>
    <row r="149" spans="1:15" ht="15.75">
      <c r="A149" s="7"/>
      <c r="B149" s="139" t="s">
        <v>102</v>
      </c>
      <c r="C149" s="15"/>
      <c r="D149" s="15"/>
      <c r="E149" s="9"/>
      <c r="F149" s="9"/>
      <c r="G149" s="9"/>
      <c r="H149" s="9"/>
      <c r="I149" s="9"/>
      <c r="J149" s="9"/>
      <c r="K149" s="9"/>
      <c r="L149" s="9"/>
      <c r="M149" s="74"/>
      <c r="N149" s="9"/>
      <c r="O149" s="6"/>
    </row>
    <row r="150" spans="1:15" ht="15.75">
      <c r="A150" s="26"/>
      <c r="B150" s="27" t="s">
        <v>103</v>
      </c>
      <c r="C150" s="27"/>
      <c r="D150" s="27"/>
      <c r="E150" s="27"/>
      <c r="F150" s="27"/>
      <c r="G150" s="27"/>
      <c r="H150" s="27"/>
      <c r="I150" s="27"/>
      <c r="J150" s="27"/>
      <c r="K150" s="27"/>
      <c r="L150" s="27"/>
      <c r="M150" s="65">
        <f>(M82+M84+M85+M86+M87)/-M88</f>
        <v>1.336906584992343</v>
      </c>
      <c r="N150" s="27" t="s">
        <v>196</v>
      </c>
      <c r="O150" s="6"/>
    </row>
    <row r="151" spans="1:15" ht="15.75">
      <c r="A151" s="26"/>
      <c r="B151" s="27" t="s">
        <v>104</v>
      </c>
      <c r="C151" s="27"/>
      <c r="D151" s="27"/>
      <c r="E151" s="27"/>
      <c r="F151" s="27"/>
      <c r="G151" s="27"/>
      <c r="H151" s="27"/>
      <c r="I151" s="27"/>
      <c r="J151" s="27"/>
      <c r="K151" s="27"/>
      <c r="L151" s="27"/>
      <c r="M151" s="75">
        <v>1.36</v>
      </c>
      <c r="N151" s="27" t="s">
        <v>196</v>
      </c>
      <c r="O151" s="6"/>
    </row>
    <row r="152" spans="1:15" ht="15.75">
      <c r="A152" s="26"/>
      <c r="B152" s="27" t="s">
        <v>105</v>
      </c>
      <c r="C152" s="27"/>
      <c r="D152" s="27"/>
      <c r="E152" s="27"/>
      <c r="F152" s="27"/>
      <c r="G152" s="27"/>
      <c r="H152" s="27"/>
      <c r="I152" s="27"/>
      <c r="J152" s="27"/>
      <c r="K152" s="27"/>
      <c r="L152" s="27"/>
      <c r="M152" s="65">
        <f>(M82+M84+M85+M86+M87+M88)/-M89</f>
        <v>2.3655913978494625</v>
      </c>
      <c r="N152" s="27" t="s">
        <v>196</v>
      </c>
      <c r="O152" s="6"/>
    </row>
    <row r="153" spans="1:15" ht="15.75">
      <c r="A153" s="26"/>
      <c r="B153" s="27" t="s">
        <v>106</v>
      </c>
      <c r="C153" s="27"/>
      <c r="D153" s="27"/>
      <c r="E153" s="27"/>
      <c r="F153" s="27"/>
      <c r="G153" s="27"/>
      <c r="H153" s="27"/>
      <c r="I153" s="27"/>
      <c r="J153" s="27"/>
      <c r="K153" s="27"/>
      <c r="L153" s="27"/>
      <c r="M153" s="76">
        <v>2.65</v>
      </c>
      <c r="N153" s="27" t="s">
        <v>196</v>
      </c>
      <c r="O153" s="6"/>
    </row>
    <row r="154" spans="1:15" ht="15.75">
      <c r="A154" s="26"/>
      <c r="B154" s="27"/>
      <c r="C154" s="27"/>
      <c r="D154" s="27"/>
      <c r="E154" s="27"/>
      <c r="F154" s="27"/>
      <c r="G154" s="27"/>
      <c r="H154" s="27"/>
      <c r="I154" s="27"/>
      <c r="J154" s="27"/>
      <c r="K154" s="27"/>
      <c r="L154" s="27"/>
      <c r="M154" s="27"/>
      <c r="N154" s="27"/>
      <c r="O154" s="6"/>
    </row>
    <row r="155" spans="1:15" ht="15.75">
      <c r="A155" s="26"/>
      <c r="B155" s="27"/>
      <c r="C155" s="27"/>
      <c r="D155" s="27"/>
      <c r="E155" s="27"/>
      <c r="F155" s="27"/>
      <c r="G155" s="27"/>
      <c r="H155" s="27"/>
      <c r="I155" s="27"/>
      <c r="J155" s="27"/>
      <c r="K155" s="27"/>
      <c r="L155" s="27"/>
      <c r="M155" s="27"/>
      <c r="N155" s="27"/>
      <c r="O155" s="6"/>
    </row>
    <row r="156" spans="1:15" ht="15.75">
      <c r="A156" s="7"/>
      <c r="B156" s="9"/>
      <c r="C156" s="9"/>
      <c r="D156" s="9"/>
      <c r="E156" s="9"/>
      <c r="F156" s="9"/>
      <c r="G156" s="9"/>
      <c r="H156" s="9"/>
      <c r="I156" s="9"/>
      <c r="J156" s="9"/>
      <c r="K156" s="9"/>
      <c r="L156" s="9"/>
      <c r="M156" s="9"/>
      <c r="N156" s="9"/>
      <c r="O156" s="6"/>
    </row>
    <row r="157" spans="1:15" ht="19.5" thickBot="1">
      <c r="A157" s="117"/>
      <c r="B157" s="118" t="str">
        <f>B107</f>
        <v>PM5 INVESTOR REPORT QUARTER ENDING AUGUST 2005</v>
      </c>
      <c r="C157" s="146"/>
      <c r="D157" s="146"/>
      <c r="E157" s="146"/>
      <c r="F157" s="146"/>
      <c r="G157" s="146"/>
      <c r="H157" s="146"/>
      <c r="I157" s="146"/>
      <c r="J157" s="146"/>
      <c r="K157" s="146"/>
      <c r="L157" s="146"/>
      <c r="M157" s="146"/>
      <c r="N157" s="147"/>
      <c r="O157" s="6"/>
    </row>
    <row r="158" spans="1:15" ht="15.75">
      <c r="A158" s="77"/>
      <c r="B158" s="66" t="s">
        <v>107</v>
      </c>
      <c r="C158" s="78"/>
      <c r="D158" s="78"/>
      <c r="E158" s="78"/>
      <c r="F158" s="78"/>
      <c r="G158" s="78"/>
      <c r="H158" s="79"/>
      <c r="I158" s="79"/>
      <c r="J158" s="79"/>
      <c r="K158" s="80">
        <v>38595</v>
      </c>
      <c r="L158" s="5"/>
      <c r="M158" s="5"/>
      <c r="N158" s="5"/>
      <c r="O158" s="6"/>
    </row>
    <row r="159" spans="1:15" ht="15.75">
      <c r="A159" s="81"/>
      <c r="B159" s="82"/>
      <c r="C159" s="83"/>
      <c r="D159" s="83"/>
      <c r="E159" s="83"/>
      <c r="F159" s="83"/>
      <c r="G159" s="83"/>
      <c r="H159" s="84"/>
      <c r="I159" s="84"/>
      <c r="J159" s="84"/>
      <c r="K159" s="84"/>
      <c r="L159" s="9"/>
      <c r="M159" s="9"/>
      <c r="N159" s="9"/>
      <c r="O159" s="6"/>
    </row>
    <row r="160" spans="1:15" ht="15.75">
      <c r="A160" s="85"/>
      <c r="B160" s="86" t="s">
        <v>108</v>
      </c>
      <c r="C160" s="87"/>
      <c r="D160" s="87"/>
      <c r="E160" s="87"/>
      <c r="F160" s="87"/>
      <c r="G160" s="87"/>
      <c r="H160" s="72"/>
      <c r="I160" s="72"/>
      <c r="J160" s="72"/>
      <c r="K160" s="88">
        <v>0.0533</v>
      </c>
      <c r="L160" s="27"/>
      <c r="M160" s="27"/>
      <c r="N160" s="27"/>
      <c r="O160" s="6"/>
    </row>
    <row r="161" spans="1:15" ht="15.75">
      <c r="A161" s="85"/>
      <c r="B161" s="86" t="s">
        <v>109</v>
      </c>
      <c r="C161" s="87"/>
      <c r="D161" s="87"/>
      <c r="E161" s="87"/>
      <c r="F161" s="87"/>
      <c r="G161" s="87"/>
      <c r="H161" s="72"/>
      <c r="I161" s="72"/>
      <c r="J161" s="72"/>
      <c r="K161" s="45">
        <v>0.04050510000000001</v>
      </c>
      <c r="L161" s="27"/>
      <c r="M161" s="27"/>
      <c r="N161" s="27"/>
      <c r="O161" s="6"/>
    </row>
    <row r="162" spans="1:15" ht="15.75">
      <c r="A162" s="85"/>
      <c r="B162" s="86" t="s">
        <v>110</v>
      </c>
      <c r="C162" s="87"/>
      <c r="D162" s="87"/>
      <c r="E162" s="87"/>
      <c r="F162" s="87"/>
      <c r="G162" s="87"/>
      <c r="H162" s="72"/>
      <c r="I162" s="72"/>
      <c r="J162" s="72"/>
      <c r="K162" s="88">
        <f>K160-K161</f>
        <v>0.012794899999999991</v>
      </c>
      <c r="L162" s="27"/>
      <c r="M162" s="27"/>
      <c r="N162" s="27"/>
      <c r="O162" s="6"/>
    </row>
    <row r="163" spans="1:15" ht="15.75">
      <c r="A163" s="85"/>
      <c r="B163" s="86" t="s">
        <v>111</v>
      </c>
      <c r="C163" s="87"/>
      <c r="D163" s="87"/>
      <c r="E163" s="87"/>
      <c r="F163" s="87"/>
      <c r="G163" s="87"/>
      <c r="H163" s="72"/>
      <c r="I163" s="72"/>
      <c r="J163" s="72"/>
      <c r="K163" s="88">
        <v>0.06228</v>
      </c>
      <c r="L163" s="27"/>
      <c r="M163" s="27"/>
      <c r="N163" s="27"/>
      <c r="O163" s="6"/>
    </row>
    <row r="164" spans="1:15" ht="15.75">
      <c r="A164" s="85"/>
      <c r="B164" s="86" t="s">
        <v>112</v>
      </c>
      <c r="C164" s="87"/>
      <c r="D164" s="87"/>
      <c r="E164" s="87"/>
      <c r="F164" s="87"/>
      <c r="G164" s="87"/>
      <c r="H164" s="72"/>
      <c r="I164" s="72"/>
      <c r="J164" s="72"/>
      <c r="K164" s="88">
        <f>+M34</f>
        <v>0.05278234934423638</v>
      </c>
      <c r="L164" s="27"/>
      <c r="M164" s="27"/>
      <c r="N164" s="27"/>
      <c r="O164" s="6"/>
    </row>
    <row r="165" spans="1:15" ht="15.75">
      <c r="A165" s="85"/>
      <c r="B165" s="86" t="s">
        <v>113</v>
      </c>
      <c r="C165" s="87"/>
      <c r="D165" s="87"/>
      <c r="E165" s="87"/>
      <c r="F165" s="87"/>
      <c r="G165" s="87"/>
      <c r="H165" s="72"/>
      <c r="I165" s="72"/>
      <c r="J165" s="72"/>
      <c r="K165" s="88">
        <f>K163-K164</f>
        <v>0.00949765065576362</v>
      </c>
      <c r="L165" s="27"/>
      <c r="M165" s="27"/>
      <c r="N165" s="27"/>
      <c r="O165" s="6"/>
    </row>
    <row r="166" spans="1:15" ht="15.75">
      <c r="A166" s="85"/>
      <c r="B166" s="86" t="s">
        <v>114</v>
      </c>
      <c r="C166" s="87"/>
      <c r="D166" s="87"/>
      <c r="E166" s="87"/>
      <c r="F166" s="87"/>
      <c r="G166" s="87"/>
      <c r="H166" s="72"/>
      <c r="I166" s="72"/>
      <c r="J166" s="72"/>
      <c r="K166" s="89" t="s">
        <v>182</v>
      </c>
      <c r="L166" s="27"/>
      <c r="M166" s="27"/>
      <c r="N166" s="27"/>
      <c r="O166" s="6"/>
    </row>
    <row r="167" spans="1:15" ht="15.75">
      <c r="A167" s="85"/>
      <c r="B167" s="86" t="s">
        <v>115</v>
      </c>
      <c r="C167" s="87"/>
      <c r="D167" s="87"/>
      <c r="E167" s="87"/>
      <c r="F167" s="87"/>
      <c r="G167" s="87"/>
      <c r="H167" s="72"/>
      <c r="I167" s="72"/>
      <c r="J167" s="72"/>
      <c r="K167" s="89" t="s">
        <v>183</v>
      </c>
      <c r="L167" s="27"/>
      <c r="M167" s="27"/>
      <c r="N167" s="27"/>
      <c r="O167" s="6"/>
    </row>
    <row r="168" spans="1:15" ht="15.75">
      <c r="A168" s="85"/>
      <c r="B168" s="86" t="s">
        <v>116</v>
      </c>
      <c r="C168" s="87"/>
      <c r="D168" s="87"/>
      <c r="E168" s="87"/>
      <c r="F168" s="87"/>
      <c r="G168" s="87"/>
      <c r="H168" s="72"/>
      <c r="I168" s="72"/>
      <c r="J168" s="72"/>
      <c r="K168" s="152">
        <v>21.58</v>
      </c>
      <c r="L168" s="27" t="s">
        <v>188</v>
      </c>
      <c r="M168" s="27"/>
      <c r="N168" s="27"/>
      <c r="O168" s="6"/>
    </row>
    <row r="169" spans="1:15" ht="15.75">
      <c r="A169" s="85"/>
      <c r="B169" s="86" t="s">
        <v>117</v>
      </c>
      <c r="C169" s="87"/>
      <c r="D169" s="87"/>
      <c r="E169" s="87"/>
      <c r="F169" s="87"/>
      <c r="G169" s="87"/>
      <c r="H169" s="72"/>
      <c r="I169" s="72"/>
      <c r="J169" s="72"/>
      <c r="K169" s="152">
        <v>19.61</v>
      </c>
      <c r="L169" s="27" t="s">
        <v>188</v>
      </c>
      <c r="M169" s="27"/>
      <c r="N169" s="27"/>
      <c r="O169" s="6"/>
    </row>
    <row r="170" spans="1:15" ht="15.75">
      <c r="A170" s="85"/>
      <c r="B170" s="86" t="s">
        <v>118</v>
      </c>
      <c r="C170" s="87"/>
      <c r="D170" s="87"/>
      <c r="E170" s="87"/>
      <c r="F170" s="87"/>
      <c r="G170" s="87"/>
      <c r="H170" s="72"/>
      <c r="I170" s="72"/>
      <c r="J170" s="72"/>
      <c r="K170" s="88">
        <f>+G57/'May 05'!M57</f>
        <v>0.06629304656430011</v>
      </c>
      <c r="L170" s="27"/>
      <c r="M170" s="27"/>
      <c r="N170" s="27"/>
      <c r="O170" s="6"/>
    </row>
    <row r="171" spans="1:15" ht="15.75">
      <c r="A171" s="85"/>
      <c r="B171" s="86" t="s">
        <v>119</v>
      </c>
      <c r="C171" s="87"/>
      <c r="D171" s="87"/>
      <c r="E171" s="87"/>
      <c r="F171" s="87"/>
      <c r="G171" s="87"/>
      <c r="H171" s="72"/>
      <c r="I171" s="72"/>
      <c r="J171" s="72"/>
      <c r="K171" s="88">
        <v>0.1195</v>
      </c>
      <c r="L171" s="27"/>
      <c r="M171" s="27"/>
      <c r="N171" s="27"/>
      <c r="O171" s="6"/>
    </row>
    <row r="172" spans="1:15" ht="15.75">
      <c r="A172" s="85"/>
      <c r="B172" s="86"/>
      <c r="C172" s="86"/>
      <c r="D172" s="86"/>
      <c r="E172" s="86"/>
      <c r="F172" s="86"/>
      <c r="G172" s="86"/>
      <c r="H172" s="27"/>
      <c r="I172" s="27"/>
      <c r="J172" s="27"/>
      <c r="K172" s="68"/>
      <c r="L172" s="27"/>
      <c r="M172" s="91"/>
      <c r="N172" s="27"/>
      <c r="O172" s="6"/>
    </row>
    <row r="173" spans="1:15" ht="15.75">
      <c r="A173" s="92"/>
      <c r="B173" s="16" t="s">
        <v>120</v>
      </c>
      <c r="C173" s="93"/>
      <c r="D173" s="93"/>
      <c r="E173" s="94"/>
      <c r="F173" s="93"/>
      <c r="G173" s="94"/>
      <c r="H173" s="93"/>
      <c r="I173" s="94"/>
      <c r="J173" s="19" t="s">
        <v>173</v>
      </c>
      <c r="K173" s="95" t="s">
        <v>184</v>
      </c>
      <c r="L173" s="9"/>
      <c r="M173" s="9"/>
      <c r="N173" s="9"/>
      <c r="O173" s="6"/>
    </row>
    <row r="174" spans="1:15" ht="15.75">
      <c r="A174" s="96"/>
      <c r="B174" s="86" t="s">
        <v>121</v>
      </c>
      <c r="C174" s="60"/>
      <c r="D174" s="60"/>
      <c r="E174" s="60"/>
      <c r="F174" s="60"/>
      <c r="G174" s="27"/>
      <c r="H174" s="27"/>
      <c r="I174" s="27"/>
      <c r="J174" s="34">
        <v>1</v>
      </c>
      <c r="K174" s="97">
        <v>157</v>
      </c>
      <c r="L174" s="27"/>
      <c r="M174" s="91"/>
      <c r="N174" s="98"/>
      <c r="O174" s="6"/>
    </row>
    <row r="175" spans="1:15" ht="15.75">
      <c r="A175" s="96"/>
      <c r="B175" s="86" t="s">
        <v>202</v>
      </c>
      <c r="C175" s="60"/>
      <c r="D175" s="60"/>
      <c r="E175" s="60"/>
      <c r="F175" s="60"/>
      <c r="G175" s="27"/>
      <c r="H175" s="27"/>
      <c r="I175" s="27"/>
      <c r="J175" s="167">
        <f>+I213</f>
        <v>28</v>
      </c>
      <c r="K175" s="97">
        <f>+K213</f>
        <v>5738</v>
      </c>
      <c r="L175" s="27"/>
      <c r="M175" s="91"/>
      <c r="N175" s="98"/>
      <c r="O175" s="6"/>
    </row>
    <row r="176" spans="1:15" ht="15.75">
      <c r="A176" s="96"/>
      <c r="B176" s="86" t="s">
        <v>122</v>
      </c>
      <c r="C176" s="60"/>
      <c r="D176" s="60"/>
      <c r="E176" s="60"/>
      <c r="F176" s="60"/>
      <c r="G176" s="27"/>
      <c r="H176" s="27"/>
      <c r="I176" s="27"/>
      <c r="J176" s="167">
        <f>+I225</f>
        <v>0</v>
      </c>
      <c r="K176" s="97">
        <f>+K225</f>
        <v>0</v>
      </c>
      <c r="L176" s="27"/>
      <c r="M176" s="91"/>
      <c r="N176" s="98"/>
      <c r="O176" s="6"/>
    </row>
    <row r="177" spans="1:15" ht="15.75">
      <c r="A177" s="96"/>
      <c r="B177" s="142" t="s">
        <v>123</v>
      </c>
      <c r="C177" s="60"/>
      <c r="D177" s="60"/>
      <c r="E177" s="60"/>
      <c r="F177" s="60"/>
      <c r="G177" s="27"/>
      <c r="H177" s="27"/>
      <c r="I177" s="27"/>
      <c r="J177" s="27"/>
      <c r="K177" s="97">
        <v>0</v>
      </c>
      <c r="L177" s="27"/>
      <c r="M177" s="91"/>
      <c r="N177" s="98"/>
      <c r="O177" s="6"/>
    </row>
    <row r="178" spans="1:15" ht="15.75">
      <c r="A178" s="96"/>
      <c r="B178" s="142" t="s">
        <v>124</v>
      </c>
      <c r="C178" s="60"/>
      <c r="D178" s="60"/>
      <c r="E178" s="60"/>
      <c r="F178" s="60"/>
      <c r="G178" s="27"/>
      <c r="H178" s="27"/>
      <c r="I178" s="27"/>
      <c r="J178" s="27"/>
      <c r="K178" s="70" t="s">
        <v>185</v>
      </c>
      <c r="L178" s="27"/>
      <c r="M178" s="91"/>
      <c r="N178" s="98"/>
      <c r="O178" s="6"/>
    </row>
    <row r="179" spans="1:15" ht="15.75">
      <c r="A179" s="99"/>
      <c r="B179" s="142" t="s">
        <v>125</v>
      </c>
      <c r="C179" s="60"/>
      <c r="D179" s="60"/>
      <c r="E179" s="86"/>
      <c r="F179" s="86"/>
      <c r="G179" s="86"/>
      <c r="H179" s="27"/>
      <c r="I179" s="27"/>
      <c r="J179" s="27"/>
      <c r="K179" s="97"/>
      <c r="L179" s="27"/>
      <c r="M179" s="91"/>
      <c r="N179" s="100"/>
      <c r="O179" s="6"/>
    </row>
    <row r="180" spans="1:15" ht="15.75">
      <c r="A180" s="99"/>
      <c r="B180" s="150" t="s">
        <v>126</v>
      </c>
      <c r="C180" s="60"/>
      <c r="D180" s="60"/>
      <c r="E180" s="86"/>
      <c r="F180" s="86"/>
      <c r="G180" s="86"/>
      <c r="H180" s="27"/>
      <c r="I180" s="27"/>
      <c r="J180" s="27">
        <v>0</v>
      </c>
      <c r="K180" s="97">
        <f>M129</f>
        <v>0</v>
      </c>
      <c r="L180" s="27"/>
      <c r="M180" s="91"/>
      <c r="N180" s="100"/>
      <c r="O180" s="6"/>
    </row>
    <row r="181" spans="1:15" ht="15.75">
      <c r="A181" s="96"/>
      <c r="B181" s="86" t="s">
        <v>127</v>
      </c>
      <c r="C181" s="60"/>
      <c r="D181" s="60"/>
      <c r="E181" s="60"/>
      <c r="F181" s="60"/>
      <c r="G181" s="60"/>
      <c r="H181" s="27"/>
      <c r="I181" s="27"/>
      <c r="J181" s="27">
        <v>0</v>
      </c>
      <c r="K181" s="97">
        <f>+'May 05'!K181+K180</f>
        <v>0</v>
      </c>
      <c r="L181" s="27"/>
      <c r="M181" s="91"/>
      <c r="N181" s="100"/>
      <c r="O181" s="6"/>
    </row>
    <row r="182" spans="1:15" ht="15.75">
      <c r="A182" s="96"/>
      <c r="B182" s="86" t="s">
        <v>128</v>
      </c>
      <c r="C182" s="60"/>
      <c r="D182" s="60"/>
      <c r="E182" s="60"/>
      <c r="F182" s="60"/>
      <c r="G182" s="60"/>
      <c r="H182" s="27"/>
      <c r="I182" s="27"/>
      <c r="J182" s="27"/>
      <c r="K182" s="97">
        <v>0</v>
      </c>
      <c r="L182" s="27"/>
      <c r="M182" s="91"/>
      <c r="N182" s="100"/>
      <c r="O182" s="6"/>
    </row>
    <row r="183" spans="1:15" ht="15.75">
      <c r="A183" s="99"/>
      <c r="B183" s="142" t="s">
        <v>129</v>
      </c>
      <c r="C183" s="60"/>
      <c r="D183" s="60"/>
      <c r="E183" s="86"/>
      <c r="F183" s="86"/>
      <c r="G183" s="86"/>
      <c r="H183" s="27"/>
      <c r="I183" s="27"/>
      <c r="J183" s="27"/>
      <c r="K183" s="97"/>
      <c r="L183" s="27"/>
      <c r="M183" s="91"/>
      <c r="N183" s="100"/>
      <c r="O183" s="6"/>
    </row>
    <row r="184" spans="1:15" ht="15.75">
      <c r="A184" s="99"/>
      <c r="B184" s="86" t="s">
        <v>130</v>
      </c>
      <c r="C184" s="60"/>
      <c r="D184" s="60"/>
      <c r="E184" s="86"/>
      <c r="F184" s="86"/>
      <c r="G184" s="86"/>
      <c r="H184" s="27"/>
      <c r="I184" s="27"/>
      <c r="J184" s="27">
        <v>0</v>
      </c>
      <c r="K184" s="97">
        <v>0</v>
      </c>
      <c r="L184" s="27"/>
      <c r="M184" s="91"/>
      <c r="N184" s="100"/>
      <c r="O184" s="6"/>
    </row>
    <row r="185" spans="1:15" ht="15.75">
      <c r="A185" s="96"/>
      <c r="B185" s="86" t="s">
        <v>131</v>
      </c>
      <c r="C185" s="60"/>
      <c r="D185" s="60"/>
      <c r="E185" s="101"/>
      <c r="F185" s="101"/>
      <c r="G185" s="102"/>
      <c r="H185" s="27"/>
      <c r="I185" s="27"/>
      <c r="J185" s="27"/>
      <c r="K185" s="70">
        <v>0</v>
      </c>
      <c r="L185" s="27"/>
      <c r="M185" s="91"/>
      <c r="N185" s="100"/>
      <c r="O185" s="6"/>
    </row>
    <row r="186" spans="1:15" ht="15.75">
      <c r="A186" s="96"/>
      <c r="B186" s="86" t="s">
        <v>132</v>
      </c>
      <c r="C186" s="60"/>
      <c r="D186" s="60"/>
      <c r="E186" s="101"/>
      <c r="F186" s="101"/>
      <c r="G186" s="102"/>
      <c r="H186" s="27"/>
      <c r="I186" s="27"/>
      <c r="J186" s="27"/>
      <c r="K186" s="70">
        <v>0</v>
      </c>
      <c r="L186" s="27"/>
      <c r="M186" s="91"/>
      <c r="N186" s="100"/>
      <c r="O186" s="6"/>
    </row>
    <row r="187" spans="1:15" ht="15.75">
      <c r="A187" s="96"/>
      <c r="B187" s="86" t="s">
        <v>133</v>
      </c>
      <c r="C187" s="60"/>
      <c r="D187" s="60"/>
      <c r="E187" s="103"/>
      <c r="F187" s="101"/>
      <c r="G187" s="102"/>
      <c r="H187" s="27"/>
      <c r="I187" s="27"/>
      <c r="J187" s="27"/>
      <c r="K187" s="104">
        <v>0</v>
      </c>
      <c r="L187" s="27"/>
      <c r="M187" s="91"/>
      <c r="N187" s="100"/>
      <c r="O187" s="6"/>
    </row>
    <row r="188" spans="1:15" ht="15.75">
      <c r="A188" s="96"/>
      <c r="B188" s="86"/>
      <c r="C188" s="60"/>
      <c r="D188" s="60"/>
      <c r="E188" s="103"/>
      <c r="F188" s="101"/>
      <c r="G188" s="102"/>
      <c r="H188" s="27"/>
      <c r="I188" s="27"/>
      <c r="J188" s="27"/>
      <c r="K188" s="104"/>
      <c r="L188" s="27"/>
      <c r="M188" s="91"/>
      <c r="N188" s="100"/>
      <c r="O188" s="6"/>
    </row>
    <row r="189" spans="1:15" ht="18.75">
      <c r="A189" s="96"/>
      <c r="B189" s="169" t="s">
        <v>223</v>
      </c>
      <c r="C189" s="60"/>
      <c r="D189" s="60"/>
      <c r="E189" s="103"/>
      <c r="F189" s="101"/>
      <c r="G189" s="102"/>
      <c r="H189" s="27"/>
      <c r="I189" s="27"/>
      <c r="J189" s="27"/>
      <c r="K189" s="104"/>
      <c r="L189" s="27"/>
      <c r="M189" s="91"/>
      <c r="N189" s="171" t="s">
        <v>224</v>
      </c>
      <c r="O189" s="6"/>
    </row>
    <row r="190" spans="1:15" ht="15.75">
      <c r="A190" s="96"/>
      <c r="B190" s="86"/>
      <c r="C190" s="60"/>
      <c r="D190" s="60"/>
      <c r="E190" s="103"/>
      <c r="F190" s="101"/>
      <c r="G190" s="102"/>
      <c r="H190" s="27"/>
      <c r="I190" s="27"/>
      <c r="J190" s="27"/>
      <c r="K190" s="104"/>
      <c r="L190" s="27"/>
      <c r="M190" s="91"/>
      <c r="N190" s="100"/>
      <c r="O190" s="6"/>
    </row>
    <row r="191" spans="1:15" ht="15.75">
      <c r="A191" s="7"/>
      <c r="B191" s="16" t="s">
        <v>218</v>
      </c>
      <c r="C191" s="93"/>
      <c r="D191" s="93"/>
      <c r="E191" s="94"/>
      <c r="F191" s="93"/>
      <c r="G191" s="94"/>
      <c r="H191" s="93"/>
      <c r="I191" s="95" t="s">
        <v>173</v>
      </c>
      <c r="J191" s="19" t="s">
        <v>174</v>
      </c>
      <c r="K191" s="95" t="s">
        <v>186</v>
      </c>
      <c r="L191" s="19" t="s">
        <v>174</v>
      </c>
      <c r="M191" s="9"/>
      <c r="N191" s="105"/>
      <c r="O191" s="6"/>
    </row>
    <row r="192" spans="1:15" ht="15.75">
      <c r="A192" s="26"/>
      <c r="B192" s="60" t="s">
        <v>135</v>
      </c>
      <c r="C192" s="106"/>
      <c r="D192" s="106"/>
      <c r="E192" s="60"/>
      <c r="F192" s="106"/>
      <c r="G192" s="27"/>
      <c r="H192" s="106"/>
      <c r="I192" s="60">
        <v>1940</v>
      </c>
      <c r="J192" s="108">
        <f>I192/I201</f>
        <v>0.9979423868312757</v>
      </c>
      <c r="K192" s="59">
        <v>204988</v>
      </c>
      <c r="L192" s="151">
        <f>K192/K201</f>
        <v>0.9969166723405083</v>
      </c>
      <c r="M192" s="91"/>
      <c r="N192" s="100"/>
      <c r="O192" s="6"/>
    </row>
    <row r="193" spans="1:15" ht="15.75">
      <c r="A193" s="26"/>
      <c r="B193" s="60" t="s">
        <v>136</v>
      </c>
      <c r="C193" s="106"/>
      <c r="D193" s="106"/>
      <c r="E193" s="60"/>
      <c r="F193" s="106"/>
      <c r="G193" s="27"/>
      <c r="H193" s="108"/>
      <c r="I193" s="60">
        <v>3</v>
      </c>
      <c r="J193" s="108">
        <f>I193/I201</f>
        <v>0.0015432098765432098</v>
      </c>
      <c r="K193" s="59">
        <v>540</v>
      </c>
      <c r="L193" s="151">
        <f>K193/K201</f>
        <v>0.002626178132690082</v>
      </c>
      <c r="M193" s="91"/>
      <c r="N193" s="100"/>
      <c r="O193" s="6"/>
    </row>
    <row r="194" spans="1:15" ht="15.75">
      <c r="A194" s="26"/>
      <c r="B194" s="60" t="s">
        <v>137</v>
      </c>
      <c r="C194" s="106"/>
      <c r="D194" s="106"/>
      <c r="E194" s="60"/>
      <c r="F194" s="106"/>
      <c r="G194" s="27"/>
      <c r="H194" s="108"/>
      <c r="I194" s="60">
        <v>1</v>
      </c>
      <c r="J194" s="108">
        <f>I194/I201</f>
        <v>0.00051440329218107</v>
      </c>
      <c r="K194" s="59">
        <v>94</v>
      </c>
      <c r="L194" s="151">
        <f>K194/K201</f>
        <v>0.00045714952680160685</v>
      </c>
      <c r="M194" s="91"/>
      <c r="N194" s="100"/>
      <c r="O194" s="6"/>
    </row>
    <row r="195" spans="1:15" ht="15.75">
      <c r="A195" s="26"/>
      <c r="B195" s="60" t="s">
        <v>210</v>
      </c>
      <c r="C195" s="106"/>
      <c r="D195" s="106"/>
      <c r="E195" s="60"/>
      <c r="F195" s="106"/>
      <c r="G195" s="27"/>
      <c r="H195" s="108"/>
      <c r="I195" s="60">
        <v>0</v>
      </c>
      <c r="J195" s="108">
        <f>I195/I201</f>
        <v>0</v>
      </c>
      <c r="K195" s="59">
        <v>0</v>
      </c>
      <c r="L195" s="151">
        <f>K195/$K$201</f>
        <v>0</v>
      </c>
      <c r="M195" s="91"/>
      <c r="N195" s="100"/>
      <c r="O195" s="6"/>
    </row>
    <row r="196" spans="1:15" ht="15.75">
      <c r="A196" s="26"/>
      <c r="B196" s="60" t="s">
        <v>211</v>
      </c>
      <c r="C196" s="106"/>
      <c r="D196" s="106"/>
      <c r="E196" s="60"/>
      <c r="F196" s="106"/>
      <c r="G196" s="27"/>
      <c r="H196" s="108"/>
      <c r="I196" s="60">
        <v>0</v>
      </c>
      <c r="J196" s="108">
        <f>I196/$I$201</f>
        <v>0</v>
      </c>
      <c r="K196" s="59">
        <v>0</v>
      </c>
      <c r="L196" s="151">
        <f>K196/$K$201</f>
        <v>0</v>
      </c>
      <c r="M196" s="91"/>
      <c r="N196" s="100"/>
      <c r="O196" s="6"/>
    </row>
    <row r="197" spans="1:15" ht="15.75">
      <c r="A197" s="26"/>
      <c r="B197" s="60" t="s">
        <v>212</v>
      </c>
      <c r="C197" s="106"/>
      <c r="D197" s="106"/>
      <c r="E197" s="60"/>
      <c r="F197" s="106"/>
      <c r="G197" s="27"/>
      <c r="H197" s="108"/>
      <c r="I197" s="60">
        <v>0</v>
      </c>
      <c r="J197" s="108">
        <f>I197/$I$201</f>
        <v>0</v>
      </c>
      <c r="K197" s="59">
        <v>0</v>
      </c>
      <c r="L197" s="151">
        <f>K197/$K$201</f>
        <v>0</v>
      </c>
      <c r="M197" s="91"/>
      <c r="N197" s="100"/>
      <c r="O197" s="6"/>
    </row>
    <row r="198" spans="1:15" ht="15.75">
      <c r="A198" s="26"/>
      <c r="B198" s="60" t="s">
        <v>213</v>
      </c>
      <c r="C198" s="106"/>
      <c r="D198" s="106"/>
      <c r="E198" s="60"/>
      <c r="F198" s="106"/>
      <c r="G198" s="27"/>
      <c r="H198" s="108"/>
      <c r="I198" s="60">
        <v>0</v>
      </c>
      <c r="J198" s="108">
        <f>I198/$I$201</f>
        <v>0</v>
      </c>
      <c r="K198" s="59">
        <v>0</v>
      </c>
      <c r="L198" s="151">
        <f>K198/$K$201</f>
        <v>0</v>
      </c>
      <c r="M198" s="91"/>
      <c r="N198" s="100"/>
      <c r="O198" s="6"/>
    </row>
    <row r="199" spans="1:15" ht="15.75">
      <c r="A199" s="26"/>
      <c r="B199" s="60" t="s">
        <v>214</v>
      </c>
      <c r="C199" s="106"/>
      <c r="D199" s="106"/>
      <c r="E199" s="60"/>
      <c r="F199" s="106"/>
      <c r="G199" s="27"/>
      <c r="H199" s="108"/>
      <c r="I199" s="60">
        <v>0</v>
      </c>
      <c r="J199" s="108">
        <f>I199/$I$201</f>
        <v>0</v>
      </c>
      <c r="K199" s="59">
        <v>0</v>
      </c>
      <c r="L199" s="151">
        <f>K199/$K$201</f>
        <v>0</v>
      </c>
      <c r="M199" s="91"/>
      <c r="N199" s="100"/>
      <c r="O199" s="6"/>
    </row>
    <row r="200" spans="1:15" ht="15.75">
      <c r="A200" s="26"/>
      <c r="B200" s="60"/>
      <c r="C200" s="106"/>
      <c r="D200" s="106"/>
      <c r="E200" s="60"/>
      <c r="F200" s="106"/>
      <c r="G200" s="27"/>
      <c r="H200" s="108"/>
      <c r="I200" s="60"/>
      <c r="J200" s="108"/>
      <c r="K200" s="59"/>
      <c r="L200" s="151"/>
      <c r="M200" s="91"/>
      <c r="N200" s="100"/>
      <c r="O200" s="6"/>
    </row>
    <row r="201" spans="1:15" ht="15.75">
      <c r="A201" s="26"/>
      <c r="B201" s="27"/>
      <c r="C201" s="27"/>
      <c r="D201" s="27"/>
      <c r="E201" s="27"/>
      <c r="F201" s="27"/>
      <c r="G201" s="27"/>
      <c r="H201" s="27"/>
      <c r="I201" s="38">
        <f>SUM(I192:I200)</f>
        <v>1944</v>
      </c>
      <c r="J201" s="109">
        <f>SUM(J192:J200)</f>
        <v>1</v>
      </c>
      <c r="K201" s="59">
        <f>SUM(K192:K200)</f>
        <v>205622</v>
      </c>
      <c r="L201" s="109">
        <f>SUM(L192:L200)</f>
        <v>1</v>
      </c>
      <c r="M201" s="27"/>
      <c r="N201" s="27"/>
      <c r="O201" s="6"/>
    </row>
    <row r="202" spans="1:15" ht="15.75">
      <c r="A202" s="26"/>
      <c r="B202" s="27"/>
      <c r="C202" s="27"/>
      <c r="D202" s="27"/>
      <c r="E202" s="27"/>
      <c r="F202" s="27"/>
      <c r="G202" s="27"/>
      <c r="H202" s="27"/>
      <c r="I202" s="38"/>
      <c r="J202" s="109"/>
      <c r="K202" s="59"/>
      <c r="L202" s="109"/>
      <c r="M202" s="27"/>
      <c r="N202" s="27"/>
      <c r="O202" s="6"/>
    </row>
    <row r="203" spans="1:15" ht="15.75">
      <c r="A203" s="153"/>
      <c r="B203" s="16" t="s">
        <v>221</v>
      </c>
      <c r="C203" s="93"/>
      <c r="D203" s="93"/>
      <c r="E203" s="94"/>
      <c r="F203" s="93"/>
      <c r="G203" s="94"/>
      <c r="H203" s="93"/>
      <c r="I203" s="95" t="s">
        <v>173</v>
      </c>
      <c r="J203" s="19" t="s">
        <v>174</v>
      </c>
      <c r="K203" s="95" t="s">
        <v>186</v>
      </c>
      <c r="L203" s="19" t="s">
        <v>174</v>
      </c>
      <c r="M203" s="154"/>
      <c r="N203" s="155"/>
      <c r="O203" s="6"/>
    </row>
    <row r="204" spans="1:15" ht="15.75">
      <c r="A204" s="26"/>
      <c r="B204" s="60" t="s">
        <v>135</v>
      </c>
      <c r="C204" s="106"/>
      <c r="D204" s="106"/>
      <c r="E204" s="60"/>
      <c r="F204" s="106"/>
      <c r="G204" s="27"/>
      <c r="H204" s="106"/>
      <c r="I204" s="60">
        <v>21</v>
      </c>
      <c r="J204" s="108">
        <f>I204/I213</f>
        <v>0.75</v>
      </c>
      <c r="K204" s="59">
        <v>4087</v>
      </c>
      <c r="L204" s="151">
        <f>K204/K213</f>
        <v>0.7122690833042872</v>
      </c>
      <c r="M204" s="27"/>
      <c r="N204" s="27"/>
      <c r="O204" s="6"/>
    </row>
    <row r="205" spans="1:15" ht="15.75">
      <c r="A205" s="26"/>
      <c r="B205" s="60" t="s">
        <v>136</v>
      </c>
      <c r="C205" s="106"/>
      <c r="D205" s="106"/>
      <c r="E205" s="60"/>
      <c r="F205" s="106"/>
      <c r="G205" s="27"/>
      <c r="H205" s="108"/>
      <c r="I205" s="60">
        <v>5</v>
      </c>
      <c r="J205" s="108">
        <f>I205/I213</f>
        <v>0.17857142857142858</v>
      </c>
      <c r="K205" s="59">
        <v>1105</v>
      </c>
      <c r="L205" s="151">
        <f>K205/K213</f>
        <v>0.1925758103868944</v>
      </c>
      <c r="M205" s="27"/>
      <c r="N205" s="27"/>
      <c r="O205" s="6"/>
    </row>
    <row r="206" spans="1:15" ht="15.75">
      <c r="A206" s="26"/>
      <c r="B206" s="60" t="s">
        <v>137</v>
      </c>
      <c r="C206" s="106"/>
      <c r="D206" s="106"/>
      <c r="E206" s="60"/>
      <c r="F206" s="106"/>
      <c r="G206" s="27"/>
      <c r="H206" s="108"/>
      <c r="I206" s="60">
        <v>0</v>
      </c>
      <c r="J206" s="108">
        <f>I206/I213</f>
        <v>0</v>
      </c>
      <c r="K206" s="59">
        <v>0</v>
      </c>
      <c r="L206" s="151">
        <f>K206/K213</f>
        <v>0</v>
      </c>
      <c r="M206" s="27"/>
      <c r="N206" s="27"/>
      <c r="O206" s="6"/>
    </row>
    <row r="207" spans="1:15" ht="15.75">
      <c r="A207" s="26"/>
      <c r="B207" s="60" t="s">
        <v>210</v>
      </c>
      <c r="C207" s="106"/>
      <c r="D207" s="106"/>
      <c r="E207" s="60"/>
      <c r="F207" s="106"/>
      <c r="G207" s="27"/>
      <c r="H207" s="108"/>
      <c r="I207" s="60">
        <v>0</v>
      </c>
      <c r="J207" s="108">
        <f>I207/I213</f>
        <v>0</v>
      </c>
      <c r="K207" s="59">
        <v>0</v>
      </c>
      <c r="L207" s="151">
        <f>K207/$K$213</f>
        <v>0</v>
      </c>
      <c r="M207" s="27"/>
      <c r="N207" s="27"/>
      <c r="O207" s="6"/>
    </row>
    <row r="208" spans="1:15" ht="15.75">
      <c r="A208" s="26"/>
      <c r="B208" s="60" t="s">
        <v>211</v>
      </c>
      <c r="C208" s="106"/>
      <c r="D208" s="106"/>
      <c r="E208" s="60"/>
      <c r="F208" s="106"/>
      <c r="G208" s="27"/>
      <c r="H208" s="108"/>
      <c r="I208" s="60">
        <v>0</v>
      </c>
      <c r="J208" s="108">
        <f>I208/$I$213</f>
        <v>0</v>
      </c>
      <c r="K208" s="59">
        <v>0</v>
      </c>
      <c r="L208" s="151">
        <f>K208/$K$213</f>
        <v>0</v>
      </c>
      <c r="M208" s="27"/>
      <c r="N208" s="27"/>
      <c r="O208" s="6"/>
    </row>
    <row r="209" spans="1:15" ht="15.75">
      <c r="A209" s="26"/>
      <c r="B209" s="60" t="s">
        <v>212</v>
      </c>
      <c r="C209" s="106"/>
      <c r="D209" s="106"/>
      <c r="E209" s="60"/>
      <c r="F209" s="106"/>
      <c r="G209" s="27"/>
      <c r="H209" s="108"/>
      <c r="I209" s="60">
        <v>1</v>
      </c>
      <c r="J209" s="108">
        <f>I209/$I$213</f>
        <v>0.03571428571428571</v>
      </c>
      <c r="K209" s="59">
        <v>393</v>
      </c>
      <c r="L209" s="151">
        <f>K209/$K$213</f>
        <v>0.0684907633321715</v>
      </c>
      <c r="M209" s="27"/>
      <c r="N209" s="27"/>
      <c r="O209" s="6"/>
    </row>
    <row r="210" spans="1:15" ht="15.75">
      <c r="A210" s="26"/>
      <c r="B210" s="60" t="s">
        <v>213</v>
      </c>
      <c r="C210" s="106"/>
      <c r="D210" s="106"/>
      <c r="E210" s="60"/>
      <c r="F210" s="106"/>
      <c r="G210" s="27"/>
      <c r="H210" s="108"/>
      <c r="I210" s="60">
        <v>1</v>
      </c>
      <c r="J210" s="108">
        <f>I210/$I$213</f>
        <v>0.03571428571428571</v>
      </c>
      <c r="K210" s="59">
        <v>153</v>
      </c>
      <c r="L210" s="151">
        <f>K210/$K$213</f>
        <v>0.026664342976646917</v>
      </c>
      <c r="M210" s="27"/>
      <c r="N210" s="27"/>
      <c r="O210" s="6"/>
    </row>
    <row r="211" spans="1:15" ht="15.75">
      <c r="A211" s="26"/>
      <c r="B211" s="60" t="s">
        <v>214</v>
      </c>
      <c r="C211" s="106"/>
      <c r="D211" s="106"/>
      <c r="E211" s="60"/>
      <c r="F211" s="106"/>
      <c r="G211" s="27"/>
      <c r="H211" s="108"/>
      <c r="I211" s="60">
        <v>0</v>
      </c>
      <c r="J211" s="108">
        <f>I211/$I$213</f>
        <v>0</v>
      </c>
      <c r="K211" s="59">
        <v>0</v>
      </c>
      <c r="L211" s="151">
        <f>K211/$K$213</f>
        <v>0</v>
      </c>
      <c r="M211" s="27"/>
      <c r="N211" s="27"/>
      <c r="O211" s="6"/>
    </row>
    <row r="212" spans="1:15" ht="15.75">
      <c r="A212" s="26"/>
      <c r="B212" s="60"/>
      <c r="C212" s="106"/>
      <c r="D212" s="106"/>
      <c r="E212" s="60"/>
      <c r="F212" s="106"/>
      <c r="G212" s="27"/>
      <c r="H212" s="108"/>
      <c r="I212" s="60"/>
      <c r="J212" s="108"/>
      <c r="K212" s="59"/>
      <c r="L212" s="151"/>
      <c r="M212" s="27"/>
      <c r="N212" s="27"/>
      <c r="O212" s="6"/>
    </row>
    <row r="213" spans="1:16" ht="15.75">
      <c r="A213" s="156"/>
      <c r="B213" s="157"/>
      <c r="C213" s="157"/>
      <c r="D213" s="157"/>
      <c r="E213" s="157"/>
      <c r="F213" s="157"/>
      <c r="G213" s="157"/>
      <c r="H213" s="157"/>
      <c r="I213" s="158">
        <f>SUM(I204:I212)</f>
        <v>28</v>
      </c>
      <c r="J213" s="159">
        <f>SUM(J204:J212)</f>
        <v>1</v>
      </c>
      <c r="K213" s="160">
        <f>SUM(K204:K212)</f>
        <v>5738</v>
      </c>
      <c r="L213" s="159">
        <f>SUM(L204:L212)</f>
        <v>1</v>
      </c>
      <c r="M213" s="157"/>
      <c r="N213" s="161"/>
      <c r="O213" s="6"/>
      <c r="P213" s="125"/>
    </row>
    <row r="214" spans="1:15" ht="15.75">
      <c r="A214" s="162"/>
      <c r="B214" s="163"/>
      <c r="C214" s="163"/>
      <c r="D214" s="163"/>
      <c r="E214" s="163"/>
      <c r="F214" s="163"/>
      <c r="G214" s="163"/>
      <c r="H214" s="163"/>
      <c r="I214" s="164"/>
      <c r="J214" s="165"/>
      <c r="K214" s="166"/>
      <c r="L214" s="165"/>
      <c r="M214" s="163"/>
      <c r="N214" s="163"/>
      <c r="O214" s="6"/>
    </row>
    <row r="215" spans="1:15" ht="15.75">
      <c r="A215" s="153"/>
      <c r="B215" s="16" t="s">
        <v>219</v>
      </c>
      <c r="C215" s="93"/>
      <c r="D215" s="93"/>
      <c r="E215" s="94"/>
      <c r="F215" s="93"/>
      <c r="G215" s="94"/>
      <c r="H215" s="93"/>
      <c r="I215" s="95" t="s">
        <v>173</v>
      </c>
      <c r="J215" s="19" t="s">
        <v>174</v>
      </c>
      <c r="K215" s="95" t="s">
        <v>186</v>
      </c>
      <c r="L215" s="19" t="s">
        <v>174</v>
      </c>
      <c r="M215" s="154"/>
      <c r="N215" s="155"/>
      <c r="O215" s="6"/>
    </row>
    <row r="216" spans="1:15" ht="15.75">
      <c r="A216" s="26"/>
      <c r="B216" s="60" t="s">
        <v>135</v>
      </c>
      <c r="C216" s="106"/>
      <c r="D216" s="106"/>
      <c r="E216" s="60"/>
      <c r="F216" s="106"/>
      <c r="G216" s="27"/>
      <c r="H216" s="106"/>
      <c r="I216" s="60">
        <v>0</v>
      </c>
      <c r="J216" s="108">
        <v>0</v>
      </c>
      <c r="K216" s="59">
        <v>0</v>
      </c>
      <c r="L216" s="151">
        <v>0</v>
      </c>
      <c r="M216" s="27"/>
      <c r="N216" s="27"/>
      <c r="O216" s="6"/>
    </row>
    <row r="217" spans="1:15" ht="15.75">
      <c r="A217" s="26"/>
      <c r="B217" s="60" t="s">
        <v>136</v>
      </c>
      <c r="C217" s="106"/>
      <c r="D217" s="106"/>
      <c r="E217" s="60"/>
      <c r="F217" s="106"/>
      <c r="G217" s="27"/>
      <c r="H217" s="108"/>
      <c r="I217" s="60">
        <v>0</v>
      </c>
      <c r="J217" s="108">
        <v>0</v>
      </c>
      <c r="K217" s="59">
        <v>0</v>
      </c>
      <c r="L217" s="151">
        <v>0</v>
      </c>
      <c r="M217" s="27"/>
      <c r="N217" s="27"/>
      <c r="O217" s="6"/>
    </row>
    <row r="218" spans="1:15" ht="15.75">
      <c r="A218" s="26"/>
      <c r="B218" s="60" t="s">
        <v>137</v>
      </c>
      <c r="C218" s="106"/>
      <c r="D218" s="106"/>
      <c r="E218" s="60"/>
      <c r="F218" s="106"/>
      <c r="G218" s="27"/>
      <c r="H218" s="108"/>
      <c r="I218" s="60">
        <v>0</v>
      </c>
      <c r="J218" s="108">
        <v>0</v>
      </c>
      <c r="K218" s="59">
        <v>0</v>
      </c>
      <c r="L218" s="151">
        <v>0</v>
      </c>
      <c r="M218" s="27"/>
      <c r="N218" s="27"/>
      <c r="O218" s="6"/>
    </row>
    <row r="219" spans="1:15" ht="15.75">
      <c r="A219" s="26"/>
      <c r="B219" s="60" t="s">
        <v>210</v>
      </c>
      <c r="C219" s="106"/>
      <c r="D219" s="106"/>
      <c r="E219" s="60"/>
      <c r="F219" s="106"/>
      <c r="G219" s="27"/>
      <c r="H219" s="108"/>
      <c r="I219" s="60">
        <v>0</v>
      </c>
      <c r="J219" s="108">
        <v>0</v>
      </c>
      <c r="K219" s="59">
        <v>0</v>
      </c>
      <c r="L219" s="151">
        <v>0</v>
      </c>
      <c r="M219" s="27"/>
      <c r="N219" s="27"/>
      <c r="O219" s="6"/>
    </row>
    <row r="220" spans="1:15" ht="15.75">
      <c r="A220" s="26"/>
      <c r="B220" s="60" t="s">
        <v>211</v>
      </c>
      <c r="C220" s="106"/>
      <c r="D220" s="106"/>
      <c r="E220" s="60"/>
      <c r="F220" s="106"/>
      <c r="G220" s="27"/>
      <c r="H220" s="108"/>
      <c r="I220" s="60">
        <v>0</v>
      </c>
      <c r="J220" s="108">
        <v>0</v>
      </c>
      <c r="K220" s="59">
        <v>0</v>
      </c>
      <c r="L220" s="151">
        <v>0</v>
      </c>
      <c r="M220" s="27"/>
      <c r="N220" s="27"/>
      <c r="O220" s="6"/>
    </row>
    <row r="221" spans="1:15" ht="15.75">
      <c r="A221" s="26"/>
      <c r="B221" s="60" t="s">
        <v>212</v>
      </c>
      <c r="C221" s="106"/>
      <c r="D221" s="106"/>
      <c r="E221" s="60"/>
      <c r="F221" s="106"/>
      <c r="G221" s="27"/>
      <c r="H221" s="108"/>
      <c r="I221" s="60">
        <v>0</v>
      </c>
      <c r="J221" s="108">
        <v>0</v>
      </c>
      <c r="K221" s="59">
        <v>0</v>
      </c>
      <c r="L221" s="151">
        <v>0</v>
      </c>
      <c r="M221" s="27"/>
      <c r="N221" s="27"/>
      <c r="O221" s="6"/>
    </row>
    <row r="222" spans="1:15" ht="15.75">
      <c r="A222" s="26"/>
      <c r="B222" s="60" t="s">
        <v>213</v>
      </c>
      <c r="C222" s="106"/>
      <c r="D222" s="106"/>
      <c r="E222" s="60"/>
      <c r="F222" s="106"/>
      <c r="G222" s="27"/>
      <c r="H222" s="108"/>
      <c r="I222" s="60">
        <v>0</v>
      </c>
      <c r="J222" s="108">
        <v>0</v>
      </c>
      <c r="K222" s="59">
        <v>0</v>
      </c>
      <c r="L222" s="151">
        <v>0</v>
      </c>
      <c r="M222" s="27"/>
      <c r="N222" s="27"/>
      <c r="O222" s="6"/>
    </row>
    <row r="223" spans="1:15" ht="15.75">
      <c r="A223" s="26"/>
      <c r="B223" s="60" t="s">
        <v>214</v>
      </c>
      <c r="C223" s="106"/>
      <c r="D223" s="106"/>
      <c r="E223" s="60"/>
      <c r="F223" s="106"/>
      <c r="G223" s="27"/>
      <c r="H223" s="108"/>
      <c r="I223" s="60">
        <v>0</v>
      </c>
      <c r="J223" s="108">
        <v>0</v>
      </c>
      <c r="K223" s="59">
        <v>0</v>
      </c>
      <c r="L223" s="151">
        <v>0</v>
      </c>
      <c r="M223" s="27"/>
      <c r="N223" s="27"/>
      <c r="O223" s="6"/>
    </row>
    <row r="224" spans="1:15" ht="15.75">
      <c r="A224" s="26"/>
      <c r="B224" s="60"/>
      <c r="C224" s="106"/>
      <c r="D224" s="106"/>
      <c r="E224" s="60"/>
      <c r="F224" s="106"/>
      <c r="G224" s="27"/>
      <c r="H224" s="108"/>
      <c r="I224" s="60"/>
      <c r="J224" s="108"/>
      <c r="K224" s="59"/>
      <c r="L224" s="151"/>
      <c r="M224" s="27"/>
      <c r="N224" s="27"/>
      <c r="O224" s="6"/>
    </row>
    <row r="225" spans="1:15" ht="15.75">
      <c r="A225" s="156"/>
      <c r="B225" s="157"/>
      <c r="C225" s="157"/>
      <c r="D225" s="157"/>
      <c r="E225" s="157"/>
      <c r="F225" s="157"/>
      <c r="G225" s="157"/>
      <c r="H225" s="157"/>
      <c r="I225" s="158">
        <f>SUM(I216:I224)</f>
        <v>0</v>
      </c>
      <c r="J225" s="159">
        <f>SUM(J216:J224)</f>
        <v>0</v>
      </c>
      <c r="K225" s="160">
        <f>SUM(K216:K224)</f>
        <v>0</v>
      </c>
      <c r="L225" s="159">
        <f>SUM(L216:L224)</f>
        <v>0</v>
      </c>
      <c r="M225" s="157"/>
      <c r="N225" s="161"/>
      <c r="O225" s="6"/>
    </row>
    <row r="226" spans="1:15" ht="15.75">
      <c r="A226" s="156"/>
      <c r="B226" s="157"/>
      <c r="C226" s="157"/>
      <c r="D226" s="157"/>
      <c r="E226" s="157"/>
      <c r="F226" s="157"/>
      <c r="G226" s="157"/>
      <c r="H226" s="157"/>
      <c r="I226" s="158"/>
      <c r="J226" s="159"/>
      <c r="K226" s="160"/>
      <c r="L226" s="159"/>
      <c r="M226" s="157"/>
      <c r="N226" s="161"/>
      <c r="O226" s="6"/>
    </row>
    <row r="227" spans="1:15" ht="15.75">
      <c r="A227" s="156"/>
      <c r="B227" s="172" t="s">
        <v>195</v>
      </c>
      <c r="C227" s="157"/>
      <c r="D227" s="157"/>
      <c r="E227" s="157"/>
      <c r="F227" s="157"/>
      <c r="G227" s="157"/>
      <c r="H227" s="157"/>
      <c r="I227" s="158">
        <f>+I225+I213+I201</f>
        <v>1972</v>
      </c>
      <c r="J227" s="159"/>
      <c r="K227" s="160">
        <f>+K225+K213+K201</f>
        <v>211360</v>
      </c>
      <c r="L227" s="159"/>
      <c r="M227" s="157"/>
      <c r="N227" s="161"/>
      <c r="O227" s="6"/>
    </row>
    <row r="228" spans="1:15" ht="15.75">
      <c r="A228" s="162"/>
      <c r="B228" s="163"/>
      <c r="C228" s="163"/>
      <c r="D228" s="163"/>
      <c r="E228" s="163"/>
      <c r="F228" s="163"/>
      <c r="G228" s="163"/>
      <c r="H228" s="163"/>
      <c r="I228" s="164"/>
      <c r="J228" s="165"/>
      <c r="K228" s="166"/>
      <c r="L228" s="165"/>
      <c r="M228" s="163"/>
      <c r="N228" s="163"/>
      <c r="O228" s="6"/>
    </row>
    <row r="229" spans="1:15" ht="15.75">
      <c r="A229" s="148"/>
      <c r="B229" s="16" t="s">
        <v>216</v>
      </c>
      <c r="C229" s="113"/>
      <c r="D229" s="113"/>
      <c r="E229" s="19"/>
      <c r="F229" s="17"/>
      <c r="G229" s="16"/>
      <c r="H229" s="143"/>
      <c r="I229" s="143"/>
      <c r="J229" s="143"/>
      <c r="K229" s="143"/>
      <c r="L229" s="143"/>
      <c r="M229" s="143"/>
      <c r="N229" s="143"/>
      <c r="O229" s="6"/>
    </row>
    <row r="230" spans="1:15" ht="15.75">
      <c r="A230" s="148"/>
      <c r="B230" s="143"/>
      <c r="C230" s="143"/>
      <c r="D230" s="143"/>
      <c r="E230" s="9"/>
      <c r="F230" s="9"/>
      <c r="G230" s="9"/>
      <c r="H230" s="143"/>
      <c r="I230" s="143"/>
      <c r="J230" s="143"/>
      <c r="K230" s="143"/>
      <c r="L230" s="143"/>
      <c r="M230" s="143"/>
      <c r="N230" s="143"/>
      <c r="O230" s="6"/>
    </row>
    <row r="231" spans="1:15" ht="15.75">
      <c r="A231" s="148"/>
      <c r="B231" s="15" t="s">
        <v>217</v>
      </c>
      <c r="C231" s="114"/>
      <c r="D231" s="114"/>
      <c r="E231" s="115"/>
      <c r="F231" s="15"/>
      <c r="G231" s="15"/>
      <c r="H231" s="114"/>
      <c r="I231" s="114"/>
      <c r="J231" s="143"/>
      <c r="K231" s="143"/>
      <c r="L231" s="143"/>
      <c r="M231" s="143"/>
      <c r="N231" s="143"/>
      <c r="O231" s="6"/>
    </row>
    <row r="232" spans="1:15" ht="15.75">
      <c r="A232" s="148"/>
      <c r="B232" s="15" t="s">
        <v>215</v>
      </c>
      <c r="C232" s="114"/>
      <c r="D232" s="114"/>
      <c r="E232" s="115"/>
      <c r="F232" s="15"/>
      <c r="G232" s="15"/>
      <c r="H232" s="114"/>
      <c r="I232" s="114"/>
      <c r="J232" s="143"/>
      <c r="K232" s="143"/>
      <c r="L232" s="143"/>
      <c r="M232" s="143"/>
      <c r="N232" s="143"/>
      <c r="O232" s="6"/>
    </row>
    <row r="233" spans="1:15" ht="15.75">
      <c r="A233" s="148"/>
      <c r="B233" s="15"/>
      <c r="C233" s="114"/>
      <c r="D233" s="114"/>
      <c r="E233" s="115"/>
      <c r="F233" s="15"/>
      <c r="G233" s="15"/>
      <c r="H233" s="114"/>
      <c r="I233" s="114"/>
      <c r="J233" s="143"/>
      <c r="K233" s="143"/>
      <c r="L233" s="143"/>
      <c r="M233" s="143"/>
      <c r="N233" s="143"/>
      <c r="O233" s="6"/>
    </row>
    <row r="234" spans="1:15" ht="15.75">
      <c r="A234" s="148"/>
      <c r="B234" s="15"/>
      <c r="C234" s="114"/>
      <c r="D234" s="114"/>
      <c r="E234" s="115"/>
      <c r="F234" s="15"/>
      <c r="G234" s="15"/>
      <c r="H234" s="114"/>
      <c r="I234" s="114"/>
      <c r="J234" s="143"/>
      <c r="K234" s="143"/>
      <c r="L234" s="143"/>
      <c r="M234" s="143"/>
      <c r="N234" s="143"/>
      <c r="O234" s="6"/>
    </row>
    <row r="235" spans="1:15" ht="18.75">
      <c r="A235" s="148"/>
      <c r="B235" s="55" t="str">
        <f>B157</f>
        <v>PM5 INVESTOR REPORT QUARTER ENDING AUGUST 2005</v>
      </c>
      <c r="C235" s="114"/>
      <c r="D235" s="114"/>
      <c r="E235" s="115"/>
      <c r="F235" s="15"/>
      <c r="G235" s="15"/>
      <c r="H235" s="114"/>
      <c r="I235" s="114"/>
      <c r="J235" s="143"/>
      <c r="K235" s="143"/>
      <c r="L235" s="143"/>
      <c r="M235" s="143"/>
      <c r="N235" s="143"/>
      <c r="O235" s="6"/>
    </row>
    <row r="236" spans="1:14" ht="15">
      <c r="A236" s="116"/>
      <c r="B236" s="116"/>
      <c r="C236" s="116"/>
      <c r="D236" s="116"/>
      <c r="E236" s="116"/>
      <c r="F236" s="116"/>
      <c r="G236" s="116"/>
      <c r="H236" s="116"/>
      <c r="I236" s="116"/>
      <c r="J236" s="116"/>
      <c r="K236" s="116"/>
      <c r="L236" s="116"/>
      <c r="M236" s="116"/>
      <c r="N236" s="116"/>
    </row>
    <row r="238" ht="15">
      <c r="I238" s="125"/>
    </row>
  </sheetData>
  <hyperlinks>
    <hyperlink ref="N189" r:id="rId1" display="http://www.paragon-group.co.uk"/>
    <hyperlink ref="K10" r:id="rId2" display="http://www.paragon-group.co.uk"/>
  </hyperlinks>
  <printOptions horizontalCentered="1" verticalCentered="1"/>
  <pageMargins left="0.5118110236220472" right="0.5118110236220472" top="0.5118110236220472" bottom="0.5118110236220472" header="0" footer="0"/>
  <pageSetup horizontalDpi="600" verticalDpi="600" orientation="landscape" scale="43" r:id="rId4"/>
  <rowBreaks count="3" manualBreakCount="3">
    <brk id="52" max="14" man="1"/>
    <brk id="107" max="14" man="1"/>
    <brk id="157" max="14"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