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56" yWindow="240" windowWidth="12120" windowHeight="9000" firstSheet="12" activeTab="17"/>
  </bookViews>
  <sheets>
    <sheet name="May 2000" sheetId="1" r:id="rId1"/>
    <sheet name="Aug 2000" sheetId="2" r:id="rId2"/>
    <sheet name="Nov 2000" sheetId="3" r:id="rId3"/>
    <sheet name="Feb 2001" sheetId="4" r:id="rId4"/>
    <sheet name="May 2001" sheetId="5" r:id="rId5"/>
    <sheet name="Aug 2001" sheetId="6" r:id="rId6"/>
    <sheet name="Nov 2001" sheetId="7" r:id="rId7"/>
    <sheet name="Feb 2002" sheetId="8" r:id="rId8"/>
    <sheet name="May 2002" sheetId="9" r:id="rId9"/>
    <sheet name="Aug 2002" sheetId="10" r:id="rId10"/>
    <sheet name="Nov 2002" sheetId="11" r:id="rId11"/>
    <sheet name="Feb 2003" sheetId="12" r:id="rId12"/>
    <sheet name="May 2003" sheetId="13" r:id="rId13"/>
    <sheet name="Aug 2003" sheetId="14" r:id="rId14"/>
    <sheet name="Nov 2003" sheetId="15" r:id="rId15"/>
    <sheet name="Feb 2004" sheetId="16" r:id="rId16"/>
    <sheet name="May 2004" sheetId="17" r:id="rId17"/>
    <sheet name="Aug 2004" sheetId="18" r:id="rId18"/>
  </sheets>
  <definedNames>
    <definedName name="PAGE1" localSheetId="13">'Aug 2003'!$A$1:$M$51</definedName>
    <definedName name="PAGE1" localSheetId="17">'Aug 2004'!$A$1:$M$51</definedName>
    <definedName name="PAGE1" localSheetId="15">'Feb 2004'!$A$1:$M$51</definedName>
    <definedName name="PAGE1" localSheetId="16">'May 2004'!$A$1:$M$51</definedName>
    <definedName name="PAGE1" localSheetId="14">'Nov 2003'!$A$1:$M$51</definedName>
    <definedName name="PAGE1">'May 2003'!$A$1:$M$51</definedName>
    <definedName name="PAGE2" localSheetId="13">'Aug 2003'!$A$52:$M$104</definedName>
    <definedName name="PAGE2" localSheetId="17">'Aug 2004'!$A$52:$M$105</definedName>
    <definedName name="PAGE2" localSheetId="15">'Feb 2004'!$A$52:$M$104</definedName>
    <definedName name="PAGE2" localSheetId="16">'May 2004'!$A$52:$M$104</definedName>
    <definedName name="PAGE2" localSheetId="14">'Nov 2003'!$A$52:$M$104</definedName>
    <definedName name="PAGE2">'May 2003'!$A$52:$M$104</definedName>
    <definedName name="PAGE3" localSheetId="13">'Aug 2003'!$A$105:$M$153</definedName>
    <definedName name="PAGE3" localSheetId="17">'Aug 2004'!$A$106:$M$155</definedName>
    <definedName name="PAGE3" localSheetId="15">'Feb 2004'!$A$105:$M$153</definedName>
    <definedName name="PAGE3" localSheetId="16">'May 2004'!$A$105:$M$153</definedName>
    <definedName name="PAGE3" localSheetId="14">'Nov 2003'!$A$105:$M$153</definedName>
    <definedName name="PAGE3">'May 2003'!$A$105:$M$153</definedName>
    <definedName name="PAGE4" localSheetId="13">'Aug 2003'!$A$154:$M$200</definedName>
    <definedName name="PAGE4" localSheetId="17">'Aug 2004'!$A$156:$M$203</definedName>
    <definedName name="PAGE4" localSheetId="15">'Feb 2004'!$A$154:$M$201</definedName>
    <definedName name="PAGE4" localSheetId="16">'May 2004'!$A$154:$M$201</definedName>
    <definedName name="PAGE4" localSheetId="14">'Nov 2003'!$A$154:$M$200</definedName>
    <definedName name="PAGE4">'May 2003'!$A$154:$M$200</definedName>
    <definedName name="_xlnm.Print_Area" localSheetId="1">'Aug 2000'!$A$1:$N$199</definedName>
    <definedName name="_xlnm.Print_Area" localSheetId="5">'Aug 2001'!$A$1:$N$201</definedName>
    <definedName name="_xlnm.Print_Area" localSheetId="9">'Aug 2002'!$A$1:$N$201</definedName>
    <definedName name="_xlnm.Print_Area" localSheetId="13">'Aug 2003'!$A$1:$N$201</definedName>
    <definedName name="_xlnm.Print_Area" localSheetId="17">'Aug 2004'!$A$1:$N$204</definedName>
    <definedName name="_xlnm.Print_Area" localSheetId="3">'Feb 2001'!$A$1:$N$202</definedName>
    <definedName name="_xlnm.Print_Area" localSheetId="7">'Feb 2002'!$A$1:$N$201</definedName>
    <definedName name="_xlnm.Print_Area" localSheetId="11">'Feb 2003'!$A$1:$N$201</definedName>
    <definedName name="_xlnm.Print_Area" localSheetId="15">'Feb 2004'!$A$1:$N$202</definedName>
    <definedName name="_xlnm.Print_Area" localSheetId="0">'May 2000'!$A$1:$N$198</definedName>
    <definedName name="_xlnm.Print_Area" localSheetId="4">'May 2001'!$A$1:$N$201</definedName>
    <definedName name="_xlnm.Print_Area" localSheetId="8">'May 2002'!$A$1:$N$201</definedName>
    <definedName name="_xlnm.Print_Area" localSheetId="12">'May 2003'!$A$1:$N$201</definedName>
    <definedName name="_xlnm.Print_Area" localSheetId="16">'May 2004'!$A$1:$N$202</definedName>
    <definedName name="_xlnm.Print_Area" localSheetId="2">'Nov 2000'!$A$1:$N$199</definedName>
    <definedName name="_xlnm.Print_Area" localSheetId="6">'Nov 2001'!$A$1:$N$201</definedName>
    <definedName name="_xlnm.Print_Area" localSheetId="10">'Nov 2002'!$A$1:$N$201</definedName>
    <definedName name="_xlnm.Print_Area" localSheetId="14">'Nov 2003'!$A$1:$N$201</definedName>
    <definedName name="_xlnm.Print_Area">'May 2003'!$A$154:$M$200</definedName>
  </definedNames>
  <calcPr fullCalcOnLoad="1"/>
</workbook>
</file>

<file path=xl/sharedStrings.xml><?xml version="1.0" encoding="utf-8"?>
<sst xmlns="http://schemas.openxmlformats.org/spreadsheetml/2006/main" count="3917" uniqueCount="219">
  <si>
    <t>Paragon Mortgages (No. 2) PLC</t>
  </si>
  <si>
    <t>This performance report is issued by Paragon Finance PLC for and on behalf of Paragon Mortgages (No.2)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</si>
  <si>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</si>
  <si>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</si>
  <si>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</si>
  <si>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</si>
  <si>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</si>
  <si>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</si>
  <si>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Date of Issue</t>
  </si>
  <si>
    <t>Date of Production</t>
  </si>
  <si>
    <t>Security Level Data</t>
  </si>
  <si>
    <t>Moody's Rating at Closing</t>
  </si>
  <si>
    <t>Standard &amp; Poor's Rating at Closing</t>
  </si>
  <si>
    <t>Current Moody's Rating</t>
  </si>
  <si>
    <t>Current Standard &amp; Poor's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</si>
  <si>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</si>
  <si>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</si>
  <si>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</si>
  <si>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</si>
  <si>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</si>
  <si>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</si>
  <si>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</si>
  <si>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</si>
  <si>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</si>
  <si>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</si>
  <si>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Class B Notes as a percentage Class A Notes at issue</t>
  </si>
  <si>
    <t>Outstanding Class B Notes as a percentage of Outstanding Class A Notes</t>
  </si>
  <si>
    <t>Determination Event for Paying Class B Notes</t>
  </si>
  <si>
    <t>Interest Payment Cycle</t>
  </si>
  <si>
    <t>Interest Payment Date</t>
  </si>
  <si>
    <t>Previous Interest Period (No. of Days)</t>
  </si>
  <si>
    <t>Current Interest Period (No. of Days)</t>
  </si>
  <si>
    <t>Interest Calculated on</t>
  </si>
  <si>
    <t>Record Date</t>
  </si>
  <si>
    <t>PM2 INVESTOR REPORT QUARTER ENDING MAY 2000</t>
  </si>
  <si>
    <t>Asset Movements</t>
  </si>
  <si>
    <t>Mortgages</t>
  </si>
  <si>
    <t>Current Principal Balance (£'000)</t>
  </si>
  <si>
    <t>Accrued Arrears and Interest Sold to Issuer (£'000)</t>
  </si>
  <si>
    <t>Total (£'000)</t>
  </si>
  <si>
    <t>Consumer Loans</t>
  </si>
  <si>
    <t>Credit Enhancement</t>
  </si>
  <si>
    <t>Pre-Funding Reserve</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</si>
  <si>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</si>
  <si>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</si>
  <si>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</si>
  <si>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</si>
  <si>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</si>
  <si>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</si>
  <si>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</si>
  <si>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</si>
  <si>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</si>
  <si>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</si>
  <si>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</si>
  <si>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</si>
  <si>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</si>
  <si>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</si>
  <si>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</si>
  <si>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</si>
  <si>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B Note Interest</t>
  </si>
  <si>
    <t>Third Party payments for Corporation Tax and VAT</t>
  </si>
  <si>
    <t>First Loss Fund  replenishments</t>
  </si>
  <si>
    <t>PDL replenishment</t>
  </si>
  <si>
    <t>Termination Fees to Swap Provider</t>
  </si>
  <si>
    <t>Cap/Swap Retention fund</t>
  </si>
  <si>
    <t>Fee Letter to PFPLC/PML</t>
  </si>
  <si>
    <t>Surplus income</t>
  </si>
  <si>
    <t>Principal payments made from Principal Income:</t>
  </si>
  <si>
    <t>Mandatory Further Advances</t>
  </si>
  <si>
    <t>Discretionary Further Advances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</si>
  <si>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</si>
  <si>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</si>
  <si>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</si>
  <si>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</si>
  <si>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</si>
  <si>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</si>
  <si>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</si>
  <si>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</si>
  <si>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</si>
  <si>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</si>
  <si>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</si>
  <si>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</si>
  <si>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Spread Trap</t>
  </si>
  <si>
    <t>Requirement</t>
  </si>
  <si>
    <t>Build up - prior periods</t>
  </si>
  <si>
    <t>Build up - this period</t>
  </si>
  <si>
    <t>Requirement Outstanding</t>
  </si>
  <si>
    <t>Principal Deficiency Ledger (PDL)</t>
  </si>
  <si>
    <t>Opening PDL Balance</t>
  </si>
  <si>
    <t>Losses this quarter</t>
  </si>
  <si>
    <t>Total PDL balance</t>
  </si>
  <si>
    <t>PDL  replenishment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</si>
  <si>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</si>
  <si>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</si>
  <si>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</si>
  <si>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</si>
  <si>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</si>
  <si>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</si>
  <si>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</si>
  <si>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</si>
  <si>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</si>
  <si>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</si>
  <si>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</si>
  <si>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</si>
  <si>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</si>
  <si>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</si>
  <si>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</si>
  <si>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</si>
  <si>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</si>
  <si>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</si>
  <si>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</si>
  <si>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</si>
  <si>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</si>
  <si>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</si>
  <si>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 - Class A Notes</t>
  </si>
  <si>
    <t>Stated Maturity - Class B Notes</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</si>
  <si>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</si>
  <si>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</si>
  <si>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</si>
  <si>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</si>
  <si>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</si>
  <si>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</si>
  <si>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</si>
  <si>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</si>
  <si>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</si>
  <si>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</si>
  <si>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</si>
  <si>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</si>
  <si>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</si>
  <si>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</si>
  <si>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</si>
  <si>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</si>
  <si>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</si>
  <si>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</si>
  <si>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</si>
  <si>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</si>
  <si>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</si>
  <si>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</si>
  <si>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Contact Name/Address</t>
  </si>
  <si>
    <t>John Harvey, St. Catherines Court, Herbert Road, Solihull, West Midlands, B91 3QE</t>
  </si>
  <si>
    <t>Jimmy Giles, St. Catherines Court, Herbert Road, Solihull, West Midlands, B91 3QE</t>
  </si>
  <si>
    <t>Pool</t>
  </si>
  <si>
    <t>Factor</t>
  </si>
  <si>
    <t>As at Closing</t>
  </si>
  <si>
    <t>PDD =</t>
  </si>
  <si>
    <t>Last Quarter Balance</t>
  </si>
  <si>
    <t>Tel.</t>
  </si>
  <si>
    <t>0121 712 3894</t>
  </si>
  <si>
    <t>0121 712 2315</t>
  </si>
  <si>
    <t>Class A Notes</t>
  </si>
  <si>
    <t>Aaa</t>
  </si>
  <si>
    <t>AAA</t>
  </si>
  <si>
    <t>XS0108539403</t>
  </si>
  <si>
    <t>30 bp</t>
  </si>
  <si>
    <t>n/a</t>
  </si>
  <si>
    <t>March 2003</t>
  </si>
  <si>
    <t>15 March 2006</t>
  </si>
  <si>
    <t>60 bp</t>
  </si>
  <si>
    <t>This Quarter Redemptions and Repayments</t>
  </si>
  <si>
    <t>E-mail</t>
  </si>
  <si>
    <t>jharvey@paragon-group.co.uk</t>
  </si>
  <si>
    <t>jgiles@paragon-group.co.uk</t>
  </si>
  <si>
    <t>Class B Notes</t>
  </si>
  <si>
    <t>A2</t>
  </si>
  <si>
    <t>A</t>
  </si>
  <si>
    <t>XS0108539585</t>
  </si>
  <si>
    <t>87.5 bp</t>
  </si>
  <si>
    <t>175 bp</t>
  </si>
  <si>
    <t>Additions this quarter</t>
  </si>
  <si>
    <t>DFA's</t>
  </si>
  <si>
    <t>No.</t>
  </si>
  <si>
    <t>%</t>
  </si>
  <si>
    <t>Senior/Subordinate</t>
  </si>
  <si>
    <t xml:space="preserve">or the IPD falling  in March 2005, whichever is the later </t>
  </si>
  <si>
    <t>Repurchases this quarter</t>
  </si>
  <si>
    <t>Principal (£'000)</t>
  </si>
  <si>
    <t>MFA's</t>
  </si>
  <si>
    <t>June 2030</t>
  </si>
  <si>
    <t>June 2042</t>
  </si>
  <si>
    <t>£'000 Value</t>
  </si>
  <si>
    <t>£'000 Principal</t>
  </si>
  <si>
    <t>=</t>
  </si>
  <si>
    <t>years</t>
  </si>
  <si>
    <t>PM2  PLC</t>
  </si>
  <si>
    <t>Quarterly</t>
  </si>
  <si>
    <t>ACTUAL/366</t>
  </si>
  <si>
    <t>Current Principal Outstanding</t>
  </si>
  <si>
    <t>Revenue (£'000)</t>
  </si>
  <si>
    <t>Total</t>
  </si>
  <si>
    <t>x</t>
  </si>
  <si>
    <t>PM2 INVESTOR REPORT QUARTER ENDING AUGUST 2000</t>
  </si>
  <si>
    <t>0121 712 2459</t>
  </si>
  <si>
    <t>PM2 INVESTOR REPOTR QUARTER ENDING NOVEMBER 2000</t>
  </si>
  <si>
    <t>Originator % at Closing</t>
  </si>
  <si>
    <t xml:space="preserve">Originator % at the Quarter End </t>
  </si>
  <si>
    <t>PM2 INVESTOR REPORT QUARTER ENDING FEBRUARY 2001</t>
  </si>
  <si>
    <t>Recoveries</t>
  </si>
  <si>
    <t>PML</t>
  </si>
  <si>
    <t>ACTUAL/365</t>
  </si>
  <si>
    <t>PM2 INVESTOR REPORT QUARTER ENDING MAY 2001</t>
  </si>
  <si>
    <t>PM2 INVESTOR REPORT QUARTER ENDING AUGUST 2001</t>
  </si>
  <si>
    <t>PM2 INVESTOR REPORT QUARTER ENDING NOVEMBER 2001</t>
  </si>
  <si>
    <t>PM2 INVESTOR REPORT QUARTER ENDING FEBRUARY 2002</t>
  </si>
  <si>
    <t>PM2 INVESTOR REPORT QUARTER ENDING MAY 2002</t>
  </si>
  <si>
    <t>PM2 INVESTOR REPORT QUARTER ENDING AUGUST 2002</t>
  </si>
  <si>
    <t>PM2 INVESTOR REPORT QUARTER ENDING NOVEMBER 2002</t>
  </si>
  <si>
    <t>A1</t>
  </si>
  <si>
    <t>AA -</t>
  </si>
  <si>
    <t>PM2 INVESTOR REPORT QUARTER ENDING FEBRUARY 2003</t>
  </si>
  <si>
    <t>PM2 INVESTOR REPORT QUARTER ENDING MAY 2003</t>
  </si>
  <si>
    <t>PM2 INVESTOR REPORT QUARTER ENDING NOVEMBER 2000</t>
  </si>
  <si>
    <t>PM2 INVESTOR REPORT QUARTER ENDING AUGUST 2003</t>
  </si>
  <si>
    <t>PM2 INVESTOR REPORT QUARTER ENDING NOVEMBER 2003</t>
  </si>
  <si>
    <t>PM2 INVESTOR REPORT QUARTER ENDING FEBRUARY 2004</t>
  </si>
  <si>
    <t>Appointment of a Receiver of Rent</t>
  </si>
  <si>
    <t>PM2 INVESTOR REPORT QUARTER ENDING MAY 2004</t>
  </si>
  <si>
    <t>PM2 INVESTOR REPORT QUARTER ENDING AUGUST 2004</t>
  </si>
  <si>
    <t>Release of the First Fund following repayment of the Notes</t>
  </si>
  <si>
    <t>Repayment of the First Loss Fund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</si>
</sst>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0.000000"/>
    <numFmt numFmtId="174" formatCode="0.00000%"/>
    <numFmt numFmtId="175" formatCode="#,##0.0"/>
    <numFmt numFmtId="176" formatCode="0.0%"/>
  </numFmts>
  <fonts count="29">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family val="0"/>
    </font>
    <font>
      <sz val="12"/>
      <color indexed="8"/>
      <name val="Times New Roman"/>
      <family val="0"/>
    </font>
    <font>
      <b/>
      <sz val="14"/>
      <name val="Times New Roman"/>
      <family val="0"/>
    </font>
    <font>
      <b/>
      <sz val="12"/>
      <color indexed="8"/>
      <name val="Times New Roman"/>
      <family val="0"/>
    </font>
    <font>
      <b/>
      <u val="single"/>
      <sz val="12"/>
      <color indexed="8"/>
      <name val="Times New Roman"/>
      <family val="0"/>
    </font>
    <font>
      <sz val="10"/>
      <name val="Times New Roman"/>
      <family val="0"/>
    </font>
    <font>
      <sz val="12"/>
      <color indexed="12"/>
      <name val="Arial"/>
      <family val="0"/>
    </font>
    <font>
      <b/>
      <sz val="12"/>
      <color indexed="12"/>
      <name val="Arial MT"/>
      <family val="0"/>
    </font>
    <font>
      <b/>
      <sz val="12"/>
      <name val="Arial"/>
      <family val="0"/>
    </font>
    <font>
      <sz val="8"/>
      <name val="Times New Roman"/>
      <family val="0"/>
    </font>
    <font>
      <b/>
      <sz val="12"/>
      <color indexed="53"/>
      <name val="Times New Roman"/>
      <family val="1"/>
    </font>
    <font>
      <sz val="12"/>
      <color indexed="53"/>
      <name val="Times New Roman"/>
      <family val="0"/>
    </font>
    <font>
      <sz val="12"/>
      <color indexed="53"/>
      <name val="Arial"/>
      <family val="0"/>
    </font>
    <font>
      <b/>
      <u val="single"/>
      <sz val="12"/>
      <color indexed="53"/>
      <name val="Times New Roman"/>
      <family val="1"/>
    </font>
  </fonts>
  <fills count="3">
    <fill>
      <patternFill/>
    </fill>
    <fill>
      <patternFill patternType="gray125"/>
    </fill>
    <fill>
      <patternFill patternType="solid">
        <fgColor indexed="26"/>
        <bgColor indexed="64"/>
      </patternFill>
    </fill>
  </fills>
  <borders count="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2">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15"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4" fillId="2" borderId="0" xfId="0" applyNumberFormat="1" applyFont="1" applyFill="1" applyAlignment="1">
      <alignment horizontal="center" wrapText="1"/>
    </xf>
    <xf numFmtId="0" fontId="8"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4"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4"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172" fontId="4" fillId="2" borderId="5" xfId="0" applyNumberFormat="1" applyFont="1" applyFill="1" applyAlignment="1">
      <alignment horizontal="center"/>
    </xf>
    <xf numFmtId="172" fontId="4" fillId="2" borderId="5" xfId="0" applyNumberFormat="1" applyFont="1" applyFill="1" applyAlignment="1">
      <alignment/>
    </xf>
    <xf numFmtId="172" fontId="0" fillId="2" borderId="5" xfId="0" applyNumberFormat="1" applyFont="1" applyFill="1" applyAlignment="1">
      <alignment/>
    </xf>
    <xf numFmtId="3" fontId="4" fillId="2" borderId="5" xfId="0" applyNumberFormat="1" applyFont="1" applyFill="1" applyAlignment="1">
      <alignment/>
    </xf>
    <xf numFmtId="173" fontId="4" fillId="2" borderId="5" xfId="0" applyNumberFormat="1" applyFont="1" applyFill="1" applyAlignment="1">
      <alignment vertical="top"/>
    </xf>
    <xf numFmtId="173" fontId="12" fillId="2" borderId="5" xfId="0" applyNumberFormat="1" applyFont="1" applyFill="1" applyAlignment="1">
      <alignment/>
    </xf>
    <xf numFmtId="172" fontId="12" fillId="2" borderId="5" xfId="0" applyNumberFormat="1" applyFont="1" applyFill="1" applyAlignment="1">
      <alignment horizontal="center"/>
    </xf>
    <xf numFmtId="172" fontId="12" fillId="2" borderId="5" xfId="0" applyNumberFormat="1" applyFont="1" applyFill="1" applyAlignment="1">
      <alignment/>
    </xf>
    <xf numFmtId="172" fontId="15" fillId="2" borderId="5" xfId="0" applyNumberFormat="1" applyFont="1" applyFill="1" applyAlignment="1">
      <alignment/>
    </xf>
    <xf numFmtId="0" fontId="4" fillId="2" borderId="5" xfId="0" applyNumberFormat="1" applyFont="1" applyFill="1" applyAlignment="1">
      <alignment vertical="top"/>
    </xf>
    <xf numFmtId="174"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0" xfId="0" applyNumberFormat="1" applyFont="1" applyFill="1" applyAlignment="1">
      <alignment horizontal="center"/>
    </xf>
    <xf numFmtId="15" fontId="16" fillId="2" borderId="0" xfId="0" applyNumberFormat="1" applyFont="1" applyFill="1" applyAlignment="1">
      <alignment horizontal="center"/>
    </xf>
    <xf numFmtId="0" fontId="17" fillId="2" borderId="0" xfId="0" applyNumberFormat="1" applyFont="1" applyFill="1" applyAlignment="1">
      <alignment/>
    </xf>
    <xf numFmtId="0"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3" fontId="16" fillId="2" borderId="5" xfId="0" applyNumberFormat="1" applyFont="1" applyFill="1" applyAlignment="1">
      <alignment horizontal="right"/>
    </xf>
    <xf numFmtId="3" fontId="16" fillId="2" borderId="5" xfId="0" applyNumberFormat="1" applyFont="1" applyFill="1" applyAlignment="1">
      <alignment/>
    </xf>
    <xf numFmtId="3" fontId="4" fillId="2" borderId="0" xfId="0" applyNumberFormat="1" applyFont="1" applyFill="1" applyAlignment="1">
      <alignment/>
    </xf>
    <xf numFmtId="3" fontId="16" fillId="2" borderId="0" xfId="0" applyNumberFormat="1" applyFont="1" applyFill="1" applyAlignment="1">
      <alignment/>
    </xf>
    <xf numFmtId="10" fontId="0" fillId="0" borderId="3" xfId="0" applyNumberFormat="1" applyFont="1" applyAlignment="1">
      <alignment/>
    </xf>
    <xf numFmtId="0" fontId="12" fillId="2" borderId="0" xfId="0" applyNumberFormat="1" applyFont="1" applyFill="1" applyAlignment="1">
      <alignment horizontal="center"/>
    </xf>
    <xf numFmtId="15" fontId="4" fillId="2" borderId="5" xfId="0" applyNumberFormat="1" applyFont="1" applyFill="1" applyAlignment="1">
      <alignment/>
    </xf>
    <xf numFmtId="0" fontId="6" fillId="2" borderId="5" xfId="0" applyNumberFormat="1" applyFont="1" applyFill="1" applyAlignment="1">
      <alignment/>
    </xf>
    <xf numFmtId="4" fontId="16" fillId="2" borderId="5" xfId="0" applyNumberFormat="1" applyFont="1" applyFill="1" applyAlignment="1">
      <alignment horizontal="right"/>
    </xf>
    <xf numFmtId="4" fontId="4" fillId="2" borderId="2" xfId="0" applyNumberFormat="1" applyFont="1" applyFill="1" applyAlignment="1">
      <alignment horizontal="right"/>
    </xf>
    <xf numFmtId="4" fontId="4" fillId="2" borderId="5" xfId="0" applyNumberFormat="1" applyFont="1" applyFill="1" applyAlignment="1">
      <alignment horizontal="right"/>
    </xf>
    <xf numFmtId="4" fontId="4" fillId="2" borderId="5" xfId="0" applyNumberFormat="1" applyFont="1" applyFill="1" applyAlignment="1">
      <alignment/>
    </xf>
    <xf numFmtId="4" fontId="16" fillId="2" borderId="5" xfId="0" applyNumberFormat="1" applyFont="1" applyFill="1" applyAlignment="1">
      <alignment horizontal="center"/>
    </xf>
    <xf numFmtId="4" fontId="16"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4" fillId="2" borderId="0" xfId="0" applyNumberFormat="1" applyFont="1" applyFill="1" applyAlignment="1">
      <alignment/>
    </xf>
    <xf numFmtId="2" fontId="16" fillId="2" borderId="5" xfId="0" applyNumberFormat="1" applyFont="1" applyFill="1" applyAlignment="1">
      <alignment horizontal="right"/>
    </xf>
    <xf numFmtId="0" fontId="0" fillId="2" borderId="2" xfId="0" applyNumberFormat="1" applyFont="1" applyFill="1" applyAlignment="1">
      <alignment/>
    </xf>
    <xf numFmtId="0" fontId="13" fillId="2" borderId="3" xfId="0" applyNumberFormat="1" applyFont="1" applyFill="1" applyAlignment="1">
      <alignment/>
    </xf>
    <xf numFmtId="15" fontId="12" fillId="2" borderId="0" xfId="0" applyNumberFormat="1" applyFont="1" applyFill="1" applyAlignment="1">
      <alignment horizontal="centerContinuous"/>
    </xf>
    <xf numFmtId="0" fontId="4" fillId="0" borderId="3" xfId="0" applyNumberFormat="1" applyFont="1" applyAlignment="1">
      <alignment/>
    </xf>
    <xf numFmtId="0" fontId="16"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16" fillId="2" borderId="4" xfId="0" applyNumberFormat="1" applyFont="1" applyFill="1" applyAlignment="1">
      <alignment/>
    </xf>
    <xf numFmtId="0" fontId="16" fillId="2" borderId="5" xfId="0" applyNumberFormat="1" applyFont="1" applyFill="1" applyAlignment="1">
      <alignment/>
    </xf>
    <xf numFmtId="15" fontId="18" fillId="2" borderId="5" xfId="0" applyNumberFormat="1" applyFont="1" applyFill="1" applyAlignment="1">
      <alignment horizontal="centerContinuous"/>
    </xf>
    <xf numFmtId="10" fontId="16" fillId="2" borderId="5" xfId="0" applyNumberFormat="1" applyFont="1" applyFill="1" applyAlignment="1">
      <alignment horizontal="center"/>
    </xf>
    <xf numFmtId="3" fontId="16" fillId="2" borderId="5" xfId="0" applyNumberFormat="1" applyFont="1" applyFill="1" applyAlignment="1">
      <alignment horizontal="center"/>
    </xf>
    <xf numFmtId="175" fontId="16" fillId="2" borderId="5" xfId="0" applyNumberFormat="1" applyFont="1" applyFill="1" applyAlignment="1">
      <alignment horizontal="center"/>
    </xf>
    <xf numFmtId="0" fontId="4" fillId="2" borderId="5" xfId="0" applyNumberFormat="1" applyFont="1" applyFill="1" applyAlignment="1">
      <alignment/>
    </xf>
    <xf numFmtId="0" fontId="16" fillId="2" borderId="3" xfId="0" applyNumberFormat="1" applyFont="1" applyFill="1" applyAlignment="1">
      <alignment horizontal="right"/>
    </xf>
    <xf numFmtId="0" fontId="18" fillId="2" borderId="0" xfId="0" applyNumberFormat="1" applyFont="1" applyFill="1" applyAlignment="1">
      <alignment horizontal="center"/>
    </xf>
    <xf numFmtId="3" fontId="18" fillId="2" borderId="0" xfId="0" applyNumberFormat="1" applyFont="1" applyFill="1" applyAlignment="1">
      <alignment horizontal="center"/>
    </xf>
    <xf numFmtId="3" fontId="12" fillId="2" borderId="0" xfId="0" applyNumberFormat="1" applyFont="1" applyFill="1" applyAlignment="1">
      <alignment horizontal="center"/>
    </xf>
    <xf numFmtId="0" fontId="16" fillId="2" borderId="4" xfId="0" applyNumberFormat="1" applyFont="1" applyFill="1" applyAlignment="1">
      <alignment horizontal="right"/>
    </xf>
    <xf numFmtId="3" fontId="16" fillId="2" borderId="5" xfId="0" applyNumberFormat="1" applyFont="1" applyFill="1" applyAlignment="1">
      <alignment horizontal="center"/>
    </xf>
    <xf numFmtId="3" fontId="18" fillId="2" borderId="5" xfId="0" applyNumberFormat="1" applyFont="1" applyFill="1" applyAlignment="1">
      <alignment/>
    </xf>
    <xf numFmtId="0" fontId="16" fillId="2" borderId="4" xfId="0" applyNumberFormat="1" applyFont="1" applyFill="1" applyAlignment="1">
      <alignment horizontal="center"/>
    </xf>
    <xf numFmtId="0" fontId="18" fillId="2" borderId="5" xfId="0" applyNumberFormat="1" applyFont="1" applyFill="1" applyAlignment="1">
      <alignment/>
    </xf>
    <xf numFmtId="0" fontId="16" fillId="2" borderId="5" xfId="0" applyNumberFormat="1" applyFont="1" applyFill="1" applyAlignment="1">
      <alignment horizontal="right"/>
    </xf>
    <xf numFmtId="4" fontId="16" fillId="2" borderId="5" xfId="0" applyNumberFormat="1" applyFont="1" applyFill="1" applyAlignment="1">
      <alignment horizontal="right"/>
    </xf>
    <xf numFmtId="9" fontId="16" fillId="2" borderId="5" xfId="0" applyNumberFormat="1" applyFont="1" applyFill="1" applyAlignment="1">
      <alignment horizontal="right"/>
    </xf>
    <xf numFmtId="10" fontId="16" fillId="2" borderId="5" xfId="0" applyNumberFormat="1" applyFont="1" applyFill="1" applyAlignment="1">
      <alignment horizontal="center"/>
    </xf>
    <xf numFmtId="0" fontId="18" fillId="2" borderId="0" xfId="0" applyNumberFormat="1" applyFont="1" applyFill="1" applyAlignment="1">
      <alignment/>
    </xf>
    <xf numFmtId="176" fontId="16" fillId="2" borderId="5" xfId="0" applyNumberFormat="1" applyFont="1" applyFill="1" applyAlignment="1">
      <alignment/>
    </xf>
    <xf numFmtId="176" fontId="4" fillId="2" borderId="5" xfId="0" applyNumberFormat="1" applyFont="1" applyFill="1" applyAlignment="1">
      <alignment/>
    </xf>
    <xf numFmtId="10" fontId="16" fillId="2" borderId="5" xfId="0" applyNumberFormat="1" applyFont="1" applyFill="1" applyAlignment="1">
      <alignment/>
    </xf>
    <xf numFmtId="10" fontId="18" fillId="2" borderId="5" xfId="0" applyNumberFormat="1" applyFont="1" applyFill="1" applyAlignment="1">
      <alignment/>
    </xf>
    <xf numFmtId="9" fontId="4" fillId="2" borderId="5" xfId="0" applyNumberFormat="1" applyFont="1" applyFill="1" applyAlignment="1">
      <alignment/>
    </xf>
    <xf numFmtId="0" fontId="20" fillId="0" borderId="3" xfId="0" applyNumberFormat="1" applyFont="1" applyAlignment="1">
      <alignment/>
    </xf>
    <xf numFmtId="0" fontId="20" fillId="0" borderId="0" xfId="0" applyNumberFormat="1" applyFont="1" applyAlignment="1">
      <alignment/>
    </xf>
    <xf numFmtId="9" fontId="4" fillId="2" borderId="0" xfId="0" applyNumberFormat="1" applyFont="1" applyFill="1" applyAlignment="1">
      <alignment/>
    </xf>
    <xf numFmtId="3" fontId="16" fillId="2" borderId="0" xfId="0" applyNumberFormat="1" applyFont="1" applyFill="1" applyAlignment="1">
      <alignment horizontal="right"/>
    </xf>
    <xf numFmtId="0" fontId="21" fillId="2" borderId="3" xfId="0" applyNumberFormat="1" applyFont="1" applyFill="1" applyAlignment="1">
      <alignment/>
    </xf>
    <xf numFmtId="0" fontId="22" fillId="2" borderId="0" xfId="0" applyNumberFormat="1" applyFont="1" applyFill="1" applyAlignment="1">
      <alignment horizontal="center"/>
    </xf>
    <xf numFmtId="0" fontId="21" fillId="2" borderId="0" xfId="0" applyNumberFormat="1" applyFont="1" applyFill="1" applyAlignment="1">
      <alignment/>
    </xf>
    <xf numFmtId="0" fontId="0" fillId="2" borderId="3" xfId="0" applyNumberFormat="1" applyFont="1" applyFill="1" applyAlignment="1">
      <alignment/>
    </xf>
    <xf numFmtId="0" fontId="23" fillId="2" borderId="0" xfId="0" applyNumberFormat="1" applyFont="1" applyFill="1" applyAlignment="1">
      <alignment/>
    </xf>
    <xf numFmtId="0" fontId="11" fillId="2" borderId="0" xfId="0" applyNumberFormat="1" applyFont="1" applyFill="1" applyAlignment="1">
      <alignment horizontal="center"/>
    </xf>
    <xf numFmtId="0" fontId="0" fillId="0" borderId="2" xfId="0" applyNumberFormat="1" applyFont="1" applyAlignment="1">
      <alignment/>
    </xf>
    <xf numFmtId="0" fontId="23" fillId="0" borderId="2" xfId="0" applyNumberFormat="1" applyFont="1" applyAlignment="1">
      <alignment/>
    </xf>
    <xf numFmtId="0" fontId="24" fillId="0" borderId="0" xfId="0" applyNumberFormat="1" applyFont="1" applyAlignment="1">
      <alignment horizontal="right"/>
    </xf>
    <xf numFmtId="0" fontId="4" fillId="0" borderId="0" xfId="0" applyNumberFormat="1" applyFont="1" applyAlignment="1">
      <alignment horizontal="right"/>
    </xf>
    <xf numFmtId="0" fontId="0" fillId="0" borderId="3" xfId="0" applyNumberFormat="1" applyAlignment="1">
      <alignment/>
    </xf>
    <xf numFmtId="0" fontId="0" fillId="0" borderId="2" xfId="0" applyNumberFormat="1" applyAlignment="1">
      <alignment/>
    </xf>
    <xf numFmtId="9" fontId="12" fillId="2" borderId="0" xfId="0" applyNumberFormat="1" applyFont="1" applyFill="1" applyAlignment="1">
      <alignment horizontal="center"/>
    </xf>
    <xf numFmtId="174" fontId="4" fillId="2" borderId="5" xfId="0" applyNumberFormat="1" applyFont="1" applyFill="1" applyAlignment="1">
      <alignment/>
    </xf>
    <xf numFmtId="174" fontId="4" fillId="2" borderId="5" xfId="0" applyNumberFormat="1" applyFont="1" applyFill="1" applyAlignment="1">
      <alignment horizontal="right"/>
    </xf>
    <xf numFmtId="0" fontId="4" fillId="2" borderId="6" xfId="0" applyNumberFormat="1" applyFont="1" applyFill="1" applyBorder="1" applyAlignment="1">
      <alignment/>
    </xf>
    <xf numFmtId="0" fontId="17" fillId="2" borderId="7" xfId="0" applyNumberFormat="1" applyFont="1" applyFill="1" applyBorder="1" applyAlignment="1">
      <alignment/>
    </xf>
    <xf numFmtId="0" fontId="4" fillId="2" borderId="7" xfId="0" applyNumberFormat="1" applyFont="1" applyFill="1" applyBorder="1" applyAlignment="1">
      <alignment/>
    </xf>
    <xf numFmtId="15" fontId="16" fillId="2" borderId="7" xfId="0" applyNumberFormat="1" applyFont="1" applyFill="1" applyBorder="1" applyAlignment="1">
      <alignment horizontal="center"/>
    </xf>
    <xf numFmtId="15" fontId="16" fillId="2" borderId="7" xfId="0" applyNumberFormat="1" applyFont="1" applyFill="1" applyBorder="1" applyAlignment="1">
      <alignment horizontal="center"/>
    </xf>
    <xf numFmtId="0" fontId="4" fillId="2" borderId="8" xfId="0" applyNumberFormat="1" applyFont="1" applyFill="1" applyBorder="1" applyAlignment="1">
      <alignment/>
    </xf>
    <xf numFmtId="4" fontId="4" fillId="2" borderId="7" xfId="0" applyNumberFormat="1" applyFont="1" applyFill="1" applyBorder="1" applyAlignment="1">
      <alignment horizontal="right"/>
    </xf>
    <xf numFmtId="0" fontId="11" fillId="2" borderId="7" xfId="0" applyNumberFormat="1" applyFont="1" applyFill="1" applyBorder="1" applyAlignment="1">
      <alignment/>
    </xf>
    <xf numFmtId="0" fontId="0" fillId="2" borderId="0" xfId="0" applyNumberFormat="1" applyFont="1" applyFill="1" applyAlignment="1">
      <alignment/>
    </xf>
    <xf numFmtId="0" fontId="0" fillId="2" borderId="5" xfId="0" applyNumberFormat="1" applyFont="1" applyFill="1" applyAlignment="1">
      <alignment/>
    </xf>
    <xf numFmtId="172" fontId="0" fillId="2" borderId="5" xfId="0" applyNumberFormat="1" applyFont="1" applyFill="1" applyAlignment="1">
      <alignment/>
    </xf>
    <xf numFmtId="0" fontId="0" fillId="2" borderId="2" xfId="0" applyNumberFormat="1" applyFont="1" applyFill="1" applyAlignment="1">
      <alignment/>
    </xf>
    <xf numFmtId="0" fontId="0" fillId="2" borderId="3" xfId="0" applyNumberFormat="1" applyFont="1" applyFill="1" applyAlignment="1">
      <alignment/>
    </xf>
    <xf numFmtId="3" fontId="0" fillId="0" borderId="0" xfId="0" applyNumberFormat="1" applyFont="1" applyAlignment="1">
      <alignment/>
    </xf>
    <xf numFmtId="0" fontId="25" fillId="2" borderId="0" xfId="0" applyNumberFormat="1" applyFont="1" applyFill="1" applyAlignment="1">
      <alignment/>
    </xf>
    <xf numFmtId="0" fontId="25" fillId="2" borderId="0" xfId="0" applyNumberFormat="1" applyFont="1" applyFill="1" applyAlignment="1">
      <alignment horizontal="center"/>
    </xf>
    <xf numFmtId="0" fontId="25" fillId="2" borderId="0" xfId="0" applyNumberFormat="1" applyFont="1" applyFill="1" applyAlignment="1">
      <alignment horizontal="center" wrapText="1"/>
    </xf>
    <xf numFmtId="0" fontId="26" fillId="2" borderId="3" xfId="0" applyNumberFormat="1" applyFont="1" applyFill="1" applyAlignment="1">
      <alignment/>
    </xf>
    <xf numFmtId="0" fontId="25" fillId="2" borderId="0" xfId="0" applyNumberFormat="1" applyFont="1" applyFill="1" applyAlignment="1">
      <alignment horizontal="left" vertical="top" wrapText="1"/>
    </xf>
    <xf numFmtId="0" fontId="25" fillId="2" borderId="0" xfId="0" applyNumberFormat="1" applyFont="1" applyFill="1" applyAlignment="1">
      <alignment horizontal="center" vertical="top" wrapText="1"/>
    </xf>
    <xf numFmtId="4" fontId="25" fillId="2" borderId="0" xfId="0" applyNumberFormat="1" applyFont="1" applyFill="1" applyAlignment="1">
      <alignment horizontal="center" vertical="top" wrapText="1"/>
    </xf>
    <xf numFmtId="0" fontId="26" fillId="2" borderId="0" xfId="0" applyNumberFormat="1" applyFont="1" applyFill="1" applyAlignment="1">
      <alignment/>
    </xf>
    <xf numFmtId="0" fontId="27" fillId="0" borderId="3" xfId="0" applyNumberFormat="1" applyFont="1" applyAlignment="1">
      <alignment/>
    </xf>
    <xf numFmtId="0" fontId="27" fillId="0" borderId="0" xfId="0" applyNumberFormat="1" applyFont="1" applyAlignment="1">
      <alignment/>
    </xf>
    <xf numFmtId="0" fontId="28" fillId="2" borderId="5" xfId="0" applyNumberFormat="1" applyFont="1" applyFill="1" applyAlignment="1">
      <alignment/>
    </xf>
    <xf numFmtId="0" fontId="28" fillId="2" borderId="0" xfId="0" applyNumberFormat="1" applyFont="1" applyFill="1" applyAlignment="1">
      <alignment/>
    </xf>
    <xf numFmtId="0" fontId="25" fillId="2" borderId="0" xfId="0" applyNumberFormat="1" applyFont="1" applyFill="1" applyAlignment="1">
      <alignment horizontal="right"/>
    </xf>
    <xf numFmtId="4" fontId="25" fillId="2" borderId="0" xfId="0" applyNumberFormat="1" applyFont="1" applyFill="1" applyAlignment="1">
      <alignment horizontal="right"/>
    </xf>
    <xf numFmtId="0" fontId="25" fillId="2" borderId="5" xfId="0" applyNumberFormat="1" applyFont="1" applyFill="1" applyAlignment="1">
      <alignment/>
    </xf>
    <xf numFmtId="0" fontId="27" fillId="0" borderId="3" xfId="0" applyNumberFormat="1" applyFont="1" applyAlignment="1">
      <alignment/>
    </xf>
    <xf numFmtId="0" fontId="26" fillId="2" borderId="0" xfId="0" applyNumberFormat="1" applyFont="1" applyFill="1" applyAlignment="1">
      <alignment horizontal="center" wrapText="1"/>
    </xf>
    <xf numFmtId="173" fontId="4" fillId="2" borderId="5" xfId="0" applyNumberFormat="1" applyFont="1" applyFill="1" applyAlignment="1">
      <alignment horizontal="center"/>
    </xf>
    <xf numFmtId="173" fontId="12" fillId="2" borderId="5" xfId="0" applyNumberFormat="1"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180975</xdr:rowOff>
    </xdr:from>
    <xdr:to>
      <xdr:col>1</xdr:col>
      <xdr:colOff>9525</xdr:colOff>
      <xdr:row>48</xdr:row>
      <xdr:rowOff>219075</xdr:rowOff>
    </xdr:to>
    <xdr:pic>
      <xdr:nvPicPr>
        <xdr:cNvPr id="1" name="Picture 1"/>
        <xdr:cNvPicPr preferRelativeResize="1">
          <a:picLocks noChangeAspect="1"/>
        </xdr:cNvPicPr>
      </xdr:nvPicPr>
      <xdr:blipFill>
        <a:blip r:link="rId1"/>
        <a:stretch>
          <a:fillRect/>
        </a:stretch>
      </xdr:blipFill>
      <xdr:spPr>
        <a:xfrm>
          <a:off x="9525" y="9363075"/>
          <a:ext cx="314325" cy="238125"/>
        </a:xfrm>
        <a:prstGeom prst="rect">
          <a:avLst/>
        </a:prstGeom>
        <a:noFill/>
        <a:ln w="9525" cmpd="sng">
          <a:noFill/>
        </a:ln>
      </xdr:spPr>
    </xdr:pic>
    <xdr:clientData/>
  </xdr:twoCellAnchor>
  <xdr:twoCellAnchor>
    <xdr:from>
      <xdr:col>0</xdr:col>
      <xdr:colOff>28575</xdr:colOff>
      <xdr:row>101</xdr:row>
      <xdr:rowOff>0</xdr:rowOff>
    </xdr:from>
    <xdr:to>
      <xdr:col>1</xdr:col>
      <xdr:colOff>28575</xdr:colOff>
      <xdr:row>101</xdr:row>
      <xdr:rowOff>200025</xdr:rowOff>
    </xdr:to>
    <xdr:pic>
      <xdr:nvPicPr>
        <xdr:cNvPr id="2" name="Picture 2"/>
        <xdr:cNvPicPr preferRelativeResize="1">
          <a:picLocks noChangeAspect="1"/>
        </xdr:cNvPicPr>
      </xdr:nvPicPr>
      <xdr:blipFill>
        <a:blip r:link="rId1"/>
        <a:stretch>
          <a:fillRect/>
        </a:stretch>
      </xdr:blipFill>
      <xdr:spPr>
        <a:xfrm>
          <a:off x="28575" y="20545425"/>
          <a:ext cx="314325" cy="200025"/>
        </a:xfrm>
        <a:prstGeom prst="rect">
          <a:avLst/>
        </a:prstGeom>
        <a:noFill/>
        <a:ln w="9525" cmpd="sng">
          <a:noFill/>
        </a:ln>
      </xdr:spPr>
    </xdr:pic>
    <xdr:clientData/>
  </xdr:twoCellAnchor>
  <xdr:twoCellAnchor>
    <xdr:from>
      <xdr:col>0</xdr:col>
      <xdr:colOff>57150</xdr:colOff>
      <xdr:row>148</xdr:row>
      <xdr:rowOff>190500</xdr:rowOff>
    </xdr:from>
    <xdr:to>
      <xdr:col>1</xdr:col>
      <xdr:colOff>57150</xdr:colOff>
      <xdr:row>149</xdr:row>
      <xdr:rowOff>180975</xdr:rowOff>
    </xdr:to>
    <xdr:pic>
      <xdr:nvPicPr>
        <xdr:cNvPr id="3" name="Picture 3"/>
        <xdr:cNvPicPr preferRelativeResize="1">
          <a:picLocks noChangeAspect="1"/>
        </xdr:cNvPicPr>
      </xdr:nvPicPr>
      <xdr:blipFill>
        <a:blip r:link="rId1"/>
        <a:stretch>
          <a:fillRect/>
        </a:stretch>
      </xdr:blipFill>
      <xdr:spPr>
        <a:xfrm>
          <a:off x="57150" y="29613225"/>
          <a:ext cx="314325" cy="190500"/>
        </a:xfrm>
        <a:prstGeom prst="rect">
          <a:avLst/>
        </a:prstGeom>
        <a:noFill/>
        <a:ln w="9525" cmpd="sng">
          <a:noFill/>
        </a:ln>
      </xdr:spPr>
    </xdr:pic>
    <xdr:clientData/>
  </xdr:twoCellAnchor>
  <xdr:twoCellAnchor>
    <xdr:from>
      <xdr:col>0</xdr:col>
      <xdr:colOff>9525</xdr:colOff>
      <xdr:row>195</xdr:row>
      <xdr:rowOff>152400</xdr:rowOff>
    </xdr:from>
    <xdr:to>
      <xdr:col>1</xdr:col>
      <xdr:colOff>9525</xdr:colOff>
      <xdr:row>196</xdr:row>
      <xdr:rowOff>190500</xdr:rowOff>
    </xdr:to>
    <xdr:pic>
      <xdr:nvPicPr>
        <xdr:cNvPr id="4" name="Picture 4"/>
        <xdr:cNvPicPr preferRelativeResize="1">
          <a:picLocks noChangeAspect="1"/>
        </xdr:cNvPicPr>
      </xdr:nvPicPr>
      <xdr:blipFill>
        <a:blip r:link="rId1"/>
        <a:stretch>
          <a:fillRect/>
        </a:stretch>
      </xdr:blipFill>
      <xdr:spPr>
        <a:xfrm>
          <a:off x="9525" y="39023925"/>
          <a:ext cx="314325" cy="238125"/>
        </a:xfrm>
        <a:prstGeom prst="rect">
          <a:avLst/>
        </a:prstGeom>
        <a:noFill/>
        <a:ln w="9525" cmpd="sng">
          <a:noFill/>
        </a:ln>
      </xdr:spPr>
    </xdr:pic>
    <xdr:clientData/>
  </xdr:twoCellAnchor>
  <xdr:twoCellAnchor>
    <xdr:from>
      <xdr:col>12</xdr:col>
      <xdr:colOff>1895475</xdr:colOff>
      <xdr:row>195</xdr:row>
      <xdr:rowOff>133350</xdr:rowOff>
    </xdr:from>
    <xdr:to>
      <xdr:col>12</xdr:col>
      <xdr:colOff>2695575</xdr:colOff>
      <xdr:row>196</xdr:row>
      <xdr:rowOff>161925</xdr:rowOff>
    </xdr:to>
    <xdr:pic>
      <xdr:nvPicPr>
        <xdr:cNvPr id="5" name="Picture 5"/>
        <xdr:cNvPicPr preferRelativeResize="1">
          <a:picLocks noChangeAspect="1"/>
        </xdr:cNvPicPr>
      </xdr:nvPicPr>
      <xdr:blipFill>
        <a:blip r:link="rId2"/>
        <a:stretch>
          <a:fillRect/>
        </a:stretch>
      </xdr:blipFill>
      <xdr:spPr>
        <a:xfrm>
          <a:off x="15954375" y="39004875"/>
          <a:ext cx="800100" cy="228600"/>
        </a:xfrm>
        <a:prstGeom prst="rect">
          <a:avLst/>
        </a:prstGeom>
        <a:noFill/>
        <a:ln w="9525" cmpd="sng">
          <a:noFill/>
        </a:ln>
      </xdr:spPr>
    </xdr:pic>
    <xdr:clientData/>
  </xdr:twoCellAnchor>
  <xdr:twoCellAnchor>
    <xdr:from>
      <xdr:col>12</xdr:col>
      <xdr:colOff>1990725</xdr:colOff>
      <xdr:row>149</xdr:row>
      <xdr:rowOff>0</xdr:rowOff>
    </xdr:from>
    <xdr:to>
      <xdr:col>12</xdr:col>
      <xdr:colOff>2790825</xdr:colOff>
      <xdr:row>149</xdr:row>
      <xdr:rowOff>114300</xdr:rowOff>
    </xdr:to>
    <xdr:pic>
      <xdr:nvPicPr>
        <xdr:cNvPr id="6" name="Picture 6"/>
        <xdr:cNvPicPr preferRelativeResize="1">
          <a:picLocks noChangeAspect="1"/>
        </xdr:cNvPicPr>
      </xdr:nvPicPr>
      <xdr:blipFill>
        <a:blip r:link="rId2"/>
        <a:stretch>
          <a:fillRect/>
        </a:stretch>
      </xdr:blipFill>
      <xdr:spPr>
        <a:xfrm>
          <a:off x="16049625" y="29622750"/>
          <a:ext cx="800100" cy="114300"/>
        </a:xfrm>
        <a:prstGeom prst="rect">
          <a:avLst/>
        </a:prstGeom>
        <a:noFill/>
        <a:ln w="9525" cmpd="sng">
          <a:noFill/>
        </a:ln>
      </xdr:spPr>
    </xdr:pic>
    <xdr:clientData/>
  </xdr:twoCellAnchor>
  <xdr:twoCellAnchor>
    <xdr:from>
      <xdr:col>12</xdr:col>
      <xdr:colOff>1990725</xdr:colOff>
      <xdr:row>100</xdr:row>
      <xdr:rowOff>28575</xdr:rowOff>
    </xdr:from>
    <xdr:to>
      <xdr:col>12</xdr:col>
      <xdr:colOff>2790825</xdr:colOff>
      <xdr:row>101</xdr:row>
      <xdr:rowOff>104775</xdr:rowOff>
    </xdr:to>
    <xdr:pic>
      <xdr:nvPicPr>
        <xdr:cNvPr id="7" name="Picture 7"/>
        <xdr:cNvPicPr preferRelativeResize="1">
          <a:picLocks noChangeAspect="1"/>
        </xdr:cNvPicPr>
      </xdr:nvPicPr>
      <xdr:blipFill>
        <a:blip r:link="rId2"/>
        <a:stretch>
          <a:fillRect/>
        </a:stretch>
      </xdr:blipFill>
      <xdr:spPr>
        <a:xfrm>
          <a:off x="16049625" y="20459700"/>
          <a:ext cx="800100" cy="190500"/>
        </a:xfrm>
        <a:prstGeom prst="rect">
          <a:avLst/>
        </a:prstGeom>
        <a:noFill/>
        <a:ln w="9525" cmpd="sng">
          <a:noFill/>
        </a:ln>
      </xdr:spPr>
    </xdr:pic>
    <xdr:clientData/>
  </xdr:twoCellAnchor>
  <xdr:twoCellAnchor>
    <xdr:from>
      <xdr:col>12</xdr:col>
      <xdr:colOff>2028825</xdr:colOff>
      <xdr:row>47</xdr:row>
      <xdr:rowOff>123825</xdr:rowOff>
    </xdr:from>
    <xdr:to>
      <xdr:col>12</xdr:col>
      <xdr:colOff>2828925</xdr:colOff>
      <xdr:row>48</xdr:row>
      <xdr:rowOff>152400</xdr:rowOff>
    </xdr:to>
    <xdr:pic>
      <xdr:nvPicPr>
        <xdr:cNvPr id="8" name="Picture 8"/>
        <xdr:cNvPicPr preferRelativeResize="1">
          <a:picLocks noChangeAspect="1"/>
        </xdr:cNvPicPr>
      </xdr:nvPicPr>
      <xdr:blipFill>
        <a:blip r:link="rId2"/>
        <a:stretch>
          <a:fillRect/>
        </a:stretch>
      </xdr:blipFill>
      <xdr:spPr>
        <a:xfrm>
          <a:off x="16087725" y="9305925"/>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198</xdr:row>
      <xdr:rowOff>85725</xdr:rowOff>
    </xdr:from>
    <xdr:to>
      <xdr:col>1</xdr:col>
      <xdr:colOff>0</xdr:colOff>
      <xdr:row>199</xdr:row>
      <xdr:rowOff>123825</xdr:rowOff>
    </xdr:to>
    <xdr:pic>
      <xdr:nvPicPr>
        <xdr:cNvPr id="1" name="Picture 1"/>
        <xdr:cNvPicPr preferRelativeResize="1">
          <a:picLocks noChangeAspect="1"/>
        </xdr:cNvPicPr>
      </xdr:nvPicPr>
      <xdr:blipFill>
        <a:blip r:link="rId1"/>
        <a:stretch>
          <a:fillRect/>
        </a:stretch>
      </xdr:blipFill>
      <xdr:spPr>
        <a:xfrm>
          <a:off x="0" y="39366825"/>
          <a:ext cx="314325" cy="238125"/>
        </a:xfrm>
        <a:prstGeom prst="rect">
          <a:avLst/>
        </a:prstGeom>
        <a:noFill/>
        <a:ln w="9525" cmpd="sng">
          <a:noFill/>
        </a:ln>
      </xdr:spPr>
    </xdr:pic>
    <xdr:clientData/>
  </xdr:twoCellAnchor>
  <xdr:twoCellAnchor>
    <xdr:from>
      <xdr:col>0</xdr:col>
      <xdr:colOff>9525</xdr:colOff>
      <xdr:row>151</xdr:row>
      <xdr:rowOff>85725</xdr:rowOff>
    </xdr:from>
    <xdr:to>
      <xdr:col>1</xdr:col>
      <xdr:colOff>9525</xdr:colOff>
      <xdr:row>152</xdr:row>
      <xdr:rowOff>161925</xdr:rowOff>
    </xdr:to>
    <xdr:pic>
      <xdr:nvPicPr>
        <xdr:cNvPr id="2" name="Picture 2"/>
        <xdr:cNvPicPr preferRelativeResize="1">
          <a:picLocks noChangeAspect="1"/>
        </xdr:cNvPicPr>
      </xdr:nvPicPr>
      <xdr:blipFill>
        <a:blip r:link="rId1"/>
        <a:stretch>
          <a:fillRect/>
        </a:stretch>
      </xdr:blipFill>
      <xdr:spPr>
        <a:xfrm>
          <a:off x="9525" y="29994225"/>
          <a:ext cx="314325" cy="238125"/>
        </a:xfrm>
        <a:prstGeom prst="rect">
          <a:avLst/>
        </a:prstGeom>
        <a:noFill/>
        <a:ln w="9525" cmpd="sng">
          <a:noFill/>
        </a:ln>
      </xdr:spPr>
    </xdr:pic>
    <xdr:clientData/>
  </xdr:twoCellAnchor>
  <xdr:twoCellAnchor>
    <xdr:from>
      <xdr:col>0</xdr:col>
      <xdr:colOff>57150</xdr:colOff>
      <xdr:row>102</xdr:row>
      <xdr:rowOff>9525</xdr:rowOff>
    </xdr:from>
    <xdr:to>
      <xdr:col>1</xdr:col>
      <xdr:colOff>57150</xdr:colOff>
      <xdr:row>103</xdr:row>
      <xdr:rowOff>152400</xdr:rowOff>
    </xdr:to>
    <xdr:pic>
      <xdr:nvPicPr>
        <xdr:cNvPr id="3" name="Picture 3"/>
        <xdr:cNvPicPr preferRelativeResize="1">
          <a:picLocks noChangeAspect="1"/>
        </xdr:cNvPicPr>
      </xdr:nvPicPr>
      <xdr:blipFill>
        <a:blip r:link="rId1"/>
        <a:stretch>
          <a:fillRect/>
        </a:stretch>
      </xdr:blipFill>
      <xdr:spPr>
        <a:xfrm>
          <a:off x="57150" y="20802600"/>
          <a:ext cx="314325" cy="238125"/>
        </a:xfrm>
        <a:prstGeom prst="rect">
          <a:avLst/>
        </a:prstGeom>
        <a:noFill/>
        <a:ln w="9525" cmpd="sng">
          <a:noFill/>
        </a:ln>
      </xdr:spPr>
    </xdr:pic>
    <xdr:clientData/>
  </xdr:twoCellAnchor>
  <xdr:twoCellAnchor>
    <xdr:from>
      <xdr:col>0</xdr:col>
      <xdr:colOff>0</xdr:colOff>
      <xdr:row>49</xdr:row>
      <xdr:rowOff>161925</xdr:rowOff>
    </xdr:from>
    <xdr:to>
      <xdr:col>1</xdr:col>
      <xdr:colOff>0</xdr:colOff>
      <xdr:row>50</xdr:row>
      <xdr:rowOff>200025</xdr:rowOff>
    </xdr:to>
    <xdr:pic>
      <xdr:nvPicPr>
        <xdr:cNvPr id="4" name="Picture 4"/>
        <xdr:cNvPicPr preferRelativeResize="1">
          <a:picLocks noChangeAspect="1"/>
        </xdr:cNvPicPr>
      </xdr:nvPicPr>
      <xdr:blipFill>
        <a:blip r:link="rId1"/>
        <a:stretch>
          <a:fillRect/>
        </a:stretch>
      </xdr:blipFill>
      <xdr:spPr>
        <a:xfrm>
          <a:off x="0" y="9744075"/>
          <a:ext cx="314325" cy="238125"/>
        </a:xfrm>
        <a:prstGeom prst="rect">
          <a:avLst/>
        </a:prstGeom>
        <a:noFill/>
        <a:ln w="9525" cmpd="sng">
          <a:noFill/>
        </a:ln>
      </xdr:spPr>
    </xdr:pic>
    <xdr:clientData/>
  </xdr:twoCellAnchor>
  <xdr:twoCellAnchor>
    <xdr:from>
      <xdr:col>12</xdr:col>
      <xdr:colOff>1581150</xdr:colOff>
      <xdr:row>49</xdr:row>
      <xdr:rowOff>152400</xdr:rowOff>
    </xdr:from>
    <xdr:to>
      <xdr:col>12</xdr:col>
      <xdr:colOff>2381250</xdr:colOff>
      <xdr:row>50</xdr:row>
      <xdr:rowOff>180975</xdr:rowOff>
    </xdr:to>
    <xdr:pic>
      <xdr:nvPicPr>
        <xdr:cNvPr id="5" name="Picture 5"/>
        <xdr:cNvPicPr preferRelativeResize="1">
          <a:picLocks noChangeAspect="1"/>
        </xdr:cNvPicPr>
      </xdr:nvPicPr>
      <xdr:blipFill>
        <a:blip r:link="rId2"/>
        <a:stretch>
          <a:fillRect/>
        </a:stretch>
      </xdr:blipFill>
      <xdr:spPr>
        <a:xfrm>
          <a:off x="15678150" y="9734550"/>
          <a:ext cx="800100" cy="228600"/>
        </a:xfrm>
        <a:prstGeom prst="rect">
          <a:avLst/>
        </a:prstGeom>
        <a:noFill/>
        <a:ln w="9525" cmpd="sng">
          <a:noFill/>
        </a:ln>
      </xdr:spPr>
    </xdr:pic>
    <xdr:clientData/>
  </xdr:twoCellAnchor>
  <xdr:twoCellAnchor>
    <xdr:from>
      <xdr:col>12</xdr:col>
      <xdr:colOff>1609725</xdr:colOff>
      <xdr:row>102</xdr:row>
      <xdr:rowOff>0</xdr:rowOff>
    </xdr:from>
    <xdr:to>
      <xdr:col>12</xdr:col>
      <xdr:colOff>2409825</xdr:colOff>
      <xdr:row>103</xdr:row>
      <xdr:rowOff>133350</xdr:rowOff>
    </xdr:to>
    <xdr:pic>
      <xdr:nvPicPr>
        <xdr:cNvPr id="6" name="Picture 6"/>
        <xdr:cNvPicPr preferRelativeResize="1">
          <a:picLocks noChangeAspect="1"/>
        </xdr:cNvPicPr>
      </xdr:nvPicPr>
      <xdr:blipFill>
        <a:blip r:link="rId2"/>
        <a:stretch>
          <a:fillRect/>
        </a:stretch>
      </xdr:blipFill>
      <xdr:spPr>
        <a:xfrm>
          <a:off x="15706725" y="20793075"/>
          <a:ext cx="800100" cy="228600"/>
        </a:xfrm>
        <a:prstGeom prst="rect">
          <a:avLst/>
        </a:prstGeom>
        <a:noFill/>
        <a:ln w="9525" cmpd="sng">
          <a:noFill/>
        </a:ln>
      </xdr:spPr>
    </xdr:pic>
    <xdr:clientData/>
  </xdr:twoCellAnchor>
  <xdr:twoCellAnchor>
    <xdr:from>
      <xdr:col>12</xdr:col>
      <xdr:colOff>1657350</xdr:colOff>
      <xdr:row>151</xdr:row>
      <xdr:rowOff>57150</xdr:rowOff>
    </xdr:from>
    <xdr:to>
      <xdr:col>12</xdr:col>
      <xdr:colOff>2457450</xdr:colOff>
      <xdr:row>152</xdr:row>
      <xdr:rowOff>123825</xdr:rowOff>
    </xdr:to>
    <xdr:pic>
      <xdr:nvPicPr>
        <xdr:cNvPr id="7" name="Picture 7"/>
        <xdr:cNvPicPr preferRelativeResize="1">
          <a:picLocks noChangeAspect="1"/>
        </xdr:cNvPicPr>
      </xdr:nvPicPr>
      <xdr:blipFill>
        <a:blip r:link="rId2"/>
        <a:stretch>
          <a:fillRect/>
        </a:stretch>
      </xdr:blipFill>
      <xdr:spPr>
        <a:xfrm>
          <a:off x="15754350" y="29965650"/>
          <a:ext cx="800100" cy="228600"/>
        </a:xfrm>
        <a:prstGeom prst="rect">
          <a:avLst/>
        </a:prstGeom>
        <a:noFill/>
        <a:ln w="9525" cmpd="sng">
          <a:noFill/>
        </a:ln>
      </xdr:spPr>
    </xdr:pic>
    <xdr:clientData/>
  </xdr:twoCellAnchor>
  <xdr:twoCellAnchor>
    <xdr:from>
      <xdr:col>12</xdr:col>
      <xdr:colOff>1619250</xdr:colOff>
      <xdr:row>198</xdr:row>
      <xdr:rowOff>0</xdr:rowOff>
    </xdr:from>
    <xdr:to>
      <xdr:col>12</xdr:col>
      <xdr:colOff>2419350</xdr:colOff>
      <xdr:row>199</xdr:row>
      <xdr:rowOff>28575</xdr:rowOff>
    </xdr:to>
    <xdr:pic>
      <xdr:nvPicPr>
        <xdr:cNvPr id="8" name="Picture 8"/>
        <xdr:cNvPicPr preferRelativeResize="1">
          <a:picLocks noChangeAspect="1"/>
        </xdr:cNvPicPr>
      </xdr:nvPicPr>
      <xdr:blipFill>
        <a:blip r:link="rId2"/>
        <a:stretch>
          <a:fillRect/>
        </a:stretch>
      </xdr:blipFill>
      <xdr:spPr>
        <a:xfrm>
          <a:off x="15716250" y="39281100"/>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180975</xdr:rowOff>
    </xdr:from>
    <xdr:to>
      <xdr:col>1</xdr:col>
      <xdr:colOff>0</xdr:colOff>
      <xdr:row>50</xdr:row>
      <xdr:rowOff>219075</xdr:rowOff>
    </xdr:to>
    <xdr:pic>
      <xdr:nvPicPr>
        <xdr:cNvPr id="1" name="Picture 1"/>
        <xdr:cNvPicPr preferRelativeResize="1">
          <a:picLocks noChangeAspect="1"/>
        </xdr:cNvPicPr>
      </xdr:nvPicPr>
      <xdr:blipFill>
        <a:blip r:link="rId1"/>
        <a:stretch>
          <a:fillRect/>
        </a:stretch>
      </xdr:blipFill>
      <xdr:spPr>
        <a:xfrm>
          <a:off x="0" y="9763125"/>
          <a:ext cx="314325" cy="238125"/>
        </a:xfrm>
        <a:prstGeom prst="rect">
          <a:avLst/>
        </a:prstGeom>
        <a:noFill/>
        <a:ln w="9525" cmpd="sng">
          <a:noFill/>
        </a:ln>
      </xdr:spPr>
    </xdr:pic>
    <xdr:clientData/>
  </xdr:twoCellAnchor>
  <xdr:twoCellAnchor>
    <xdr:from>
      <xdr:col>0</xdr:col>
      <xdr:colOff>28575</xdr:colOff>
      <xdr:row>102</xdr:row>
      <xdr:rowOff>57150</xdr:rowOff>
    </xdr:from>
    <xdr:to>
      <xdr:col>1</xdr:col>
      <xdr:colOff>28575</xdr:colOff>
      <xdr:row>103</xdr:row>
      <xdr:rowOff>200025</xdr:rowOff>
    </xdr:to>
    <xdr:pic>
      <xdr:nvPicPr>
        <xdr:cNvPr id="2" name="Picture 2"/>
        <xdr:cNvPicPr preferRelativeResize="1">
          <a:picLocks noChangeAspect="1"/>
        </xdr:cNvPicPr>
      </xdr:nvPicPr>
      <xdr:blipFill>
        <a:blip r:link="rId1"/>
        <a:stretch>
          <a:fillRect/>
        </a:stretch>
      </xdr:blipFill>
      <xdr:spPr>
        <a:xfrm>
          <a:off x="28575" y="20850225"/>
          <a:ext cx="314325" cy="238125"/>
        </a:xfrm>
        <a:prstGeom prst="rect">
          <a:avLst/>
        </a:prstGeom>
        <a:noFill/>
        <a:ln w="9525" cmpd="sng">
          <a:noFill/>
        </a:ln>
      </xdr:spPr>
    </xdr:pic>
    <xdr:clientData/>
  </xdr:twoCellAnchor>
  <xdr:twoCellAnchor>
    <xdr:from>
      <xdr:col>0</xdr:col>
      <xdr:colOff>38100</xdr:colOff>
      <xdr:row>151</xdr:row>
      <xdr:rowOff>66675</xdr:rowOff>
    </xdr:from>
    <xdr:to>
      <xdr:col>1</xdr:col>
      <xdr:colOff>38100</xdr:colOff>
      <xdr:row>152</xdr:row>
      <xdr:rowOff>142875</xdr:rowOff>
    </xdr:to>
    <xdr:pic>
      <xdr:nvPicPr>
        <xdr:cNvPr id="3" name="Picture 3"/>
        <xdr:cNvPicPr preferRelativeResize="1">
          <a:picLocks noChangeAspect="1"/>
        </xdr:cNvPicPr>
      </xdr:nvPicPr>
      <xdr:blipFill>
        <a:blip r:link="rId1"/>
        <a:stretch>
          <a:fillRect/>
        </a:stretch>
      </xdr:blipFill>
      <xdr:spPr>
        <a:xfrm>
          <a:off x="38100" y="29975175"/>
          <a:ext cx="314325" cy="238125"/>
        </a:xfrm>
        <a:prstGeom prst="rect">
          <a:avLst/>
        </a:prstGeom>
        <a:noFill/>
        <a:ln w="9525" cmpd="sng">
          <a:noFill/>
        </a:ln>
      </xdr:spPr>
    </xdr:pic>
    <xdr:clientData/>
  </xdr:twoCellAnchor>
  <xdr:twoCellAnchor>
    <xdr:from>
      <xdr:col>0</xdr:col>
      <xdr:colOff>9525</xdr:colOff>
      <xdr:row>198</xdr:row>
      <xdr:rowOff>85725</xdr:rowOff>
    </xdr:from>
    <xdr:to>
      <xdr:col>1</xdr:col>
      <xdr:colOff>9525</xdr:colOff>
      <xdr:row>199</xdr:row>
      <xdr:rowOff>123825</xdr:rowOff>
    </xdr:to>
    <xdr:pic>
      <xdr:nvPicPr>
        <xdr:cNvPr id="4" name="Picture 4"/>
        <xdr:cNvPicPr preferRelativeResize="1">
          <a:picLocks noChangeAspect="1"/>
        </xdr:cNvPicPr>
      </xdr:nvPicPr>
      <xdr:blipFill>
        <a:blip r:link="rId1"/>
        <a:stretch>
          <a:fillRect/>
        </a:stretch>
      </xdr:blipFill>
      <xdr:spPr>
        <a:xfrm>
          <a:off x="9525" y="39366825"/>
          <a:ext cx="314325" cy="238125"/>
        </a:xfrm>
        <a:prstGeom prst="rect">
          <a:avLst/>
        </a:prstGeom>
        <a:noFill/>
        <a:ln w="9525" cmpd="sng">
          <a:noFill/>
        </a:ln>
      </xdr:spPr>
    </xdr:pic>
    <xdr:clientData/>
  </xdr:twoCellAnchor>
  <xdr:twoCellAnchor>
    <xdr:from>
      <xdr:col>12</xdr:col>
      <xdr:colOff>2105025</xdr:colOff>
      <xdr:row>198</xdr:row>
      <xdr:rowOff>95250</xdr:rowOff>
    </xdr:from>
    <xdr:to>
      <xdr:col>12</xdr:col>
      <xdr:colOff>2905125</xdr:colOff>
      <xdr:row>199</xdr:row>
      <xdr:rowOff>123825</xdr:rowOff>
    </xdr:to>
    <xdr:pic>
      <xdr:nvPicPr>
        <xdr:cNvPr id="5" name="Picture 5"/>
        <xdr:cNvPicPr preferRelativeResize="1">
          <a:picLocks noChangeAspect="1"/>
        </xdr:cNvPicPr>
      </xdr:nvPicPr>
      <xdr:blipFill>
        <a:blip r:link="rId2"/>
        <a:stretch>
          <a:fillRect/>
        </a:stretch>
      </xdr:blipFill>
      <xdr:spPr>
        <a:xfrm>
          <a:off x="16163925" y="39376350"/>
          <a:ext cx="800100" cy="228600"/>
        </a:xfrm>
        <a:prstGeom prst="rect">
          <a:avLst/>
        </a:prstGeom>
        <a:noFill/>
        <a:ln w="9525" cmpd="sng">
          <a:noFill/>
        </a:ln>
      </xdr:spPr>
    </xdr:pic>
    <xdr:clientData/>
  </xdr:twoCellAnchor>
  <xdr:twoCellAnchor>
    <xdr:from>
      <xdr:col>12</xdr:col>
      <xdr:colOff>2152650</xdr:colOff>
      <xdr:row>151</xdr:row>
      <xdr:rowOff>28575</xdr:rowOff>
    </xdr:from>
    <xdr:to>
      <xdr:col>12</xdr:col>
      <xdr:colOff>2952750</xdr:colOff>
      <xdr:row>152</xdr:row>
      <xdr:rowOff>95250</xdr:rowOff>
    </xdr:to>
    <xdr:pic>
      <xdr:nvPicPr>
        <xdr:cNvPr id="6" name="Picture 6"/>
        <xdr:cNvPicPr preferRelativeResize="1">
          <a:picLocks noChangeAspect="1"/>
        </xdr:cNvPicPr>
      </xdr:nvPicPr>
      <xdr:blipFill>
        <a:blip r:link="rId2"/>
        <a:stretch>
          <a:fillRect/>
        </a:stretch>
      </xdr:blipFill>
      <xdr:spPr>
        <a:xfrm>
          <a:off x="16211550" y="29937075"/>
          <a:ext cx="800100" cy="228600"/>
        </a:xfrm>
        <a:prstGeom prst="rect">
          <a:avLst/>
        </a:prstGeom>
        <a:noFill/>
        <a:ln w="9525" cmpd="sng">
          <a:noFill/>
        </a:ln>
      </xdr:spPr>
    </xdr:pic>
    <xdr:clientData/>
  </xdr:twoCellAnchor>
  <xdr:twoCellAnchor>
    <xdr:from>
      <xdr:col>12</xdr:col>
      <xdr:colOff>2152650</xdr:colOff>
      <xdr:row>102</xdr:row>
      <xdr:rowOff>0</xdr:rowOff>
    </xdr:from>
    <xdr:to>
      <xdr:col>12</xdr:col>
      <xdr:colOff>2952750</xdr:colOff>
      <xdr:row>103</xdr:row>
      <xdr:rowOff>133350</xdr:rowOff>
    </xdr:to>
    <xdr:pic>
      <xdr:nvPicPr>
        <xdr:cNvPr id="7" name="Picture 7"/>
        <xdr:cNvPicPr preferRelativeResize="1">
          <a:picLocks noChangeAspect="1"/>
        </xdr:cNvPicPr>
      </xdr:nvPicPr>
      <xdr:blipFill>
        <a:blip r:link="rId2"/>
        <a:stretch>
          <a:fillRect/>
        </a:stretch>
      </xdr:blipFill>
      <xdr:spPr>
        <a:xfrm>
          <a:off x="16211550" y="20793075"/>
          <a:ext cx="800100" cy="228600"/>
        </a:xfrm>
        <a:prstGeom prst="rect">
          <a:avLst/>
        </a:prstGeom>
        <a:noFill/>
        <a:ln w="9525" cmpd="sng">
          <a:noFill/>
        </a:ln>
      </xdr:spPr>
    </xdr:pic>
    <xdr:clientData/>
  </xdr:twoCellAnchor>
  <xdr:twoCellAnchor>
    <xdr:from>
      <xdr:col>12</xdr:col>
      <xdr:colOff>2152650</xdr:colOff>
      <xdr:row>49</xdr:row>
      <xdr:rowOff>95250</xdr:rowOff>
    </xdr:from>
    <xdr:to>
      <xdr:col>12</xdr:col>
      <xdr:colOff>2952750</xdr:colOff>
      <xdr:row>50</xdr:row>
      <xdr:rowOff>123825</xdr:rowOff>
    </xdr:to>
    <xdr:pic>
      <xdr:nvPicPr>
        <xdr:cNvPr id="8" name="Picture 8"/>
        <xdr:cNvPicPr preferRelativeResize="1">
          <a:picLocks noChangeAspect="1"/>
        </xdr:cNvPicPr>
      </xdr:nvPicPr>
      <xdr:blipFill>
        <a:blip r:link="rId2"/>
        <a:stretch>
          <a:fillRect/>
        </a:stretch>
      </xdr:blipFill>
      <xdr:spPr>
        <a:xfrm>
          <a:off x="16211550" y="9677400"/>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67875"/>
          <a:ext cx="314325" cy="238125"/>
        </a:xfrm>
        <a:prstGeom prst="rect">
          <a:avLst/>
        </a:prstGeom>
        <a:noFill/>
        <a:ln w="9525" cmpd="sng">
          <a:noFill/>
        </a:ln>
      </xdr:spPr>
    </xdr:pic>
    <xdr:clientData/>
  </xdr:twoCellAnchor>
  <xdr:twoCellAnchor>
    <xdr:from>
      <xdr:col>0</xdr:col>
      <xdr:colOff>57150</xdr:colOff>
      <xdr:row>102</xdr:row>
      <xdr:rowOff>76200</xdr:rowOff>
    </xdr:from>
    <xdr:to>
      <xdr:col>1</xdr:col>
      <xdr:colOff>57150</xdr:colOff>
      <xdr:row>104</xdr:row>
      <xdr:rowOff>0</xdr:rowOff>
    </xdr:to>
    <xdr:pic>
      <xdr:nvPicPr>
        <xdr:cNvPr id="2" name="Picture 2"/>
        <xdr:cNvPicPr preferRelativeResize="1">
          <a:picLocks noChangeAspect="1"/>
        </xdr:cNvPicPr>
      </xdr:nvPicPr>
      <xdr:blipFill>
        <a:blip r:link="rId1"/>
        <a:stretch>
          <a:fillRect/>
        </a:stretch>
      </xdr:blipFill>
      <xdr:spPr>
        <a:xfrm>
          <a:off x="57150" y="20831175"/>
          <a:ext cx="314325" cy="247650"/>
        </a:xfrm>
        <a:prstGeom prst="rect">
          <a:avLst/>
        </a:prstGeom>
        <a:noFill/>
        <a:ln w="9525" cmpd="sng">
          <a:noFill/>
        </a:ln>
      </xdr:spPr>
    </xdr:pic>
    <xdr:clientData/>
  </xdr:twoCellAnchor>
  <xdr:twoCellAnchor>
    <xdr:from>
      <xdr:col>0</xdr:col>
      <xdr:colOff>28575</xdr:colOff>
      <xdr:row>151</xdr:row>
      <xdr:rowOff>85725</xdr:rowOff>
    </xdr:from>
    <xdr:to>
      <xdr:col>1</xdr:col>
      <xdr:colOff>28575</xdr:colOff>
      <xdr:row>152</xdr:row>
      <xdr:rowOff>161925</xdr:rowOff>
    </xdr:to>
    <xdr:pic>
      <xdr:nvPicPr>
        <xdr:cNvPr id="3" name="Picture 3"/>
        <xdr:cNvPicPr preferRelativeResize="1">
          <a:picLocks noChangeAspect="1"/>
        </xdr:cNvPicPr>
      </xdr:nvPicPr>
      <xdr:blipFill>
        <a:blip r:link="rId1"/>
        <a:stretch>
          <a:fillRect/>
        </a:stretch>
      </xdr:blipFill>
      <xdr:spPr>
        <a:xfrm>
          <a:off x="28575" y="29956125"/>
          <a:ext cx="314325" cy="238125"/>
        </a:xfrm>
        <a:prstGeom prst="rect">
          <a:avLst/>
        </a:prstGeom>
        <a:noFill/>
        <a:ln w="9525" cmpd="sng">
          <a:noFill/>
        </a:ln>
      </xdr:spPr>
    </xdr:pic>
    <xdr:clientData/>
  </xdr:twoCellAnchor>
  <xdr:twoCellAnchor>
    <xdr:from>
      <xdr:col>0</xdr:col>
      <xdr:colOff>38100</xdr:colOff>
      <xdr:row>198</xdr:row>
      <xdr:rowOff>66675</xdr:rowOff>
    </xdr:from>
    <xdr:to>
      <xdr:col>1</xdr:col>
      <xdr:colOff>38100</xdr:colOff>
      <xdr:row>199</xdr:row>
      <xdr:rowOff>104775</xdr:rowOff>
    </xdr:to>
    <xdr:pic>
      <xdr:nvPicPr>
        <xdr:cNvPr id="4" name="Picture 4"/>
        <xdr:cNvPicPr preferRelativeResize="1">
          <a:picLocks noChangeAspect="1"/>
        </xdr:cNvPicPr>
      </xdr:nvPicPr>
      <xdr:blipFill>
        <a:blip r:link="rId1"/>
        <a:stretch>
          <a:fillRect/>
        </a:stretch>
      </xdr:blipFill>
      <xdr:spPr>
        <a:xfrm>
          <a:off x="38100" y="39309675"/>
          <a:ext cx="314325" cy="238125"/>
        </a:xfrm>
        <a:prstGeom prst="rect">
          <a:avLst/>
        </a:prstGeom>
        <a:noFill/>
        <a:ln w="9525" cmpd="sng">
          <a:noFill/>
        </a:ln>
      </xdr:spPr>
    </xdr:pic>
    <xdr:clientData/>
  </xdr:twoCellAnchor>
  <xdr:twoCellAnchor>
    <xdr:from>
      <xdr:col>12</xdr:col>
      <xdr:colOff>2181225</xdr:colOff>
      <xdr:row>198</xdr:row>
      <xdr:rowOff>123825</xdr:rowOff>
    </xdr:from>
    <xdr:to>
      <xdr:col>12</xdr:col>
      <xdr:colOff>2981325</xdr:colOff>
      <xdr:row>199</xdr:row>
      <xdr:rowOff>152400</xdr:rowOff>
    </xdr:to>
    <xdr:pic>
      <xdr:nvPicPr>
        <xdr:cNvPr id="5" name="Picture 5"/>
        <xdr:cNvPicPr preferRelativeResize="1">
          <a:picLocks noChangeAspect="1"/>
        </xdr:cNvPicPr>
      </xdr:nvPicPr>
      <xdr:blipFill>
        <a:blip r:link="rId2"/>
        <a:stretch>
          <a:fillRect/>
        </a:stretch>
      </xdr:blipFill>
      <xdr:spPr>
        <a:xfrm>
          <a:off x="16240125" y="39366825"/>
          <a:ext cx="800100" cy="228600"/>
        </a:xfrm>
        <a:prstGeom prst="rect">
          <a:avLst/>
        </a:prstGeom>
        <a:noFill/>
        <a:ln w="9525" cmpd="sng">
          <a:noFill/>
        </a:ln>
      </xdr:spPr>
    </xdr:pic>
    <xdr:clientData/>
  </xdr:twoCellAnchor>
  <xdr:twoCellAnchor>
    <xdr:from>
      <xdr:col>12</xdr:col>
      <xdr:colOff>2200275</xdr:colOff>
      <xdr:row>151</xdr:row>
      <xdr:rowOff>57150</xdr:rowOff>
    </xdr:from>
    <xdr:to>
      <xdr:col>12</xdr:col>
      <xdr:colOff>3000375</xdr:colOff>
      <xdr:row>152</xdr:row>
      <xdr:rowOff>123825</xdr:rowOff>
    </xdr:to>
    <xdr:pic>
      <xdr:nvPicPr>
        <xdr:cNvPr id="6" name="Picture 6"/>
        <xdr:cNvPicPr preferRelativeResize="1">
          <a:picLocks noChangeAspect="1"/>
        </xdr:cNvPicPr>
      </xdr:nvPicPr>
      <xdr:blipFill>
        <a:blip r:link="rId2"/>
        <a:stretch>
          <a:fillRect/>
        </a:stretch>
      </xdr:blipFill>
      <xdr:spPr>
        <a:xfrm>
          <a:off x="16259175" y="29927550"/>
          <a:ext cx="800100" cy="228600"/>
        </a:xfrm>
        <a:prstGeom prst="rect">
          <a:avLst/>
        </a:prstGeom>
        <a:noFill/>
        <a:ln w="9525" cmpd="sng">
          <a:noFill/>
        </a:ln>
      </xdr:spPr>
    </xdr:pic>
    <xdr:clientData/>
  </xdr:twoCellAnchor>
  <xdr:twoCellAnchor>
    <xdr:from>
      <xdr:col>12</xdr:col>
      <xdr:colOff>2181225</xdr:colOff>
      <xdr:row>102</xdr:row>
      <xdr:rowOff>28575</xdr:rowOff>
    </xdr:from>
    <xdr:to>
      <xdr:col>12</xdr:col>
      <xdr:colOff>2981325</xdr:colOff>
      <xdr:row>103</xdr:row>
      <xdr:rowOff>161925</xdr:rowOff>
    </xdr:to>
    <xdr:pic>
      <xdr:nvPicPr>
        <xdr:cNvPr id="7" name="Picture 7"/>
        <xdr:cNvPicPr preferRelativeResize="1">
          <a:picLocks noChangeAspect="1"/>
        </xdr:cNvPicPr>
      </xdr:nvPicPr>
      <xdr:blipFill>
        <a:blip r:link="rId2"/>
        <a:stretch>
          <a:fillRect/>
        </a:stretch>
      </xdr:blipFill>
      <xdr:spPr>
        <a:xfrm>
          <a:off x="16240125" y="20783550"/>
          <a:ext cx="800100" cy="228600"/>
        </a:xfrm>
        <a:prstGeom prst="rect">
          <a:avLst/>
        </a:prstGeom>
        <a:noFill/>
        <a:ln w="9525" cmpd="sng">
          <a:noFill/>
        </a:ln>
      </xdr:spPr>
    </xdr:pic>
    <xdr:clientData/>
  </xdr:twoCellAnchor>
  <xdr:twoCellAnchor>
    <xdr:from>
      <xdr:col>12</xdr:col>
      <xdr:colOff>2247900</xdr:colOff>
      <xdr:row>49</xdr:row>
      <xdr:rowOff>57150</xdr:rowOff>
    </xdr:from>
    <xdr:to>
      <xdr:col>12</xdr:col>
      <xdr:colOff>3048000</xdr:colOff>
      <xdr:row>50</xdr:row>
      <xdr:rowOff>85725</xdr:rowOff>
    </xdr:to>
    <xdr:pic>
      <xdr:nvPicPr>
        <xdr:cNvPr id="8" name="Picture 8"/>
        <xdr:cNvPicPr preferRelativeResize="1">
          <a:picLocks noChangeAspect="1"/>
        </xdr:cNvPicPr>
      </xdr:nvPicPr>
      <xdr:blipFill>
        <a:blip r:link="rId2"/>
        <a:stretch>
          <a:fillRect/>
        </a:stretch>
      </xdr:blipFill>
      <xdr:spPr>
        <a:xfrm>
          <a:off x="16306800" y="9639300"/>
          <a:ext cx="8001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152400</xdr:rowOff>
    </xdr:from>
    <xdr:to>
      <xdr:col>1</xdr:col>
      <xdr:colOff>9525</xdr:colOff>
      <xdr:row>50</xdr:row>
      <xdr:rowOff>190500</xdr:rowOff>
    </xdr:to>
    <xdr:pic>
      <xdr:nvPicPr>
        <xdr:cNvPr id="1" name="Picture 1"/>
        <xdr:cNvPicPr preferRelativeResize="1">
          <a:picLocks noChangeAspect="1"/>
        </xdr:cNvPicPr>
      </xdr:nvPicPr>
      <xdr:blipFill>
        <a:blip r:link="rId1"/>
        <a:stretch>
          <a:fillRect/>
        </a:stretch>
      </xdr:blipFill>
      <xdr:spPr>
        <a:xfrm>
          <a:off x="9525" y="9734550"/>
          <a:ext cx="314325" cy="238125"/>
        </a:xfrm>
        <a:prstGeom prst="rect">
          <a:avLst/>
        </a:prstGeom>
        <a:noFill/>
        <a:ln w="9525" cmpd="sng">
          <a:noFill/>
        </a:ln>
      </xdr:spPr>
    </xdr:pic>
    <xdr:clientData/>
  </xdr:twoCellAnchor>
  <xdr:twoCellAnchor>
    <xdr:from>
      <xdr:col>0</xdr:col>
      <xdr:colOff>0</xdr:colOff>
      <xdr:row>102</xdr:row>
      <xdr:rowOff>9525</xdr:rowOff>
    </xdr:from>
    <xdr:to>
      <xdr:col>1</xdr:col>
      <xdr:colOff>0</xdr:colOff>
      <xdr:row>103</xdr:row>
      <xdr:rowOff>152400</xdr:rowOff>
    </xdr:to>
    <xdr:pic>
      <xdr:nvPicPr>
        <xdr:cNvPr id="2" name="Picture 2"/>
        <xdr:cNvPicPr preferRelativeResize="1">
          <a:picLocks noChangeAspect="1"/>
        </xdr:cNvPicPr>
      </xdr:nvPicPr>
      <xdr:blipFill>
        <a:blip r:link="rId1"/>
        <a:stretch>
          <a:fillRect/>
        </a:stretch>
      </xdr:blipFill>
      <xdr:spPr>
        <a:xfrm>
          <a:off x="0" y="20764500"/>
          <a:ext cx="314325" cy="238125"/>
        </a:xfrm>
        <a:prstGeom prst="rect">
          <a:avLst/>
        </a:prstGeom>
        <a:noFill/>
        <a:ln w="9525" cmpd="sng">
          <a:noFill/>
        </a:ln>
      </xdr:spPr>
    </xdr:pic>
    <xdr:clientData/>
  </xdr:twoCellAnchor>
  <xdr:twoCellAnchor>
    <xdr:from>
      <xdr:col>0</xdr:col>
      <xdr:colOff>28575</xdr:colOff>
      <xdr:row>151</xdr:row>
      <xdr:rowOff>57150</xdr:rowOff>
    </xdr:from>
    <xdr:to>
      <xdr:col>1</xdr:col>
      <xdr:colOff>28575</xdr:colOff>
      <xdr:row>152</xdr:row>
      <xdr:rowOff>133350</xdr:rowOff>
    </xdr:to>
    <xdr:pic>
      <xdr:nvPicPr>
        <xdr:cNvPr id="3" name="Picture 3"/>
        <xdr:cNvPicPr preferRelativeResize="1">
          <a:picLocks noChangeAspect="1"/>
        </xdr:cNvPicPr>
      </xdr:nvPicPr>
      <xdr:blipFill>
        <a:blip r:link="rId1"/>
        <a:stretch>
          <a:fillRect/>
        </a:stretch>
      </xdr:blipFill>
      <xdr:spPr>
        <a:xfrm>
          <a:off x="28575" y="29927550"/>
          <a:ext cx="314325" cy="238125"/>
        </a:xfrm>
        <a:prstGeom prst="rect">
          <a:avLst/>
        </a:prstGeom>
        <a:noFill/>
        <a:ln w="9525" cmpd="sng">
          <a:noFill/>
        </a:ln>
      </xdr:spPr>
    </xdr:pic>
    <xdr:clientData/>
  </xdr:twoCellAnchor>
  <xdr:twoCellAnchor>
    <xdr:from>
      <xdr:col>0</xdr:col>
      <xdr:colOff>0</xdr:colOff>
      <xdr:row>198</xdr:row>
      <xdr:rowOff>104775</xdr:rowOff>
    </xdr:from>
    <xdr:to>
      <xdr:col>1</xdr:col>
      <xdr:colOff>0</xdr:colOff>
      <xdr:row>199</xdr:row>
      <xdr:rowOff>142875</xdr:rowOff>
    </xdr:to>
    <xdr:pic>
      <xdr:nvPicPr>
        <xdr:cNvPr id="4" name="Picture 4"/>
        <xdr:cNvPicPr preferRelativeResize="1">
          <a:picLocks noChangeAspect="1"/>
        </xdr:cNvPicPr>
      </xdr:nvPicPr>
      <xdr:blipFill>
        <a:blip r:link="rId1"/>
        <a:stretch>
          <a:fillRect/>
        </a:stretch>
      </xdr:blipFill>
      <xdr:spPr>
        <a:xfrm>
          <a:off x="0" y="39347775"/>
          <a:ext cx="314325" cy="238125"/>
        </a:xfrm>
        <a:prstGeom prst="rect">
          <a:avLst/>
        </a:prstGeom>
        <a:noFill/>
        <a:ln w="9525" cmpd="sng">
          <a:noFill/>
        </a:ln>
      </xdr:spPr>
    </xdr:pic>
    <xdr:clientData/>
  </xdr:twoCellAnchor>
  <xdr:twoCellAnchor>
    <xdr:from>
      <xdr:col>12</xdr:col>
      <xdr:colOff>2133600</xdr:colOff>
      <xdr:row>198</xdr:row>
      <xdr:rowOff>57150</xdr:rowOff>
    </xdr:from>
    <xdr:to>
      <xdr:col>12</xdr:col>
      <xdr:colOff>2933700</xdr:colOff>
      <xdr:row>199</xdr:row>
      <xdr:rowOff>85725</xdr:rowOff>
    </xdr:to>
    <xdr:pic>
      <xdr:nvPicPr>
        <xdr:cNvPr id="5" name="Picture 5"/>
        <xdr:cNvPicPr preferRelativeResize="1">
          <a:picLocks noChangeAspect="1"/>
        </xdr:cNvPicPr>
      </xdr:nvPicPr>
      <xdr:blipFill>
        <a:blip r:link="rId2"/>
        <a:stretch>
          <a:fillRect/>
        </a:stretch>
      </xdr:blipFill>
      <xdr:spPr>
        <a:xfrm>
          <a:off x="16192500" y="39300150"/>
          <a:ext cx="800100" cy="228600"/>
        </a:xfrm>
        <a:prstGeom prst="rect">
          <a:avLst/>
        </a:prstGeom>
        <a:noFill/>
        <a:ln w="9525" cmpd="sng">
          <a:noFill/>
        </a:ln>
      </xdr:spPr>
    </xdr:pic>
    <xdr:clientData/>
  </xdr:twoCellAnchor>
  <xdr:twoCellAnchor>
    <xdr:from>
      <xdr:col>12</xdr:col>
      <xdr:colOff>2276475</xdr:colOff>
      <xdr:row>151</xdr:row>
      <xdr:rowOff>38100</xdr:rowOff>
    </xdr:from>
    <xdr:to>
      <xdr:col>12</xdr:col>
      <xdr:colOff>3076575</xdr:colOff>
      <xdr:row>152</xdr:row>
      <xdr:rowOff>104775</xdr:rowOff>
    </xdr:to>
    <xdr:pic>
      <xdr:nvPicPr>
        <xdr:cNvPr id="6" name="Picture 6"/>
        <xdr:cNvPicPr preferRelativeResize="1">
          <a:picLocks noChangeAspect="1"/>
        </xdr:cNvPicPr>
      </xdr:nvPicPr>
      <xdr:blipFill>
        <a:blip r:link="rId2"/>
        <a:stretch>
          <a:fillRect/>
        </a:stretch>
      </xdr:blipFill>
      <xdr:spPr>
        <a:xfrm>
          <a:off x="16335375" y="29908500"/>
          <a:ext cx="800100" cy="228600"/>
        </a:xfrm>
        <a:prstGeom prst="rect">
          <a:avLst/>
        </a:prstGeom>
        <a:noFill/>
        <a:ln w="9525" cmpd="sng">
          <a:noFill/>
        </a:ln>
      </xdr:spPr>
    </xdr:pic>
    <xdr:clientData/>
  </xdr:twoCellAnchor>
  <xdr:twoCellAnchor>
    <xdr:from>
      <xdr:col>12</xdr:col>
      <xdr:colOff>2219325</xdr:colOff>
      <xdr:row>102</xdr:row>
      <xdr:rowOff>0</xdr:rowOff>
    </xdr:from>
    <xdr:to>
      <xdr:col>12</xdr:col>
      <xdr:colOff>3019425</xdr:colOff>
      <xdr:row>103</xdr:row>
      <xdr:rowOff>133350</xdr:rowOff>
    </xdr:to>
    <xdr:pic>
      <xdr:nvPicPr>
        <xdr:cNvPr id="7" name="Picture 7"/>
        <xdr:cNvPicPr preferRelativeResize="1">
          <a:picLocks noChangeAspect="1"/>
        </xdr:cNvPicPr>
      </xdr:nvPicPr>
      <xdr:blipFill>
        <a:blip r:link="rId2"/>
        <a:stretch>
          <a:fillRect/>
        </a:stretch>
      </xdr:blipFill>
      <xdr:spPr>
        <a:xfrm>
          <a:off x="16278225" y="20754975"/>
          <a:ext cx="800100" cy="228600"/>
        </a:xfrm>
        <a:prstGeom prst="rect">
          <a:avLst/>
        </a:prstGeom>
        <a:noFill/>
        <a:ln w="9525" cmpd="sng">
          <a:noFill/>
        </a:ln>
      </xdr:spPr>
    </xdr:pic>
    <xdr:clientData/>
  </xdr:twoCellAnchor>
  <xdr:twoCellAnchor>
    <xdr:from>
      <xdr:col>12</xdr:col>
      <xdr:colOff>2247900</xdr:colOff>
      <xdr:row>49</xdr:row>
      <xdr:rowOff>85725</xdr:rowOff>
    </xdr:from>
    <xdr:to>
      <xdr:col>12</xdr:col>
      <xdr:colOff>3048000</xdr:colOff>
      <xdr:row>50</xdr:row>
      <xdr:rowOff>114300</xdr:rowOff>
    </xdr:to>
    <xdr:pic>
      <xdr:nvPicPr>
        <xdr:cNvPr id="8" name="Picture 8"/>
        <xdr:cNvPicPr preferRelativeResize="1">
          <a:picLocks noChangeAspect="1"/>
        </xdr:cNvPicPr>
      </xdr:nvPicPr>
      <xdr:blipFill>
        <a:blip r:link="rId2"/>
        <a:stretch>
          <a:fillRect/>
        </a:stretch>
      </xdr:blipFill>
      <xdr:spPr>
        <a:xfrm>
          <a:off x="16306800" y="9667875"/>
          <a:ext cx="80010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152400</xdr:rowOff>
    </xdr:from>
    <xdr:to>
      <xdr:col>1</xdr:col>
      <xdr:colOff>9525</xdr:colOff>
      <xdr:row>50</xdr:row>
      <xdr:rowOff>190500</xdr:rowOff>
    </xdr:to>
    <xdr:pic>
      <xdr:nvPicPr>
        <xdr:cNvPr id="1" name="Picture 1"/>
        <xdr:cNvPicPr preferRelativeResize="1">
          <a:picLocks noChangeAspect="1"/>
        </xdr:cNvPicPr>
      </xdr:nvPicPr>
      <xdr:blipFill>
        <a:blip r:link="rId1"/>
        <a:stretch>
          <a:fillRect/>
        </a:stretch>
      </xdr:blipFill>
      <xdr:spPr>
        <a:xfrm>
          <a:off x="9525" y="9734550"/>
          <a:ext cx="314325" cy="238125"/>
        </a:xfrm>
        <a:prstGeom prst="rect">
          <a:avLst/>
        </a:prstGeom>
        <a:noFill/>
        <a:ln w="9525" cmpd="sng">
          <a:noFill/>
        </a:ln>
      </xdr:spPr>
    </xdr:pic>
    <xdr:clientData/>
  </xdr:twoCellAnchor>
  <xdr:twoCellAnchor>
    <xdr:from>
      <xdr:col>0</xdr:col>
      <xdr:colOff>0</xdr:colOff>
      <xdr:row>102</xdr:row>
      <xdr:rowOff>9525</xdr:rowOff>
    </xdr:from>
    <xdr:to>
      <xdr:col>1</xdr:col>
      <xdr:colOff>0</xdr:colOff>
      <xdr:row>103</xdr:row>
      <xdr:rowOff>152400</xdr:rowOff>
    </xdr:to>
    <xdr:pic>
      <xdr:nvPicPr>
        <xdr:cNvPr id="2" name="Picture 2"/>
        <xdr:cNvPicPr preferRelativeResize="1">
          <a:picLocks noChangeAspect="1"/>
        </xdr:cNvPicPr>
      </xdr:nvPicPr>
      <xdr:blipFill>
        <a:blip r:link="rId1"/>
        <a:stretch>
          <a:fillRect/>
        </a:stretch>
      </xdr:blipFill>
      <xdr:spPr>
        <a:xfrm>
          <a:off x="0" y="20764500"/>
          <a:ext cx="314325" cy="238125"/>
        </a:xfrm>
        <a:prstGeom prst="rect">
          <a:avLst/>
        </a:prstGeom>
        <a:noFill/>
        <a:ln w="9525" cmpd="sng">
          <a:noFill/>
        </a:ln>
      </xdr:spPr>
    </xdr:pic>
    <xdr:clientData/>
  </xdr:twoCellAnchor>
  <xdr:twoCellAnchor>
    <xdr:from>
      <xdr:col>0</xdr:col>
      <xdr:colOff>28575</xdr:colOff>
      <xdr:row>151</xdr:row>
      <xdr:rowOff>57150</xdr:rowOff>
    </xdr:from>
    <xdr:to>
      <xdr:col>1</xdr:col>
      <xdr:colOff>28575</xdr:colOff>
      <xdr:row>152</xdr:row>
      <xdr:rowOff>133350</xdr:rowOff>
    </xdr:to>
    <xdr:pic>
      <xdr:nvPicPr>
        <xdr:cNvPr id="3" name="Picture 3"/>
        <xdr:cNvPicPr preferRelativeResize="1">
          <a:picLocks noChangeAspect="1"/>
        </xdr:cNvPicPr>
      </xdr:nvPicPr>
      <xdr:blipFill>
        <a:blip r:link="rId1"/>
        <a:stretch>
          <a:fillRect/>
        </a:stretch>
      </xdr:blipFill>
      <xdr:spPr>
        <a:xfrm>
          <a:off x="28575" y="29927550"/>
          <a:ext cx="314325" cy="238125"/>
        </a:xfrm>
        <a:prstGeom prst="rect">
          <a:avLst/>
        </a:prstGeom>
        <a:noFill/>
        <a:ln w="9525" cmpd="sng">
          <a:noFill/>
        </a:ln>
      </xdr:spPr>
    </xdr:pic>
    <xdr:clientData/>
  </xdr:twoCellAnchor>
  <xdr:twoCellAnchor>
    <xdr:from>
      <xdr:col>0</xdr:col>
      <xdr:colOff>0</xdr:colOff>
      <xdr:row>198</xdr:row>
      <xdr:rowOff>104775</xdr:rowOff>
    </xdr:from>
    <xdr:to>
      <xdr:col>1</xdr:col>
      <xdr:colOff>0</xdr:colOff>
      <xdr:row>199</xdr:row>
      <xdr:rowOff>142875</xdr:rowOff>
    </xdr:to>
    <xdr:pic>
      <xdr:nvPicPr>
        <xdr:cNvPr id="4" name="Picture 4"/>
        <xdr:cNvPicPr preferRelativeResize="1">
          <a:picLocks noChangeAspect="1"/>
        </xdr:cNvPicPr>
      </xdr:nvPicPr>
      <xdr:blipFill>
        <a:blip r:link="rId1"/>
        <a:stretch>
          <a:fillRect/>
        </a:stretch>
      </xdr:blipFill>
      <xdr:spPr>
        <a:xfrm>
          <a:off x="0" y="39347775"/>
          <a:ext cx="314325" cy="238125"/>
        </a:xfrm>
        <a:prstGeom prst="rect">
          <a:avLst/>
        </a:prstGeom>
        <a:noFill/>
        <a:ln w="9525" cmpd="sng">
          <a:noFill/>
        </a:ln>
      </xdr:spPr>
    </xdr:pic>
    <xdr:clientData/>
  </xdr:twoCellAnchor>
  <xdr:twoCellAnchor>
    <xdr:from>
      <xdr:col>12</xdr:col>
      <xdr:colOff>2133600</xdr:colOff>
      <xdr:row>198</xdr:row>
      <xdr:rowOff>57150</xdr:rowOff>
    </xdr:from>
    <xdr:to>
      <xdr:col>12</xdr:col>
      <xdr:colOff>2933700</xdr:colOff>
      <xdr:row>199</xdr:row>
      <xdr:rowOff>85725</xdr:rowOff>
    </xdr:to>
    <xdr:pic>
      <xdr:nvPicPr>
        <xdr:cNvPr id="5" name="Picture 5"/>
        <xdr:cNvPicPr preferRelativeResize="1">
          <a:picLocks noChangeAspect="1"/>
        </xdr:cNvPicPr>
      </xdr:nvPicPr>
      <xdr:blipFill>
        <a:blip r:link="rId2"/>
        <a:stretch>
          <a:fillRect/>
        </a:stretch>
      </xdr:blipFill>
      <xdr:spPr>
        <a:xfrm>
          <a:off x="16192500" y="39300150"/>
          <a:ext cx="800100" cy="228600"/>
        </a:xfrm>
        <a:prstGeom prst="rect">
          <a:avLst/>
        </a:prstGeom>
        <a:noFill/>
        <a:ln w="9525" cmpd="sng">
          <a:noFill/>
        </a:ln>
      </xdr:spPr>
    </xdr:pic>
    <xdr:clientData/>
  </xdr:twoCellAnchor>
  <xdr:twoCellAnchor>
    <xdr:from>
      <xdr:col>12</xdr:col>
      <xdr:colOff>2276475</xdr:colOff>
      <xdr:row>151</xdr:row>
      <xdr:rowOff>38100</xdr:rowOff>
    </xdr:from>
    <xdr:to>
      <xdr:col>12</xdr:col>
      <xdr:colOff>3076575</xdr:colOff>
      <xdr:row>152</xdr:row>
      <xdr:rowOff>104775</xdr:rowOff>
    </xdr:to>
    <xdr:pic>
      <xdr:nvPicPr>
        <xdr:cNvPr id="6" name="Picture 6"/>
        <xdr:cNvPicPr preferRelativeResize="1">
          <a:picLocks noChangeAspect="1"/>
        </xdr:cNvPicPr>
      </xdr:nvPicPr>
      <xdr:blipFill>
        <a:blip r:link="rId2"/>
        <a:stretch>
          <a:fillRect/>
        </a:stretch>
      </xdr:blipFill>
      <xdr:spPr>
        <a:xfrm>
          <a:off x="16335375" y="29908500"/>
          <a:ext cx="800100" cy="228600"/>
        </a:xfrm>
        <a:prstGeom prst="rect">
          <a:avLst/>
        </a:prstGeom>
        <a:noFill/>
        <a:ln w="9525" cmpd="sng">
          <a:noFill/>
        </a:ln>
      </xdr:spPr>
    </xdr:pic>
    <xdr:clientData/>
  </xdr:twoCellAnchor>
  <xdr:twoCellAnchor>
    <xdr:from>
      <xdr:col>12</xdr:col>
      <xdr:colOff>2219325</xdr:colOff>
      <xdr:row>102</xdr:row>
      <xdr:rowOff>0</xdr:rowOff>
    </xdr:from>
    <xdr:to>
      <xdr:col>12</xdr:col>
      <xdr:colOff>3019425</xdr:colOff>
      <xdr:row>103</xdr:row>
      <xdr:rowOff>133350</xdr:rowOff>
    </xdr:to>
    <xdr:pic>
      <xdr:nvPicPr>
        <xdr:cNvPr id="7" name="Picture 7"/>
        <xdr:cNvPicPr preferRelativeResize="1">
          <a:picLocks noChangeAspect="1"/>
        </xdr:cNvPicPr>
      </xdr:nvPicPr>
      <xdr:blipFill>
        <a:blip r:link="rId2"/>
        <a:stretch>
          <a:fillRect/>
        </a:stretch>
      </xdr:blipFill>
      <xdr:spPr>
        <a:xfrm>
          <a:off x="16278225" y="20754975"/>
          <a:ext cx="800100" cy="228600"/>
        </a:xfrm>
        <a:prstGeom prst="rect">
          <a:avLst/>
        </a:prstGeom>
        <a:noFill/>
        <a:ln w="9525" cmpd="sng">
          <a:noFill/>
        </a:ln>
      </xdr:spPr>
    </xdr:pic>
    <xdr:clientData/>
  </xdr:twoCellAnchor>
  <xdr:twoCellAnchor>
    <xdr:from>
      <xdr:col>12</xdr:col>
      <xdr:colOff>2247900</xdr:colOff>
      <xdr:row>49</xdr:row>
      <xdr:rowOff>85725</xdr:rowOff>
    </xdr:from>
    <xdr:to>
      <xdr:col>12</xdr:col>
      <xdr:colOff>3048000</xdr:colOff>
      <xdr:row>50</xdr:row>
      <xdr:rowOff>114300</xdr:rowOff>
    </xdr:to>
    <xdr:pic>
      <xdr:nvPicPr>
        <xdr:cNvPr id="8" name="Picture 8"/>
        <xdr:cNvPicPr preferRelativeResize="1">
          <a:picLocks noChangeAspect="1"/>
        </xdr:cNvPicPr>
      </xdr:nvPicPr>
      <xdr:blipFill>
        <a:blip r:link="rId2"/>
        <a:stretch>
          <a:fillRect/>
        </a:stretch>
      </xdr:blipFill>
      <xdr:spPr>
        <a:xfrm>
          <a:off x="16306800" y="9667875"/>
          <a:ext cx="80010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152400</xdr:rowOff>
    </xdr:from>
    <xdr:to>
      <xdr:col>1</xdr:col>
      <xdr:colOff>9525</xdr:colOff>
      <xdr:row>50</xdr:row>
      <xdr:rowOff>190500</xdr:rowOff>
    </xdr:to>
    <xdr:pic>
      <xdr:nvPicPr>
        <xdr:cNvPr id="1" name="Picture 1"/>
        <xdr:cNvPicPr preferRelativeResize="1">
          <a:picLocks noChangeAspect="1"/>
        </xdr:cNvPicPr>
      </xdr:nvPicPr>
      <xdr:blipFill>
        <a:blip r:link="rId1"/>
        <a:stretch>
          <a:fillRect/>
        </a:stretch>
      </xdr:blipFill>
      <xdr:spPr>
        <a:xfrm>
          <a:off x="9525" y="9734550"/>
          <a:ext cx="314325" cy="238125"/>
        </a:xfrm>
        <a:prstGeom prst="rect">
          <a:avLst/>
        </a:prstGeom>
        <a:noFill/>
        <a:ln w="9525" cmpd="sng">
          <a:noFill/>
        </a:ln>
      </xdr:spPr>
    </xdr:pic>
    <xdr:clientData/>
  </xdr:twoCellAnchor>
  <xdr:twoCellAnchor>
    <xdr:from>
      <xdr:col>0</xdr:col>
      <xdr:colOff>0</xdr:colOff>
      <xdr:row>102</xdr:row>
      <xdr:rowOff>9525</xdr:rowOff>
    </xdr:from>
    <xdr:to>
      <xdr:col>1</xdr:col>
      <xdr:colOff>0</xdr:colOff>
      <xdr:row>103</xdr:row>
      <xdr:rowOff>152400</xdr:rowOff>
    </xdr:to>
    <xdr:pic>
      <xdr:nvPicPr>
        <xdr:cNvPr id="2" name="Picture 2"/>
        <xdr:cNvPicPr preferRelativeResize="1">
          <a:picLocks noChangeAspect="1"/>
        </xdr:cNvPicPr>
      </xdr:nvPicPr>
      <xdr:blipFill>
        <a:blip r:link="rId1"/>
        <a:stretch>
          <a:fillRect/>
        </a:stretch>
      </xdr:blipFill>
      <xdr:spPr>
        <a:xfrm>
          <a:off x="0" y="20764500"/>
          <a:ext cx="314325" cy="238125"/>
        </a:xfrm>
        <a:prstGeom prst="rect">
          <a:avLst/>
        </a:prstGeom>
        <a:noFill/>
        <a:ln w="9525" cmpd="sng">
          <a:noFill/>
        </a:ln>
      </xdr:spPr>
    </xdr:pic>
    <xdr:clientData/>
  </xdr:twoCellAnchor>
  <xdr:twoCellAnchor>
    <xdr:from>
      <xdr:col>0</xdr:col>
      <xdr:colOff>28575</xdr:colOff>
      <xdr:row>151</xdr:row>
      <xdr:rowOff>57150</xdr:rowOff>
    </xdr:from>
    <xdr:to>
      <xdr:col>1</xdr:col>
      <xdr:colOff>28575</xdr:colOff>
      <xdr:row>152</xdr:row>
      <xdr:rowOff>133350</xdr:rowOff>
    </xdr:to>
    <xdr:pic>
      <xdr:nvPicPr>
        <xdr:cNvPr id="3" name="Picture 3"/>
        <xdr:cNvPicPr preferRelativeResize="1">
          <a:picLocks noChangeAspect="1"/>
        </xdr:cNvPicPr>
      </xdr:nvPicPr>
      <xdr:blipFill>
        <a:blip r:link="rId1"/>
        <a:stretch>
          <a:fillRect/>
        </a:stretch>
      </xdr:blipFill>
      <xdr:spPr>
        <a:xfrm>
          <a:off x="28575" y="29927550"/>
          <a:ext cx="314325" cy="238125"/>
        </a:xfrm>
        <a:prstGeom prst="rect">
          <a:avLst/>
        </a:prstGeom>
        <a:noFill/>
        <a:ln w="9525" cmpd="sng">
          <a:noFill/>
        </a:ln>
      </xdr:spPr>
    </xdr:pic>
    <xdr:clientData/>
  </xdr:twoCellAnchor>
  <xdr:twoCellAnchor>
    <xdr:from>
      <xdr:col>0</xdr:col>
      <xdr:colOff>0</xdr:colOff>
      <xdr:row>198</xdr:row>
      <xdr:rowOff>104775</xdr:rowOff>
    </xdr:from>
    <xdr:to>
      <xdr:col>1</xdr:col>
      <xdr:colOff>0</xdr:colOff>
      <xdr:row>199</xdr:row>
      <xdr:rowOff>142875</xdr:rowOff>
    </xdr:to>
    <xdr:pic>
      <xdr:nvPicPr>
        <xdr:cNvPr id="4" name="Picture 4"/>
        <xdr:cNvPicPr preferRelativeResize="1">
          <a:picLocks noChangeAspect="1"/>
        </xdr:cNvPicPr>
      </xdr:nvPicPr>
      <xdr:blipFill>
        <a:blip r:link="rId1"/>
        <a:stretch>
          <a:fillRect/>
        </a:stretch>
      </xdr:blipFill>
      <xdr:spPr>
        <a:xfrm>
          <a:off x="0" y="39347775"/>
          <a:ext cx="314325" cy="238125"/>
        </a:xfrm>
        <a:prstGeom prst="rect">
          <a:avLst/>
        </a:prstGeom>
        <a:noFill/>
        <a:ln w="9525" cmpd="sng">
          <a:noFill/>
        </a:ln>
      </xdr:spPr>
    </xdr:pic>
    <xdr:clientData/>
  </xdr:twoCellAnchor>
  <xdr:twoCellAnchor>
    <xdr:from>
      <xdr:col>12</xdr:col>
      <xdr:colOff>2133600</xdr:colOff>
      <xdr:row>198</xdr:row>
      <xdr:rowOff>57150</xdr:rowOff>
    </xdr:from>
    <xdr:to>
      <xdr:col>12</xdr:col>
      <xdr:colOff>2933700</xdr:colOff>
      <xdr:row>199</xdr:row>
      <xdr:rowOff>85725</xdr:rowOff>
    </xdr:to>
    <xdr:pic>
      <xdr:nvPicPr>
        <xdr:cNvPr id="5" name="Picture 5"/>
        <xdr:cNvPicPr preferRelativeResize="1">
          <a:picLocks noChangeAspect="1"/>
        </xdr:cNvPicPr>
      </xdr:nvPicPr>
      <xdr:blipFill>
        <a:blip r:link="rId2"/>
        <a:stretch>
          <a:fillRect/>
        </a:stretch>
      </xdr:blipFill>
      <xdr:spPr>
        <a:xfrm>
          <a:off x="16192500" y="39300150"/>
          <a:ext cx="800100" cy="228600"/>
        </a:xfrm>
        <a:prstGeom prst="rect">
          <a:avLst/>
        </a:prstGeom>
        <a:noFill/>
        <a:ln w="9525" cmpd="sng">
          <a:noFill/>
        </a:ln>
      </xdr:spPr>
    </xdr:pic>
    <xdr:clientData/>
  </xdr:twoCellAnchor>
  <xdr:twoCellAnchor>
    <xdr:from>
      <xdr:col>12</xdr:col>
      <xdr:colOff>2276475</xdr:colOff>
      <xdr:row>151</xdr:row>
      <xdr:rowOff>38100</xdr:rowOff>
    </xdr:from>
    <xdr:to>
      <xdr:col>12</xdr:col>
      <xdr:colOff>3076575</xdr:colOff>
      <xdr:row>152</xdr:row>
      <xdr:rowOff>104775</xdr:rowOff>
    </xdr:to>
    <xdr:pic>
      <xdr:nvPicPr>
        <xdr:cNvPr id="6" name="Picture 6"/>
        <xdr:cNvPicPr preferRelativeResize="1">
          <a:picLocks noChangeAspect="1"/>
        </xdr:cNvPicPr>
      </xdr:nvPicPr>
      <xdr:blipFill>
        <a:blip r:link="rId2"/>
        <a:stretch>
          <a:fillRect/>
        </a:stretch>
      </xdr:blipFill>
      <xdr:spPr>
        <a:xfrm>
          <a:off x="16335375" y="29908500"/>
          <a:ext cx="800100" cy="228600"/>
        </a:xfrm>
        <a:prstGeom prst="rect">
          <a:avLst/>
        </a:prstGeom>
        <a:noFill/>
        <a:ln w="9525" cmpd="sng">
          <a:noFill/>
        </a:ln>
      </xdr:spPr>
    </xdr:pic>
    <xdr:clientData/>
  </xdr:twoCellAnchor>
  <xdr:twoCellAnchor>
    <xdr:from>
      <xdr:col>12</xdr:col>
      <xdr:colOff>2219325</xdr:colOff>
      <xdr:row>102</xdr:row>
      <xdr:rowOff>0</xdr:rowOff>
    </xdr:from>
    <xdr:to>
      <xdr:col>12</xdr:col>
      <xdr:colOff>3019425</xdr:colOff>
      <xdr:row>103</xdr:row>
      <xdr:rowOff>133350</xdr:rowOff>
    </xdr:to>
    <xdr:pic>
      <xdr:nvPicPr>
        <xdr:cNvPr id="7" name="Picture 7"/>
        <xdr:cNvPicPr preferRelativeResize="1">
          <a:picLocks noChangeAspect="1"/>
        </xdr:cNvPicPr>
      </xdr:nvPicPr>
      <xdr:blipFill>
        <a:blip r:link="rId2"/>
        <a:stretch>
          <a:fillRect/>
        </a:stretch>
      </xdr:blipFill>
      <xdr:spPr>
        <a:xfrm>
          <a:off x="16278225" y="20754975"/>
          <a:ext cx="800100" cy="228600"/>
        </a:xfrm>
        <a:prstGeom prst="rect">
          <a:avLst/>
        </a:prstGeom>
        <a:noFill/>
        <a:ln w="9525" cmpd="sng">
          <a:noFill/>
        </a:ln>
      </xdr:spPr>
    </xdr:pic>
    <xdr:clientData/>
  </xdr:twoCellAnchor>
  <xdr:twoCellAnchor>
    <xdr:from>
      <xdr:col>12</xdr:col>
      <xdr:colOff>2247900</xdr:colOff>
      <xdr:row>49</xdr:row>
      <xdr:rowOff>85725</xdr:rowOff>
    </xdr:from>
    <xdr:to>
      <xdr:col>12</xdr:col>
      <xdr:colOff>3048000</xdr:colOff>
      <xdr:row>50</xdr:row>
      <xdr:rowOff>114300</xdr:rowOff>
    </xdr:to>
    <xdr:pic>
      <xdr:nvPicPr>
        <xdr:cNvPr id="8" name="Picture 8"/>
        <xdr:cNvPicPr preferRelativeResize="1">
          <a:picLocks noChangeAspect="1"/>
        </xdr:cNvPicPr>
      </xdr:nvPicPr>
      <xdr:blipFill>
        <a:blip r:link="rId2"/>
        <a:stretch>
          <a:fillRect/>
        </a:stretch>
      </xdr:blipFill>
      <xdr:spPr>
        <a:xfrm>
          <a:off x="16306800" y="9667875"/>
          <a:ext cx="80010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152400</xdr:rowOff>
    </xdr:from>
    <xdr:to>
      <xdr:col>1</xdr:col>
      <xdr:colOff>9525</xdr:colOff>
      <xdr:row>50</xdr:row>
      <xdr:rowOff>190500</xdr:rowOff>
    </xdr:to>
    <xdr:pic>
      <xdr:nvPicPr>
        <xdr:cNvPr id="1" name="Picture 1"/>
        <xdr:cNvPicPr preferRelativeResize="1">
          <a:picLocks noChangeAspect="1"/>
        </xdr:cNvPicPr>
      </xdr:nvPicPr>
      <xdr:blipFill>
        <a:blip r:link="rId1"/>
        <a:stretch>
          <a:fillRect/>
        </a:stretch>
      </xdr:blipFill>
      <xdr:spPr>
        <a:xfrm>
          <a:off x="9525" y="9734550"/>
          <a:ext cx="314325" cy="238125"/>
        </a:xfrm>
        <a:prstGeom prst="rect">
          <a:avLst/>
        </a:prstGeom>
        <a:noFill/>
        <a:ln w="9525" cmpd="sng">
          <a:noFill/>
        </a:ln>
      </xdr:spPr>
    </xdr:pic>
    <xdr:clientData/>
  </xdr:twoCellAnchor>
  <xdr:twoCellAnchor>
    <xdr:from>
      <xdr:col>0</xdr:col>
      <xdr:colOff>0</xdr:colOff>
      <xdr:row>102</xdr:row>
      <xdr:rowOff>9525</xdr:rowOff>
    </xdr:from>
    <xdr:to>
      <xdr:col>1</xdr:col>
      <xdr:colOff>0</xdr:colOff>
      <xdr:row>103</xdr:row>
      <xdr:rowOff>152400</xdr:rowOff>
    </xdr:to>
    <xdr:pic>
      <xdr:nvPicPr>
        <xdr:cNvPr id="2" name="Picture 2"/>
        <xdr:cNvPicPr preferRelativeResize="1">
          <a:picLocks noChangeAspect="1"/>
        </xdr:cNvPicPr>
      </xdr:nvPicPr>
      <xdr:blipFill>
        <a:blip r:link="rId1"/>
        <a:stretch>
          <a:fillRect/>
        </a:stretch>
      </xdr:blipFill>
      <xdr:spPr>
        <a:xfrm>
          <a:off x="0" y="20764500"/>
          <a:ext cx="314325" cy="238125"/>
        </a:xfrm>
        <a:prstGeom prst="rect">
          <a:avLst/>
        </a:prstGeom>
        <a:noFill/>
        <a:ln w="9525" cmpd="sng">
          <a:noFill/>
        </a:ln>
      </xdr:spPr>
    </xdr:pic>
    <xdr:clientData/>
  </xdr:twoCellAnchor>
  <xdr:twoCellAnchor>
    <xdr:from>
      <xdr:col>0</xdr:col>
      <xdr:colOff>28575</xdr:colOff>
      <xdr:row>151</xdr:row>
      <xdr:rowOff>57150</xdr:rowOff>
    </xdr:from>
    <xdr:to>
      <xdr:col>1</xdr:col>
      <xdr:colOff>28575</xdr:colOff>
      <xdr:row>152</xdr:row>
      <xdr:rowOff>133350</xdr:rowOff>
    </xdr:to>
    <xdr:pic>
      <xdr:nvPicPr>
        <xdr:cNvPr id="3" name="Picture 3"/>
        <xdr:cNvPicPr preferRelativeResize="1">
          <a:picLocks noChangeAspect="1"/>
        </xdr:cNvPicPr>
      </xdr:nvPicPr>
      <xdr:blipFill>
        <a:blip r:link="rId1"/>
        <a:stretch>
          <a:fillRect/>
        </a:stretch>
      </xdr:blipFill>
      <xdr:spPr>
        <a:xfrm>
          <a:off x="28575" y="29927550"/>
          <a:ext cx="314325" cy="238125"/>
        </a:xfrm>
        <a:prstGeom prst="rect">
          <a:avLst/>
        </a:prstGeom>
        <a:noFill/>
        <a:ln w="9525" cmpd="sng">
          <a:noFill/>
        </a:ln>
      </xdr:spPr>
    </xdr:pic>
    <xdr:clientData/>
  </xdr:twoCellAnchor>
  <xdr:twoCellAnchor>
    <xdr:from>
      <xdr:col>0</xdr:col>
      <xdr:colOff>0</xdr:colOff>
      <xdr:row>199</xdr:row>
      <xdr:rowOff>104775</xdr:rowOff>
    </xdr:from>
    <xdr:to>
      <xdr:col>1</xdr:col>
      <xdr:colOff>0</xdr:colOff>
      <xdr:row>200</xdr:row>
      <xdr:rowOff>142875</xdr:rowOff>
    </xdr:to>
    <xdr:pic>
      <xdr:nvPicPr>
        <xdr:cNvPr id="4" name="Picture 4"/>
        <xdr:cNvPicPr preferRelativeResize="1">
          <a:picLocks noChangeAspect="1"/>
        </xdr:cNvPicPr>
      </xdr:nvPicPr>
      <xdr:blipFill>
        <a:blip r:link="rId1"/>
        <a:stretch>
          <a:fillRect/>
        </a:stretch>
      </xdr:blipFill>
      <xdr:spPr>
        <a:xfrm>
          <a:off x="0" y="39547800"/>
          <a:ext cx="314325" cy="238125"/>
        </a:xfrm>
        <a:prstGeom prst="rect">
          <a:avLst/>
        </a:prstGeom>
        <a:noFill/>
        <a:ln w="9525" cmpd="sng">
          <a:noFill/>
        </a:ln>
      </xdr:spPr>
    </xdr:pic>
    <xdr:clientData/>
  </xdr:twoCellAnchor>
  <xdr:twoCellAnchor>
    <xdr:from>
      <xdr:col>12</xdr:col>
      <xdr:colOff>2133600</xdr:colOff>
      <xdr:row>199</xdr:row>
      <xdr:rowOff>57150</xdr:rowOff>
    </xdr:from>
    <xdr:to>
      <xdr:col>12</xdr:col>
      <xdr:colOff>2933700</xdr:colOff>
      <xdr:row>200</xdr:row>
      <xdr:rowOff>85725</xdr:rowOff>
    </xdr:to>
    <xdr:pic>
      <xdr:nvPicPr>
        <xdr:cNvPr id="5" name="Picture 5"/>
        <xdr:cNvPicPr preferRelativeResize="1">
          <a:picLocks noChangeAspect="1"/>
        </xdr:cNvPicPr>
      </xdr:nvPicPr>
      <xdr:blipFill>
        <a:blip r:link="rId2"/>
        <a:stretch>
          <a:fillRect/>
        </a:stretch>
      </xdr:blipFill>
      <xdr:spPr>
        <a:xfrm>
          <a:off x="16192500" y="39500175"/>
          <a:ext cx="800100" cy="228600"/>
        </a:xfrm>
        <a:prstGeom prst="rect">
          <a:avLst/>
        </a:prstGeom>
        <a:noFill/>
        <a:ln w="9525" cmpd="sng">
          <a:noFill/>
        </a:ln>
      </xdr:spPr>
    </xdr:pic>
    <xdr:clientData/>
  </xdr:twoCellAnchor>
  <xdr:twoCellAnchor>
    <xdr:from>
      <xdr:col>12</xdr:col>
      <xdr:colOff>2276475</xdr:colOff>
      <xdr:row>151</xdr:row>
      <xdr:rowOff>38100</xdr:rowOff>
    </xdr:from>
    <xdr:to>
      <xdr:col>12</xdr:col>
      <xdr:colOff>3076575</xdr:colOff>
      <xdr:row>152</xdr:row>
      <xdr:rowOff>104775</xdr:rowOff>
    </xdr:to>
    <xdr:pic>
      <xdr:nvPicPr>
        <xdr:cNvPr id="6" name="Picture 6"/>
        <xdr:cNvPicPr preferRelativeResize="1">
          <a:picLocks noChangeAspect="1"/>
        </xdr:cNvPicPr>
      </xdr:nvPicPr>
      <xdr:blipFill>
        <a:blip r:link="rId2"/>
        <a:stretch>
          <a:fillRect/>
        </a:stretch>
      </xdr:blipFill>
      <xdr:spPr>
        <a:xfrm>
          <a:off x="16335375" y="29908500"/>
          <a:ext cx="800100" cy="228600"/>
        </a:xfrm>
        <a:prstGeom prst="rect">
          <a:avLst/>
        </a:prstGeom>
        <a:noFill/>
        <a:ln w="9525" cmpd="sng">
          <a:noFill/>
        </a:ln>
      </xdr:spPr>
    </xdr:pic>
    <xdr:clientData/>
  </xdr:twoCellAnchor>
  <xdr:twoCellAnchor>
    <xdr:from>
      <xdr:col>12</xdr:col>
      <xdr:colOff>2219325</xdr:colOff>
      <xdr:row>102</xdr:row>
      <xdr:rowOff>0</xdr:rowOff>
    </xdr:from>
    <xdr:to>
      <xdr:col>12</xdr:col>
      <xdr:colOff>3019425</xdr:colOff>
      <xdr:row>103</xdr:row>
      <xdr:rowOff>133350</xdr:rowOff>
    </xdr:to>
    <xdr:pic>
      <xdr:nvPicPr>
        <xdr:cNvPr id="7" name="Picture 7"/>
        <xdr:cNvPicPr preferRelativeResize="1">
          <a:picLocks noChangeAspect="1"/>
        </xdr:cNvPicPr>
      </xdr:nvPicPr>
      <xdr:blipFill>
        <a:blip r:link="rId2"/>
        <a:stretch>
          <a:fillRect/>
        </a:stretch>
      </xdr:blipFill>
      <xdr:spPr>
        <a:xfrm>
          <a:off x="16278225" y="20754975"/>
          <a:ext cx="800100" cy="228600"/>
        </a:xfrm>
        <a:prstGeom prst="rect">
          <a:avLst/>
        </a:prstGeom>
        <a:noFill/>
        <a:ln w="9525" cmpd="sng">
          <a:noFill/>
        </a:ln>
      </xdr:spPr>
    </xdr:pic>
    <xdr:clientData/>
  </xdr:twoCellAnchor>
  <xdr:twoCellAnchor>
    <xdr:from>
      <xdr:col>12</xdr:col>
      <xdr:colOff>2247900</xdr:colOff>
      <xdr:row>49</xdr:row>
      <xdr:rowOff>85725</xdr:rowOff>
    </xdr:from>
    <xdr:to>
      <xdr:col>12</xdr:col>
      <xdr:colOff>3048000</xdr:colOff>
      <xdr:row>50</xdr:row>
      <xdr:rowOff>114300</xdr:rowOff>
    </xdr:to>
    <xdr:pic>
      <xdr:nvPicPr>
        <xdr:cNvPr id="8" name="Picture 8"/>
        <xdr:cNvPicPr preferRelativeResize="1">
          <a:picLocks noChangeAspect="1"/>
        </xdr:cNvPicPr>
      </xdr:nvPicPr>
      <xdr:blipFill>
        <a:blip r:link="rId2"/>
        <a:stretch>
          <a:fillRect/>
        </a:stretch>
      </xdr:blipFill>
      <xdr:spPr>
        <a:xfrm>
          <a:off x="16306800" y="9667875"/>
          <a:ext cx="800100" cy="228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152400</xdr:rowOff>
    </xdr:from>
    <xdr:to>
      <xdr:col>1</xdr:col>
      <xdr:colOff>9525</xdr:colOff>
      <xdr:row>50</xdr:row>
      <xdr:rowOff>190500</xdr:rowOff>
    </xdr:to>
    <xdr:pic>
      <xdr:nvPicPr>
        <xdr:cNvPr id="1" name="Picture 1"/>
        <xdr:cNvPicPr preferRelativeResize="1">
          <a:picLocks noChangeAspect="1"/>
        </xdr:cNvPicPr>
      </xdr:nvPicPr>
      <xdr:blipFill>
        <a:blip r:link="rId1"/>
        <a:stretch>
          <a:fillRect/>
        </a:stretch>
      </xdr:blipFill>
      <xdr:spPr>
        <a:xfrm>
          <a:off x="9525" y="9734550"/>
          <a:ext cx="314325" cy="238125"/>
        </a:xfrm>
        <a:prstGeom prst="rect">
          <a:avLst/>
        </a:prstGeom>
        <a:noFill/>
        <a:ln w="9525" cmpd="sng">
          <a:noFill/>
        </a:ln>
      </xdr:spPr>
    </xdr:pic>
    <xdr:clientData/>
  </xdr:twoCellAnchor>
  <xdr:twoCellAnchor>
    <xdr:from>
      <xdr:col>0</xdr:col>
      <xdr:colOff>0</xdr:colOff>
      <xdr:row>102</xdr:row>
      <xdr:rowOff>9525</xdr:rowOff>
    </xdr:from>
    <xdr:to>
      <xdr:col>1</xdr:col>
      <xdr:colOff>0</xdr:colOff>
      <xdr:row>103</xdr:row>
      <xdr:rowOff>152400</xdr:rowOff>
    </xdr:to>
    <xdr:pic>
      <xdr:nvPicPr>
        <xdr:cNvPr id="2" name="Picture 2"/>
        <xdr:cNvPicPr preferRelativeResize="1">
          <a:picLocks noChangeAspect="1"/>
        </xdr:cNvPicPr>
      </xdr:nvPicPr>
      <xdr:blipFill>
        <a:blip r:link="rId1"/>
        <a:stretch>
          <a:fillRect/>
        </a:stretch>
      </xdr:blipFill>
      <xdr:spPr>
        <a:xfrm>
          <a:off x="0" y="20764500"/>
          <a:ext cx="314325" cy="238125"/>
        </a:xfrm>
        <a:prstGeom prst="rect">
          <a:avLst/>
        </a:prstGeom>
        <a:noFill/>
        <a:ln w="9525" cmpd="sng">
          <a:noFill/>
        </a:ln>
      </xdr:spPr>
    </xdr:pic>
    <xdr:clientData/>
  </xdr:twoCellAnchor>
  <xdr:twoCellAnchor>
    <xdr:from>
      <xdr:col>0</xdr:col>
      <xdr:colOff>28575</xdr:colOff>
      <xdr:row>151</xdr:row>
      <xdr:rowOff>57150</xdr:rowOff>
    </xdr:from>
    <xdr:to>
      <xdr:col>1</xdr:col>
      <xdr:colOff>28575</xdr:colOff>
      <xdr:row>152</xdr:row>
      <xdr:rowOff>133350</xdr:rowOff>
    </xdr:to>
    <xdr:pic>
      <xdr:nvPicPr>
        <xdr:cNvPr id="3" name="Picture 3"/>
        <xdr:cNvPicPr preferRelativeResize="1">
          <a:picLocks noChangeAspect="1"/>
        </xdr:cNvPicPr>
      </xdr:nvPicPr>
      <xdr:blipFill>
        <a:blip r:link="rId1"/>
        <a:stretch>
          <a:fillRect/>
        </a:stretch>
      </xdr:blipFill>
      <xdr:spPr>
        <a:xfrm>
          <a:off x="28575" y="29927550"/>
          <a:ext cx="314325" cy="238125"/>
        </a:xfrm>
        <a:prstGeom prst="rect">
          <a:avLst/>
        </a:prstGeom>
        <a:noFill/>
        <a:ln w="9525" cmpd="sng">
          <a:noFill/>
        </a:ln>
      </xdr:spPr>
    </xdr:pic>
    <xdr:clientData/>
  </xdr:twoCellAnchor>
  <xdr:twoCellAnchor>
    <xdr:from>
      <xdr:col>0</xdr:col>
      <xdr:colOff>0</xdr:colOff>
      <xdr:row>199</xdr:row>
      <xdr:rowOff>104775</xdr:rowOff>
    </xdr:from>
    <xdr:to>
      <xdr:col>1</xdr:col>
      <xdr:colOff>0</xdr:colOff>
      <xdr:row>200</xdr:row>
      <xdr:rowOff>142875</xdr:rowOff>
    </xdr:to>
    <xdr:pic>
      <xdr:nvPicPr>
        <xdr:cNvPr id="4" name="Picture 4"/>
        <xdr:cNvPicPr preferRelativeResize="1">
          <a:picLocks noChangeAspect="1"/>
        </xdr:cNvPicPr>
      </xdr:nvPicPr>
      <xdr:blipFill>
        <a:blip r:link="rId1"/>
        <a:stretch>
          <a:fillRect/>
        </a:stretch>
      </xdr:blipFill>
      <xdr:spPr>
        <a:xfrm>
          <a:off x="0" y="39547800"/>
          <a:ext cx="314325" cy="238125"/>
        </a:xfrm>
        <a:prstGeom prst="rect">
          <a:avLst/>
        </a:prstGeom>
        <a:noFill/>
        <a:ln w="9525" cmpd="sng">
          <a:noFill/>
        </a:ln>
      </xdr:spPr>
    </xdr:pic>
    <xdr:clientData/>
  </xdr:twoCellAnchor>
  <xdr:twoCellAnchor>
    <xdr:from>
      <xdr:col>12</xdr:col>
      <xdr:colOff>2133600</xdr:colOff>
      <xdr:row>199</xdr:row>
      <xdr:rowOff>57150</xdr:rowOff>
    </xdr:from>
    <xdr:to>
      <xdr:col>12</xdr:col>
      <xdr:colOff>2933700</xdr:colOff>
      <xdr:row>200</xdr:row>
      <xdr:rowOff>85725</xdr:rowOff>
    </xdr:to>
    <xdr:pic>
      <xdr:nvPicPr>
        <xdr:cNvPr id="5" name="Picture 5"/>
        <xdr:cNvPicPr preferRelativeResize="1">
          <a:picLocks noChangeAspect="1"/>
        </xdr:cNvPicPr>
      </xdr:nvPicPr>
      <xdr:blipFill>
        <a:blip r:link="rId2"/>
        <a:stretch>
          <a:fillRect/>
        </a:stretch>
      </xdr:blipFill>
      <xdr:spPr>
        <a:xfrm>
          <a:off x="16192500" y="39500175"/>
          <a:ext cx="800100" cy="228600"/>
        </a:xfrm>
        <a:prstGeom prst="rect">
          <a:avLst/>
        </a:prstGeom>
        <a:noFill/>
        <a:ln w="9525" cmpd="sng">
          <a:noFill/>
        </a:ln>
      </xdr:spPr>
    </xdr:pic>
    <xdr:clientData/>
  </xdr:twoCellAnchor>
  <xdr:twoCellAnchor>
    <xdr:from>
      <xdr:col>12</xdr:col>
      <xdr:colOff>2276475</xdr:colOff>
      <xdr:row>151</xdr:row>
      <xdr:rowOff>38100</xdr:rowOff>
    </xdr:from>
    <xdr:to>
      <xdr:col>12</xdr:col>
      <xdr:colOff>3076575</xdr:colOff>
      <xdr:row>152</xdr:row>
      <xdr:rowOff>104775</xdr:rowOff>
    </xdr:to>
    <xdr:pic>
      <xdr:nvPicPr>
        <xdr:cNvPr id="6" name="Picture 6"/>
        <xdr:cNvPicPr preferRelativeResize="1">
          <a:picLocks noChangeAspect="1"/>
        </xdr:cNvPicPr>
      </xdr:nvPicPr>
      <xdr:blipFill>
        <a:blip r:link="rId2"/>
        <a:stretch>
          <a:fillRect/>
        </a:stretch>
      </xdr:blipFill>
      <xdr:spPr>
        <a:xfrm>
          <a:off x="16335375" y="29908500"/>
          <a:ext cx="800100" cy="228600"/>
        </a:xfrm>
        <a:prstGeom prst="rect">
          <a:avLst/>
        </a:prstGeom>
        <a:noFill/>
        <a:ln w="9525" cmpd="sng">
          <a:noFill/>
        </a:ln>
      </xdr:spPr>
    </xdr:pic>
    <xdr:clientData/>
  </xdr:twoCellAnchor>
  <xdr:twoCellAnchor>
    <xdr:from>
      <xdr:col>12</xdr:col>
      <xdr:colOff>2219325</xdr:colOff>
      <xdr:row>102</xdr:row>
      <xdr:rowOff>0</xdr:rowOff>
    </xdr:from>
    <xdr:to>
      <xdr:col>12</xdr:col>
      <xdr:colOff>3019425</xdr:colOff>
      <xdr:row>103</xdr:row>
      <xdr:rowOff>133350</xdr:rowOff>
    </xdr:to>
    <xdr:pic>
      <xdr:nvPicPr>
        <xdr:cNvPr id="7" name="Picture 7"/>
        <xdr:cNvPicPr preferRelativeResize="1">
          <a:picLocks noChangeAspect="1"/>
        </xdr:cNvPicPr>
      </xdr:nvPicPr>
      <xdr:blipFill>
        <a:blip r:link="rId2"/>
        <a:stretch>
          <a:fillRect/>
        </a:stretch>
      </xdr:blipFill>
      <xdr:spPr>
        <a:xfrm>
          <a:off x="16278225" y="20754975"/>
          <a:ext cx="800100" cy="228600"/>
        </a:xfrm>
        <a:prstGeom prst="rect">
          <a:avLst/>
        </a:prstGeom>
        <a:noFill/>
        <a:ln w="9525" cmpd="sng">
          <a:noFill/>
        </a:ln>
      </xdr:spPr>
    </xdr:pic>
    <xdr:clientData/>
  </xdr:twoCellAnchor>
  <xdr:twoCellAnchor>
    <xdr:from>
      <xdr:col>12</xdr:col>
      <xdr:colOff>2247900</xdr:colOff>
      <xdr:row>49</xdr:row>
      <xdr:rowOff>85725</xdr:rowOff>
    </xdr:from>
    <xdr:to>
      <xdr:col>12</xdr:col>
      <xdr:colOff>3048000</xdr:colOff>
      <xdr:row>50</xdr:row>
      <xdr:rowOff>114300</xdr:rowOff>
    </xdr:to>
    <xdr:pic>
      <xdr:nvPicPr>
        <xdr:cNvPr id="8" name="Picture 8"/>
        <xdr:cNvPicPr preferRelativeResize="1">
          <a:picLocks noChangeAspect="1"/>
        </xdr:cNvPicPr>
      </xdr:nvPicPr>
      <xdr:blipFill>
        <a:blip r:link="rId2"/>
        <a:stretch>
          <a:fillRect/>
        </a:stretch>
      </xdr:blipFill>
      <xdr:spPr>
        <a:xfrm>
          <a:off x="16306800" y="9667875"/>
          <a:ext cx="80010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152400</xdr:rowOff>
    </xdr:from>
    <xdr:to>
      <xdr:col>1</xdr:col>
      <xdr:colOff>9525</xdr:colOff>
      <xdr:row>50</xdr:row>
      <xdr:rowOff>190500</xdr:rowOff>
    </xdr:to>
    <xdr:pic>
      <xdr:nvPicPr>
        <xdr:cNvPr id="1" name="Picture 1"/>
        <xdr:cNvPicPr preferRelativeResize="1">
          <a:picLocks noChangeAspect="1"/>
        </xdr:cNvPicPr>
      </xdr:nvPicPr>
      <xdr:blipFill>
        <a:blip r:link="rId1"/>
        <a:stretch>
          <a:fillRect/>
        </a:stretch>
      </xdr:blipFill>
      <xdr:spPr>
        <a:xfrm>
          <a:off x="9525" y="9734550"/>
          <a:ext cx="314325" cy="238125"/>
        </a:xfrm>
        <a:prstGeom prst="rect">
          <a:avLst/>
        </a:prstGeom>
        <a:noFill/>
        <a:ln w="9525" cmpd="sng">
          <a:noFill/>
        </a:ln>
      </xdr:spPr>
    </xdr:pic>
    <xdr:clientData/>
  </xdr:twoCellAnchor>
  <xdr:twoCellAnchor>
    <xdr:from>
      <xdr:col>0</xdr:col>
      <xdr:colOff>0</xdr:colOff>
      <xdr:row>103</xdr:row>
      <xdr:rowOff>9525</xdr:rowOff>
    </xdr:from>
    <xdr:to>
      <xdr:col>1</xdr:col>
      <xdr:colOff>0</xdr:colOff>
      <xdr:row>104</xdr:row>
      <xdr:rowOff>152400</xdr:rowOff>
    </xdr:to>
    <xdr:pic>
      <xdr:nvPicPr>
        <xdr:cNvPr id="2" name="Picture 2"/>
        <xdr:cNvPicPr preferRelativeResize="1">
          <a:picLocks noChangeAspect="1"/>
        </xdr:cNvPicPr>
      </xdr:nvPicPr>
      <xdr:blipFill>
        <a:blip r:link="rId1"/>
        <a:stretch>
          <a:fillRect/>
        </a:stretch>
      </xdr:blipFill>
      <xdr:spPr>
        <a:xfrm>
          <a:off x="0" y="20964525"/>
          <a:ext cx="314325" cy="238125"/>
        </a:xfrm>
        <a:prstGeom prst="rect">
          <a:avLst/>
        </a:prstGeom>
        <a:noFill/>
        <a:ln w="9525" cmpd="sng">
          <a:noFill/>
        </a:ln>
      </xdr:spPr>
    </xdr:pic>
    <xdr:clientData/>
  </xdr:twoCellAnchor>
  <xdr:twoCellAnchor>
    <xdr:from>
      <xdr:col>0</xdr:col>
      <xdr:colOff>28575</xdr:colOff>
      <xdr:row>153</xdr:row>
      <xdr:rowOff>57150</xdr:rowOff>
    </xdr:from>
    <xdr:to>
      <xdr:col>1</xdr:col>
      <xdr:colOff>28575</xdr:colOff>
      <xdr:row>154</xdr:row>
      <xdr:rowOff>133350</xdr:rowOff>
    </xdr:to>
    <xdr:pic>
      <xdr:nvPicPr>
        <xdr:cNvPr id="3" name="Picture 3"/>
        <xdr:cNvPicPr preferRelativeResize="1">
          <a:picLocks noChangeAspect="1"/>
        </xdr:cNvPicPr>
      </xdr:nvPicPr>
      <xdr:blipFill>
        <a:blip r:link="rId1"/>
        <a:stretch>
          <a:fillRect/>
        </a:stretch>
      </xdr:blipFill>
      <xdr:spPr>
        <a:xfrm>
          <a:off x="28575" y="30327600"/>
          <a:ext cx="314325" cy="238125"/>
        </a:xfrm>
        <a:prstGeom prst="rect">
          <a:avLst/>
        </a:prstGeom>
        <a:noFill/>
        <a:ln w="9525" cmpd="sng">
          <a:noFill/>
        </a:ln>
      </xdr:spPr>
    </xdr:pic>
    <xdr:clientData/>
  </xdr:twoCellAnchor>
  <xdr:twoCellAnchor>
    <xdr:from>
      <xdr:col>0</xdr:col>
      <xdr:colOff>0</xdr:colOff>
      <xdr:row>201</xdr:row>
      <xdr:rowOff>104775</xdr:rowOff>
    </xdr:from>
    <xdr:to>
      <xdr:col>1</xdr:col>
      <xdr:colOff>0</xdr:colOff>
      <xdr:row>202</xdr:row>
      <xdr:rowOff>142875</xdr:rowOff>
    </xdr:to>
    <xdr:pic>
      <xdr:nvPicPr>
        <xdr:cNvPr id="4" name="Picture 4"/>
        <xdr:cNvPicPr preferRelativeResize="1">
          <a:picLocks noChangeAspect="1"/>
        </xdr:cNvPicPr>
      </xdr:nvPicPr>
      <xdr:blipFill>
        <a:blip r:link="rId1"/>
        <a:stretch>
          <a:fillRect/>
        </a:stretch>
      </xdr:blipFill>
      <xdr:spPr>
        <a:xfrm>
          <a:off x="0" y="39947850"/>
          <a:ext cx="314325" cy="238125"/>
        </a:xfrm>
        <a:prstGeom prst="rect">
          <a:avLst/>
        </a:prstGeom>
        <a:noFill/>
        <a:ln w="9525" cmpd="sng">
          <a:noFill/>
        </a:ln>
      </xdr:spPr>
    </xdr:pic>
    <xdr:clientData/>
  </xdr:twoCellAnchor>
  <xdr:twoCellAnchor>
    <xdr:from>
      <xdr:col>12</xdr:col>
      <xdr:colOff>2133600</xdr:colOff>
      <xdr:row>201</xdr:row>
      <xdr:rowOff>57150</xdr:rowOff>
    </xdr:from>
    <xdr:to>
      <xdr:col>12</xdr:col>
      <xdr:colOff>2933700</xdr:colOff>
      <xdr:row>202</xdr:row>
      <xdr:rowOff>85725</xdr:rowOff>
    </xdr:to>
    <xdr:pic>
      <xdr:nvPicPr>
        <xdr:cNvPr id="5" name="Picture 5"/>
        <xdr:cNvPicPr preferRelativeResize="1">
          <a:picLocks noChangeAspect="1"/>
        </xdr:cNvPicPr>
      </xdr:nvPicPr>
      <xdr:blipFill>
        <a:blip r:link="rId2"/>
        <a:stretch>
          <a:fillRect/>
        </a:stretch>
      </xdr:blipFill>
      <xdr:spPr>
        <a:xfrm>
          <a:off x="16192500" y="39900225"/>
          <a:ext cx="800100" cy="228600"/>
        </a:xfrm>
        <a:prstGeom prst="rect">
          <a:avLst/>
        </a:prstGeom>
        <a:noFill/>
        <a:ln w="9525" cmpd="sng">
          <a:noFill/>
        </a:ln>
      </xdr:spPr>
    </xdr:pic>
    <xdr:clientData/>
  </xdr:twoCellAnchor>
  <xdr:twoCellAnchor>
    <xdr:from>
      <xdr:col>12</xdr:col>
      <xdr:colOff>2276475</xdr:colOff>
      <xdr:row>153</xdr:row>
      <xdr:rowOff>38100</xdr:rowOff>
    </xdr:from>
    <xdr:to>
      <xdr:col>12</xdr:col>
      <xdr:colOff>3076575</xdr:colOff>
      <xdr:row>154</xdr:row>
      <xdr:rowOff>104775</xdr:rowOff>
    </xdr:to>
    <xdr:pic>
      <xdr:nvPicPr>
        <xdr:cNvPr id="6" name="Picture 6"/>
        <xdr:cNvPicPr preferRelativeResize="1">
          <a:picLocks noChangeAspect="1"/>
        </xdr:cNvPicPr>
      </xdr:nvPicPr>
      <xdr:blipFill>
        <a:blip r:link="rId2"/>
        <a:stretch>
          <a:fillRect/>
        </a:stretch>
      </xdr:blipFill>
      <xdr:spPr>
        <a:xfrm>
          <a:off x="16335375" y="30308550"/>
          <a:ext cx="800100" cy="228600"/>
        </a:xfrm>
        <a:prstGeom prst="rect">
          <a:avLst/>
        </a:prstGeom>
        <a:noFill/>
        <a:ln w="9525" cmpd="sng">
          <a:noFill/>
        </a:ln>
      </xdr:spPr>
    </xdr:pic>
    <xdr:clientData/>
  </xdr:twoCellAnchor>
  <xdr:twoCellAnchor>
    <xdr:from>
      <xdr:col>12</xdr:col>
      <xdr:colOff>2219325</xdr:colOff>
      <xdr:row>103</xdr:row>
      <xdr:rowOff>0</xdr:rowOff>
    </xdr:from>
    <xdr:to>
      <xdr:col>12</xdr:col>
      <xdr:colOff>3019425</xdr:colOff>
      <xdr:row>104</xdr:row>
      <xdr:rowOff>133350</xdr:rowOff>
    </xdr:to>
    <xdr:pic>
      <xdr:nvPicPr>
        <xdr:cNvPr id="7" name="Picture 7"/>
        <xdr:cNvPicPr preferRelativeResize="1">
          <a:picLocks noChangeAspect="1"/>
        </xdr:cNvPicPr>
      </xdr:nvPicPr>
      <xdr:blipFill>
        <a:blip r:link="rId2"/>
        <a:stretch>
          <a:fillRect/>
        </a:stretch>
      </xdr:blipFill>
      <xdr:spPr>
        <a:xfrm>
          <a:off x="16278225" y="20955000"/>
          <a:ext cx="800100" cy="228600"/>
        </a:xfrm>
        <a:prstGeom prst="rect">
          <a:avLst/>
        </a:prstGeom>
        <a:noFill/>
        <a:ln w="9525" cmpd="sng">
          <a:noFill/>
        </a:ln>
      </xdr:spPr>
    </xdr:pic>
    <xdr:clientData/>
  </xdr:twoCellAnchor>
  <xdr:twoCellAnchor>
    <xdr:from>
      <xdr:col>12</xdr:col>
      <xdr:colOff>2247900</xdr:colOff>
      <xdr:row>49</xdr:row>
      <xdr:rowOff>85725</xdr:rowOff>
    </xdr:from>
    <xdr:to>
      <xdr:col>12</xdr:col>
      <xdr:colOff>3048000</xdr:colOff>
      <xdr:row>50</xdr:row>
      <xdr:rowOff>114300</xdr:rowOff>
    </xdr:to>
    <xdr:pic>
      <xdr:nvPicPr>
        <xdr:cNvPr id="8" name="Picture 8"/>
        <xdr:cNvPicPr preferRelativeResize="1">
          <a:picLocks noChangeAspect="1"/>
        </xdr:cNvPicPr>
      </xdr:nvPicPr>
      <xdr:blipFill>
        <a:blip r:link="rId2"/>
        <a:stretch>
          <a:fillRect/>
        </a:stretch>
      </xdr:blipFill>
      <xdr:spPr>
        <a:xfrm>
          <a:off x="16306800" y="9667875"/>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104775</xdr:rowOff>
    </xdr:from>
    <xdr:to>
      <xdr:col>1</xdr:col>
      <xdr:colOff>38100</xdr:colOff>
      <xdr:row>48</xdr:row>
      <xdr:rowOff>142875</xdr:rowOff>
    </xdr:to>
    <xdr:pic>
      <xdr:nvPicPr>
        <xdr:cNvPr id="1" name="Picture 1"/>
        <xdr:cNvPicPr preferRelativeResize="1">
          <a:picLocks noChangeAspect="1"/>
        </xdr:cNvPicPr>
      </xdr:nvPicPr>
      <xdr:blipFill>
        <a:blip r:link="rId1"/>
        <a:stretch>
          <a:fillRect/>
        </a:stretch>
      </xdr:blipFill>
      <xdr:spPr>
        <a:xfrm>
          <a:off x="38100" y="9286875"/>
          <a:ext cx="314325" cy="238125"/>
        </a:xfrm>
        <a:prstGeom prst="rect">
          <a:avLst/>
        </a:prstGeom>
        <a:noFill/>
        <a:ln w="9525" cmpd="sng">
          <a:noFill/>
        </a:ln>
      </xdr:spPr>
    </xdr:pic>
    <xdr:clientData/>
  </xdr:twoCellAnchor>
  <xdr:twoCellAnchor>
    <xdr:from>
      <xdr:col>0</xdr:col>
      <xdr:colOff>0</xdr:colOff>
      <xdr:row>100</xdr:row>
      <xdr:rowOff>85725</xdr:rowOff>
    </xdr:from>
    <xdr:to>
      <xdr:col>1</xdr:col>
      <xdr:colOff>0</xdr:colOff>
      <xdr:row>101</xdr:row>
      <xdr:rowOff>171450</xdr:rowOff>
    </xdr:to>
    <xdr:pic>
      <xdr:nvPicPr>
        <xdr:cNvPr id="2" name="Picture 2"/>
        <xdr:cNvPicPr preferRelativeResize="1">
          <a:picLocks noChangeAspect="1"/>
        </xdr:cNvPicPr>
      </xdr:nvPicPr>
      <xdr:blipFill>
        <a:blip r:link="rId1"/>
        <a:stretch>
          <a:fillRect/>
        </a:stretch>
      </xdr:blipFill>
      <xdr:spPr>
        <a:xfrm>
          <a:off x="0" y="20469225"/>
          <a:ext cx="314325" cy="238125"/>
        </a:xfrm>
        <a:prstGeom prst="rect">
          <a:avLst/>
        </a:prstGeom>
        <a:noFill/>
        <a:ln w="9525" cmpd="sng">
          <a:noFill/>
        </a:ln>
      </xdr:spPr>
    </xdr:pic>
    <xdr:clientData/>
  </xdr:twoCellAnchor>
  <xdr:twoCellAnchor>
    <xdr:from>
      <xdr:col>0</xdr:col>
      <xdr:colOff>38100</xdr:colOff>
      <xdr:row>149</xdr:row>
      <xdr:rowOff>95250</xdr:rowOff>
    </xdr:from>
    <xdr:to>
      <xdr:col>1</xdr:col>
      <xdr:colOff>38100</xdr:colOff>
      <xdr:row>150</xdr:row>
      <xdr:rowOff>133350</xdr:rowOff>
    </xdr:to>
    <xdr:pic>
      <xdr:nvPicPr>
        <xdr:cNvPr id="3" name="Picture 3"/>
        <xdr:cNvPicPr preferRelativeResize="1">
          <a:picLocks noChangeAspect="1"/>
        </xdr:cNvPicPr>
      </xdr:nvPicPr>
      <xdr:blipFill>
        <a:blip r:link="rId1"/>
        <a:stretch>
          <a:fillRect/>
        </a:stretch>
      </xdr:blipFill>
      <xdr:spPr>
        <a:xfrm>
          <a:off x="38100" y="29651325"/>
          <a:ext cx="314325" cy="238125"/>
        </a:xfrm>
        <a:prstGeom prst="rect">
          <a:avLst/>
        </a:prstGeom>
        <a:noFill/>
        <a:ln w="9525" cmpd="sng">
          <a:noFill/>
        </a:ln>
      </xdr:spPr>
    </xdr:pic>
    <xdr:clientData/>
  </xdr:twoCellAnchor>
  <xdr:twoCellAnchor>
    <xdr:from>
      <xdr:col>0</xdr:col>
      <xdr:colOff>9525</xdr:colOff>
      <xdr:row>196</xdr:row>
      <xdr:rowOff>152400</xdr:rowOff>
    </xdr:from>
    <xdr:to>
      <xdr:col>1</xdr:col>
      <xdr:colOff>9525</xdr:colOff>
      <xdr:row>197</xdr:row>
      <xdr:rowOff>190500</xdr:rowOff>
    </xdr:to>
    <xdr:pic>
      <xdr:nvPicPr>
        <xdr:cNvPr id="4" name="Picture 4"/>
        <xdr:cNvPicPr preferRelativeResize="1">
          <a:picLocks noChangeAspect="1"/>
        </xdr:cNvPicPr>
      </xdr:nvPicPr>
      <xdr:blipFill>
        <a:blip r:link="rId1"/>
        <a:stretch>
          <a:fillRect/>
        </a:stretch>
      </xdr:blipFill>
      <xdr:spPr>
        <a:xfrm>
          <a:off x="9525" y="39157275"/>
          <a:ext cx="314325" cy="238125"/>
        </a:xfrm>
        <a:prstGeom prst="rect">
          <a:avLst/>
        </a:prstGeom>
        <a:noFill/>
        <a:ln w="9525" cmpd="sng">
          <a:noFill/>
        </a:ln>
      </xdr:spPr>
    </xdr:pic>
    <xdr:clientData/>
  </xdr:twoCellAnchor>
  <xdr:twoCellAnchor>
    <xdr:from>
      <xdr:col>12</xdr:col>
      <xdr:colOff>1771650</xdr:colOff>
      <xdr:row>196</xdr:row>
      <xdr:rowOff>161925</xdr:rowOff>
    </xdr:from>
    <xdr:to>
      <xdr:col>12</xdr:col>
      <xdr:colOff>2571750</xdr:colOff>
      <xdr:row>197</xdr:row>
      <xdr:rowOff>190500</xdr:rowOff>
    </xdr:to>
    <xdr:pic>
      <xdr:nvPicPr>
        <xdr:cNvPr id="5" name="Picture 5"/>
        <xdr:cNvPicPr preferRelativeResize="1">
          <a:picLocks noChangeAspect="1"/>
        </xdr:cNvPicPr>
      </xdr:nvPicPr>
      <xdr:blipFill>
        <a:blip r:link="rId2"/>
        <a:stretch>
          <a:fillRect/>
        </a:stretch>
      </xdr:blipFill>
      <xdr:spPr>
        <a:xfrm>
          <a:off x="15830550" y="39166800"/>
          <a:ext cx="800100" cy="228600"/>
        </a:xfrm>
        <a:prstGeom prst="rect">
          <a:avLst/>
        </a:prstGeom>
        <a:noFill/>
        <a:ln w="9525" cmpd="sng">
          <a:noFill/>
        </a:ln>
      </xdr:spPr>
    </xdr:pic>
    <xdr:clientData/>
  </xdr:twoCellAnchor>
  <xdr:twoCellAnchor>
    <xdr:from>
      <xdr:col>12</xdr:col>
      <xdr:colOff>1838325</xdr:colOff>
      <xdr:row>149</xdr:row>
      <xdr:rowOff>104775</xdr:rowOff>
    </xdr:from>
    <xdr:to>
      <xdr:col>12</xdr:col>
      <xdr:colOff>2638425</xdr:colOff>
      <xdr:row>150</xdr:row>
      <xdr:rowOff>133350</xdr:rowOff>
    </xdr:to>
    <xdr:pic>
      <xdr:nvPicPr>
        <xdr:cNvPr id="6" name="Picture 6"/>
        <xdr:cNvPicPr preferRelativeResize="1">
          <a:picLocks noChangeAspect="1"/>
        </xdr:cNvPicPr>
      </xdr:nvPicPr>
      <xdr:blipFill>
        <a:blip r:link="rId2"/>
        <a:stretch>
          <a:fillRect/>
        </a:stretch>
      </xdr:blipFill>
      <xdr:spPr>
        <a:xfrm>
          <a:off x="15897225" y="29660850"/>
          <a:ext cx="800100" cy="228600"/>
        </a:xfrm>
        <a:prstGeom prst="rect">
          <a:avLst/>
        </a:prstGeom>
        <a:noFill/>
        <a:ln w="9525" cmpd="sng">
          <a:noFill/>
        </a:ln>
      </xdr:spPr>
    </xdr:pic>
    <xdr:clientData/>
  </xdr:twoCellAnchor>
  <xdr:twoCellAnchor>
    <xdr:from>
      <xdr:col>12</xdr:col>
      <xdr:colOff>1847850</xdr:colOff>
      <xdr:row>100</xdr:row>
      <xdr:rowOff>9525</xdr:rowOff>
    </xdr:from>
    <xdr:to>
      <xdr:col>12</xdr:col>
      <xdr:colOff>2647950</xdr:colOff>
      <xdr:row>101</xdr:row>
      <xdr:rowOff>85725</xdr:rowOff>
    </xdr:to>
    <xdr:pic>
      <xdr:nvPicPr>
        <xdr:cNvPr id="7" name="Picture 7"/>
        <xdr:cNvPicPr preferRelativeResize="1">
          <a:picLocks noChangeAspect="1"/>
        </xdr:cNvPicPr>
      </xdr:nvPicPr>
      <xdr:blipFill>
        <a:blip r:link="rId2"/>
        <a:stretch>
          <a:fillRect/>
        </a:stretch>
      </xdr:blipFill>
      <xdr:spPr>
        <a:xfrm>
          <a:off x="15906750" y="20393025"/>
          <a:ext cx="800100" cy="228600"/>
        </a:xfrm>
        <a:prstGeom prst="rect">
          <a:avLst/>
        </a:prstGeom>
        <a:noFill/>
        <a:ln w="9525" cmpd="sng">
          <a:noFill/>
        </a:ln>
      </xdr:spPr>
    </xdr:pic>
    <xdr:clientData/>
  </xdr:twoCellAnchor>
  <xdr:twoCellAnchor>
    <xdr:from>
      <xdr:col>12</xdr:col>
      <xdr:colOff>1819275</xdr:colOff>
      <xdr:row>47</xdr:row>
      <xdr:rowOff>104775</xdr:rowOff>
    </xdr:from>
    <xdr:to>
      <xdr:col>12</xdr:col>
      <xdr:colOff>2619375</xdr:colOff>
      <xdr:row>48</xdr:row>
      <xdr:rowOff>133350</xdr:rowOff>
    </xdr:to>
    <xdr:pic>
      <xdr:nvPicPr>
        <xdr:cNvPr id="8" name="Picture 8"/>
        <xdr:cNvPicPr preferRelativeResize="1">
          <a:picLocks noChangeAspect="1"/>
        </xdr:cNvPicPr>
      </xdr:nvPicPr>
      <xdr:blipFill>
        <a:blip r:link="rId2"/>
        <a:stretch>
          <a:fillRect/>
        </a:stretch>
      </xdr:blipFill>
      <xdr:spPr>
        <a:xfrm>
          <a:off x="15878175" y="9286875"/>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180975</xdr:rowOff>
    </xdr:from>
    <xdr:to>
      <xdr:col>1</xdr:col>
      <xdr:colOff>28575</xdr:colOff>
      <xdr:row>48</xdr:row>
      <xdr:rowOff>219075</xdr:rowOff>
    </xdr:to>
    <xdr:pic>
      <xdr:nvPicPr>
        <xdr:cNvPr id="1" name="Picture 1"/>
        <xdr:cNvPicPr preferRelativeResize="1">
          <a:picLocks noChangeAspect="1"/>
        </xdr:cNvPicPr>
      </xdr:nvPicPr>
      <xdr:blipFill>
        <a:blip r:link="rId1"/>
        <a:stretch>
          <a:fillRect/>
        </a:stretch>
      </xdr:blipFill>
      <xdr:spPr>
        <a:xfrm>
          <a:off x="28575" y="9363075"/>
          <a:ext cx="314325" cy="238125"/>
        </a:xfrm>
        <a:prstGeom prst="rect">
          <a:avLst/>
        </a:prstGeom>
        <a:noFill/>
        <a:ln w="9525" cmpd="sng">
          <a:noFill/>
        </a:ln>
      </xdr:spPr>
    </xdr:pic>
    <xdr:clientData/>
  </xdr:twoCellAnchor>
  <xdr:twoCellAnchor>
    <xdr:from>
      <xdr:col>0</xdr:col>
      <xdr:colOff>9525</xdr:colOff>
      <xdr:row>100</xdr:row>
      <xdr:rowOff>38100</xdr:rowOff>
    </xdr:from>
    <xdr:to>
      <xdr:col>1</xdr:col>
      <xdr:colOff>9525</xdr:colOff>
      <xdr:row>101</xdr:row>
      <xdr:rowOff>123825</xdr:rowOff>
    </xdr:to>
    <xdr:pic>
      <xdr:nvPicPr>
        <xdr:cNvPr id="2" name="Picture 2"/>
        <xdr:cNvPicPr preferRelativeResize="1">
          <a:picLocks noChangeAspect="1"/>
        </xdr:cNvPicPr>
      </xdr:nvPicPr>
      <xdr:blipFill>
        <a:blip r:link="rId1"/>
        <a:stretch>
          <a:fillRect/>
        </a:stretch>
      </xdr:blipFill>
      <xdr:spPr>
        <a:xfrm>
          <a:off x="9525" y="20421600"/>
          <a:ext cx="314325" cy="238125"/>
        </a:xfrm>
        <a:prstGeom prst="rect">
          <a:avLst/>
        </a:prstGeom>
        <a:noFill/>
        <a:ln w="9525" cmpd="sng">
          <a:noFill/>
        </a:ln>
      </xdr:spPr>
    </xdr:pic>
    <xdr:clientData/>
  </xdr:twoCellAnchor>
  <xdr:twoCellAnchor>
    <xdr:from>
      <xdr:col>0</xdr:col>
      <xdr:colOff>28575</xdr:colOff>
      <xdr:row>149</xdr:row>
      <xdr:rowOff>85725</xdr:rowOff>
    </xdr:from>
    <xdr:to>
      <xdr:col>1</xdr:col>
      <xdr:colOff>28575</xdr:colOff>
      <xdr:row>150</xdr:row>
      <xdr:rowOff>152400</xdr:rowOff>
    </xdr:to>
    <xdr:pic>
      <xdr:nvPicPr>
        <xdr:cNvPr id="3" name="Picture 3"/>
        <xdr:cNvPicPr preferRelativeResize="1">
          <a:picLocks noChangeAspect="1"/>
        </xdr:cNvPicPr>
      </xdr:nvPicPr>
      <xdr:blipFill>
        <a:blip r:link="rId1"/>
        <a:stretch>
          <a:fillRect/>
        </a:stretch>
      </xdr:blipFill>
      <xdr:spPr>
        <a:xfrm>
          <a:off x="28575" y="29632275"/>
          <a:ext cx="314325" cy="238125"/>
        </a:xfrm>
        <a:prstGeom prst="rect">
          <a:avLst/>
        </a:prstGeom>
        <a:noFill/>
        <a:ln w="9525" cmpd="sng">
          <a:noFill/>
        </a:ln>
      </xdr:spPr>
    </xdr:pic>
    <xdr:clientData/>
  </xdr:twoCellAnchor>
  <xdr:twoCellAnchor>
    <xdr:from>
      <xdr:col>0</xdr:col>
      <xdr:colOff>38100</xdr:colOff>
      <xdr:row>196</xdr:row>
      <xdr:rowOff>123825</xdr:rowOff>
    </xdr:from>
    <xdr:to>
      <xdr:col>1</xdr:col>
      <xdr:colOff>38100</xdr:colOff>
      <xdr:row>197</xdr:row>
      <xdr:rowOff>161925</xdr:rowOff>
    </xdr:to>
    <xdr:pic>
      <xdr:nvPicPr>
        <xdr:cNvPr id="4" name="Picture 4"/>
        <xdr:cNvPicPr preferRelativeResize="1">
          <a:picLocks noChangeAspect="1"/>
        </xdr:cNvPicPr>
      </xdr:nvPicPr>
      <xdr:blipFill>
        <a:blip r:link="rId1"/>
        <a:stretch>
          <a:fillRect/>
        </a:stretch>
      </xdr:blipFill>
      <xdr:spPr>
        <a:xfrm>
          <a:off x="38100" y="39071550"/>
          <a:ext cx="314325" cy="238125"/>
        </a:xfrm>
        <a:prstGeom prst="rect">
          <a:avLst/>
        </a:prstGeom>
        <a:noFill/>
        <a:ln w="9525" cmpd="sng">
          <a:noFill/>
        </a:ln>
      </xdr:spPr>
    </xdr:pic>
    <xdr:clientData/>
  </xdr:twoCellAnchor>
  <xdr:twoCellAnchor>
    <xdr:from>
      <xdr:col>12</xdr:col>
      <xdr:colOff>1685925</xdr:colOff>
      <xdr:row>196</xdr:row>
      <xdr:rowOff>161925</xdr:rowOff>
    </xdr:from>
    <xdr:to>
      <xdr:col>12</xdr:col>
      <xdr:colOff>2486025</xdr:colOff>
      <xdr:row>197</xdr:row>
      <xdr:rowOff>190500</xdr:rowOff>
    </xdr:to>
    <xdr:pic>
      <xdr:nvPicPr>
        <xdr:cNvPr id="5" name="Picture 5"/>
        <xdr:cNvPicPr preferRelativeResize="1">
          <a:picLocks noChangeAspect="1"/>
        </xdr:cNvPicPr>
      </xdr:nvPicPr>
      <xdr:blipFill>
        <a:blip r:link="rId2"/>
        <a:stretch>
          <a:fillRect/>
        </a:stretch>
      </xdr:blipFill>
      <xdr:spPr>
        <a:xfrm>
          <a:off x="15744825" y="39109650"/>
          <a:ext cx="800100" cy="228600"/>
        </a:xfrm>
        <a:prstGeom prst="rect">
          <a:avLst/>
        </a:prstGeom>
        <a:noFill/>
        <a:ln w="9525" cmpd="sng">
          <a:noFill/>
        </a:ln>
      </xdr:spPr>
    </xdr:pic>
    <xdr:clientData/>
  </xdr:twoCellAnchor>
  <xdr:twoCellAnchor>
    <xdr:from>
      <xdr:col>12</xdr:col>
      <xdr:colOff>1724025</xdr:colOff>
      <xdr:row>149</xdr:row>
      <xdr:rowOff>85725</xdr:rowOff>
    </xdr:from>
    <xdr:to>
      <xdr:col>12</xdr:col>
      <xdr:colOff>2524125</xdr:colOff>
      <xdr:row>150</xdr:row>
      <xdr:rowOff>142875</xdr:rowOff>
    </xdr:to>
    <xdr:pic>
      <xdr:nvPicPr>
        <xdr:cNvPr id="6" name="Picture 6"/>
        <xdr:cNvPicPr preferRelativeResize="1">
          <a:picLocks noChangeAspect="1"/>
        </xdr:cNvPicPr>
      </xdr:nvPicPr>
      <xdr:blipFill>
        <a:blip r:link="rId2"/>
        <a:stretch>
          <a:fillRect/>
        </a:stretch>
      </xdr:blipFill>
      <xdr:spPr>
        <a:xfrm>
          <a:off x="15782925" y="29632275"/>
          <a:ext cx="800100" cy="228600"/>
        </a:xfrm>
        <a:prstGeom prst="rect">
          <a:avLst/>
        </a:prstGeom>
        <a:noFill/>
        <a:ln w="9525" cmpd="sng">
          <a:noFill/>
        </a:ln>
      </xdr:spPr>
    </xdr:pic>
    <xdr:clientData/>
  </xdr:twoCellAnchor>
  <xdr:twoCellAnchor>
    <xdr:from>
      <xdr:col>12</xdr:col>
      <xdr:colOff>1781175</xdr:colOff>
      <xdr:row>100</xdr:row>
      <xdr:rowOff>0</xdr:rowOff>
    </xdr:from>
    <xdr:to>
      <xdr:col>12</xdr:col>
      <xdr:colOff>2581275</xdr:colOff>
      <xdr:row>101</xdr:row>
      <xdr:rowOff>76200</xdr:rowOff>
    </xdr:to>
    <xdr:pic>
      <xdr:nvPicPr>
        <xdr:cNvPr id="7" name="Picture 7"/>
        <xdr:cNvPicPr preferRelativeResize="1">
          <a:picLocks noChangeAspect="1"/>
        </xdr:cNvPicPr>
      </xdr:nvPicPr>
      <xdr:blipFill>
        <a:blip r:link="rId2"/>
        <a:stretch>
          <a:fillRect/>
        </a:stretch>
      </xdr:blipFill>
      <xdr:spPr>
        <a:xfrm>
          <a:off x="15840075" y="20383500"/>
          <a:ext cx="800100" cy="228600"/>
        </a:xfrm>
        <a:prstGeom prst="rect">
          <a:avLst/>
        </a:prstGeom>
        <a:noFill/>
        <a:ln w="9525" cmpd="sng">
          <a:noFill/>
        </a:ln>
      </xdr:spPr>
    </xdr:pic>
    <xdr:clientData/>
  </xdr:twoCellAnchor>
  <xdr:twoCellAnchor>
    <xdr:from>
      <xdr:col>12</xdr:col>
      <xdr:colOff>1657350</xdr:colOff>
      <xdr:row>47</xdr:row>
      <xdr:rowOff>85725</xdr:rowOff>
    </xdr:from>
    <xdr:to>
      <xdr:col>12</xdr:col>
      <xdr:colOff>2457450</xdr:colOff>
      <xdr:row>48</xdr:row>
      <xdr:rowOff>114300</xdr:rowOff>
    </xdr:to>
    <xdr:pic>
      <xdr:nvPicPr>
        <xdr:cNvPr id="8" name="Picture 8"/>
        <xdr:cNvPicPr preferRelativeResize="1">
          <a:picLocks noChangeAspect="1"/>
        </xdr:cNvPicPr>
      </xdr:nvPicPr>
      <xdr:blipFill>
        <a:blip r:link="rId2"/>
        <a:stretch>
          <a:fillRect/>
        </a:stretch>
      </xdr:blipFill>
      <xdr:spPr>
        <a:xfrm>
          <a:off x="15716250" y="9267825"/>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152400</xdr:rowOff>
    </xdr:from>
    <xdr:to>
      <xdr:col>1</xdr:col>
      <xdr:colOff>9525</xdr:colOff>
      <xdr:row>50</xdr:row>
      <xdr:rowOff>190500</xdr:rowOff>
    </xdr:to>
    <xdr:pic>
      <xdr:nvPicPr>
        <xdr:cNvPr id="1" name="Picture 1"/>
        <xdr:cNvPicPr preferRelativeResize="1">
          <a:picLocks noChangeAspect="1"/>
        </xdr:cNvPicPr>
      </xdr:nvPicPr>
      <xdr:blipFill>
        <a:blip r:link="rId1"/>
        <a:stretch>
          <a:fillRect/>
        </a:stretch>
      </xdr:blipFill>
      <xdr:spPr>
        <a:xfrm>
          <a:off x="9525" y="9734550"/>
          <a:ext cx="314325" cy="238125"/>
        </a:xfrm>
        <a:prstGeom prst="rect">
          <a:avLst/>
        </a:prstGeom>
        <a:noFill/>
        <a:ln w="9525" cmpd="sng">
          <a:noFill/>
        </a:ln>
      </xdr:spPr>
    </xdr:pic>
    <xdr:clientData/>
  </xdr:twoCellAnchor>
  <xdr:twoCellAnchor>
    <xdr:from>
      <xdr:col>0</xdr:col>
      <xdr:colOff>66675</xdr:colOff>
      <xdr:row>102</xdr:row>
      <xdr:rowOff>57150</xdr:rowOff>
    </xdr:from>
    <xdr:to>
      <xdr:col>1</xdr:col>
      <xdr:colOff>66675</xdr:colOff>
      <xdr:row>103</xdr:row>
      <xdr:rowOff>142875</xdr:rowOff>
    </xdr:to>
    <xdr:pic>
      <xdr:nvPicPr>
        <xdr:cNvPr id="2" name="Picture 2"/>
        <xdr:cNvPicPr preferRelativeResize="1">
          <a:picLocks noChangeAspect="1"/>
        </xdr:cNvPicPr>
      </xdr:nvPicPr>
      <xdr:blipFill>
        <a:blip r:link="rId1"/>
        <a:stretch>
          <a:fillRect/>
        </a:stretch>
      </xdr:blipFill>
      <xdr:spPr>
        <a:xfrm>
          <a:off x="66675" y="20840700"/>
          <a:ext cx="314325" cy="238125"/>
        </a:xfrm>
        <a:prstGeom prst="rect">
          <a:avLst/>
        </a:prstGeom>
        <a:noFill/>
        <a:ln w="9525" cmpd="sng">
          <a:noFill/>
        </a:ln>
      </xdr:spPr>
    </xdr:pic>
    <xdr:clientData/>
  </xdr:twoCellAnchor>
  <xdr:twoCellAnchor>
    <xdr:from>
      <xdr:col>0</xdr:col>
      <xdr:colOff>28575</xdr:colOff>
      <xdr:row>151</xdr:row>
      <xdr:rowOff>161925</xdr:rowOff>
    </xdr:from>
    <xdr:to>
      <xdr:col>1</xdr:col>
      <xdr:colOff>28575</xdr:colOff>
      <xdr:row>152</xdr:row>
      <xdr:rowOff>200025</xdr:rowOff>
    </xdr:to>
    <xdr:pic>
      <xdr:nvPicPr>
        <xdr:cNvPr id="3" name="Picture 3"/>
        <xdr:cNvPicPr preferRelativeResize="1">
          <a:picLocks noChangeAspect="1"/>
        </xdr:cNvPicPr>
      </xdr:nvPicPr>
      <xdr:blipFill>
        <a:blip r:link="rId1"/>
        <a:stretch>
          <a:fillRect/>
        </a:stretch>
      </xdr:blipFill>
      <xdr:spPr>
        <a:xfrm>
          <a:off x="28575" y="30156150"/>
          <a:ext cx="314325" cy="238125"/>
        </a:xfrm>
        <a:prstGeom prst="rect">
          <a:avLst/>
        </a:prstGeom>
        <a:noFill/>
        <a:ln w="9525" cmpd="sng">
          <a:noFill/>
        </a:ln>
      </xdr:spPr>
    </xdr:pic>
    <xdr:clientData/>
  </xdr:twoCellAnchor>
  <xdr:twoCellAnchor>
    <xdr:from>
      <xdr:col>0</xdr:col>
      <xdr:colOff>28575</xdr:colOff>
      <xdr:row>199</xdr:row>
      <xdr:rowOff>123825</xdr:rowOff>
    </xdr:from>
    <xdr:to>
      <xdr:col>1</xdr:col>
      <xdr:colOff>28575</xdr:colOff>
      <xdr:row>200</xdr:row>
      <xdr:rowOff>161925</xdr:rowOff>
    </xdr:to>
    <xdr:pic>
      <xdr:nvPicPr>
        <xdr:cNvPr id="4" name="Picture 4"/>
        <xdr:cNvPicPr preferRelativeResize="1">
          <a:picLocks noChangeAspect="1"/>
        </xdr:cNvPicPr>
      </xdr:nvPicPr>
      <xdr:blipFill>
        <a:blip r:link="rId1"/>
        <a:stretch>
          <a:fillRect/>
        </a:stretch>
      </xdr:blipFill>
      <xdr:spPr>
        <a:xfrm>
          <a:off x="28575" y="39766875"/>
          <a:ext cx="314325" cy="238125"/>
        </a:xfrm>
        <a:prstGeom prst="rect">
          <a:avLst/>
        </a:prstGeom>
        <a:noFill/>
        <a:ln w="9525" cmpd="sng">
          <a:noFill/>
        </a:ln>
      </xdr:spPr>
    </xdr:pic>
    <xdr:clientData/>
  </xdr:twoCellAnchor>
  <xdr:twoCellAnchor>
    <xdr:from>
      <xdr:col>12</xdr:col>
      <xdr:colOff>1628775</xdr:colOff>
      <xdr:row>199</xdr:row>
      <xdr:rowOff>133350</xdr:rowOff>
    </xdr:from>
    <xdr:to>
      <xdr:col>12</xdr:col>
      <xdr:colOff>2428875</xdr:colOff>
      <xdr:row>200</xdr:row>
      <xdr:rowOff>161925</xdr:rowOff>
    </xdr:to>
    <xdr:pic>
      <xdr:nvPicPr>
        <xdr:cNvPr id="5" name="Picture 5"/>
        <xdr:cNvPicPr preferRelativeResize="1">
          <a:picLocks noChangeAspect="1"/>
        </xdr:cNvPicPr>
      </xdr:nvPicPr>
      <xdr:blipFill>
        <a:blip r:link="rId2"/>
        <a:stretch>
          <a:fillRect/>
        </a:stretch>
      </xdr:blipFill>
      <xdr:spPr>
        <a:xfrm>
          <a:off x="15687675" y="39776400"/>
          <a:ext cx="800100" cy="228600"/>
        </a:xfrm>
        <a:prstGeom prst="rect">
          <a:avLst/>
        </a:prstGeom>
        <a:noFill/>
        <a:ln w="9525" cmpd="sng">
          <a:noFill/>
        </a:ln>
      </xdr:spPr>
    </xdr:pic>
    <xdr:clientData/>
  </xdr:twoCellAnchor>
  <xdr:twoCellAnchor>
    <xdr:from>
      <xdr:col>12</xdr:col>
      <xdr:colOff>1657350</xdr:colOff>
      <xdr:row>151</xdr:row>
      <xdr:rowOff>85725</xdr:rowOff>
    </xdr:from>
    <xdr:to>
      <xdr:col>12</xdr:col>
      <xdr:colOff>2457450</xdr:colOff>
      <xdr:row>152</xdr:row>
      <xdr:rowOff>114300</xdr:rowOff>
    </xdr:to>
    <xdr:pic>
      <xdr:nvPicPr>
        <xdr:cNvPr id="6" name="Picture 6"/>
        <xdr:cNvPicPr preferRelativeResize="1">
          <a:picLocks noChangeAspect="1"/>
        </xdr:cNvPicPr>
      </xdr:nvPicPr>
      <xdr:blipFill>
        <a:blip r:link="rId2"/>
        <a:stretch>
          <a:fillRect/>
        </a:stretch>
      </xdr:blipFill>
      <xdr:spPr>
        <a:xfrm>
          <a:off x="15716250" y="30079950"/>
          <a:ext cx="800100" cy="228600"/>
        </a:xfrm>
        <a:prstGeom prst="rect">
          <a:avLst/>
        </a:prstGeom>
        <a:noFill/>
        <a:ln w="9525" cmpd="sng">
          <a:noFill/>
        </a:ln>
      </xdr:spPr>
    </xdr:pic>
    <xdr:clientData/>
  </xdr:twoCellAnchor>
  <xdr:twoCellAnchor>
    <xdr:from>
      <xdr:col>12</xdr:col>
      <xdr:colOff>1657350</xdr:colOff>
      <xdr:row>102</xdr:row>
      <xdr:rowOff>85725</xdr:rowOff>
    </xdr:from>
    <xdr:to>
      <xdr:col>12</xdr:col>
      <xdr:colOff>2457450</xdr:colOff>
      <xdr:row>103</xdr:row>
      <xdr:rowOff>161925</xdr:rowOff>
    </xdr:to>
    <xdr:pic>
      <xdr:nvPicPr>
        <xdr:cNvPr id="7" name="Picture 7"/>
        <xdr:cNvPicPr preferRelativeResize="1">
          <a:picLocks noChangeAspect="1"/>
        </xdr:cNvPicPr>
      </xdr:nvPicPr>
      <xdr:blipFill>
        <a:blip r:link="rId2"/>
        <a:stretch>
          <a:fillRect/>
        </a:stretch>
      </xdr:blipFill>
      <xdr:spPr>
        <a:xfrm>
          <a:off x="15716250" y="20869275"/>
          <a:ext cx="800100" cy="228600"/>
        </a:xfrm>
        <a:prstGeom prst="rect">
          <a:avLst/>
        </a:prstGeom>
        <a:noFill/>
        <a:ln w="9525" cmpd="sng">
          <a:noFill/>
        </a:ln>
      </xdr:spPr>
    </xdr:pic>
    <xdr:clientData/>
  </xdr:twoCellAnchor>
  <xdr:twoCellAnchor>
    <xdr:from>
      <xdr:col>12</xdr:col>
      <xdr:colOff>1704975</xdr:colOff>
      <xdr:row>49</xdr:row>
      <xdr:rowOff>104775</xdr:rowOff>
    </xdr:from>
    <xdr:to>
      <xdr:col>12</xdr:col>
      <xdr:colOff>2505075</xdr:colOff>
      <xdr:row>50</xdr:row>
      <xdr:rowOff>133350</xdr:rowOff>
    </xdr:to>
    <xdr:pic>
      <xdr:nvPicPr>
        <xdr:cNvPr id="8" name="Picture 8"/>
        <xdr:cNvPicPr preferRelativeResize="1">
          <a:picLocks noChangeAspect="1"/>
        </xdr:cNvPicPr>
      </xdr:nvPicPr>
      <xdr:blipFill>
        <a:blip r:link="rId2"/>
        <a:stretch>
          <a:fillRect/>
        </a:stretch>
      </xdr:blipFill>
      <xdr:spPr>
        <a:xfrm>
          <a:off x="15763875" y="9686925"/>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104775</xdr:rowOff>
    </xdr:from>
    <xdr:to>
      <xdr:col>1</xdr:col>
      <xdr:colOff>9525</xdr:colOff>
      <xdr:row>50</xdr:row>
      <xdr:rowOff>142875</xdr:rowOff>
    </xdr:to>
    <xdr:pic>
      <xdr:nvPicPr>
        <xdr:cNvPr id="1" name="Picture 1"/>
        <xdr:cNvPicPr preferRelativeResize="1">
          <a:picLocks noChangeAspect="1"/>
        </xdr:cNvPicPr>
      </xdr:nvPicPr>
      <xdr:blipFill>
        <a:blip r:link="rId1"/>
        <a:stretch>
          <a:fillRect/>
        </a:stretch>
      </xdr:blipFill>
      <xdr:spPr>
        <a:xfrm>
          <a:off x="9525" y="9686925"/>
          <a:ext cx="314325" cy="238125"/>
        </a:xfrm>
        <a:prstGeom prst="rect">
          <a:avLst/>
        </a:prstGeom>
        <a:noFill/>
        <a:ln w="9525" cmpd="sng">
          <a:noFill/>
        </a:ln>
      </xdr:spPr>
    </xdr:pic>
    <xdr:clientData/>
  </xdr:twoCellAnchor>
  <xdr:twoCellAnchor>
    <xdr:from>
      <xdr:col>0</xdr:col>
      <xdr:colOff>0</xdr:colOff>
      <xdr:row>101</xdr:row>
      <xdr:rowOff>57150</xdr:rowOff>
    </xdr:from>
    <xdr:to>
      <xdr:col>1</xdr:col>
      <xdr:colOff>0</xdr:colOff>
      <xdr:row>102</xdr:row>
      <xdr:rowOff>142875</xdr:rowOff>
    </xdr:to>
    <xdr:pic>
      <xdr:nvPicPr>
        <xdr:cNvPr id="2" name="Picture 2"/>
        <xdr:cNvPicPr preferRelativeResize="1">
          <a:picLocks noChangeAspect="1"/>
        </xdr:cNvPicPr>
      </xdr:nvPicPr>
      <xdr:blipFill>
        <a:blip r:link="rId1"/>
        <a:stretch>
          <a:fillRect/>
        </a:stretch>
      </xdr:blipFill>
      <xdr:spPr>
        <a:xfrm>
          <a:off x="0" y="20688300"/>
          <a:ext cx="314325" cy="238125"/>
        </a:xfrm>
        <a:prstGeom prst="rect">
          <a:avLst/>
        </a:prstGeom>
        <a:noFill/>
        <a:ln w="9525" cmpd="sng">
          <a:noFill/>
        </a:ln>
      </xdr:spPr>
    </xdr:pic>
    <xdr:clientData/>
  </xdr:twoCellAnchor>
  <xdr:twoCellAnchor>
    <xdr:from>
      <xdr:col>0</xdr:col>
      <xdr:colOff>38100</xdr:colOff>
      <xdr:row>150</xdr:row>
      <xdr:rowOff>133350</xdr:rowOff>
    </xdr:from>
    <xdr:to>
      <xdr:col>1</xdr:col>
      <xdr:colOff>38100</xdr:colOff>
      <xdr:row>151</xdr:row>
      <xdr:rowOff>171450</xdr:rowOff>
    </xdr:to>
    <xdr:pic>
      <xdr:nvPicPr>
        <xdr:cNvPr id="3" name="Picture 3"/>
        <xdr:cNvPicPr preferRelativeResize="1">
          <a:picLocks noChangeAspect="1"/>
        </xdr:cNvPicPr>
      </xdr:nvPicPr>
      <xdr:blipFill>
        <a:blip r:link="rId1"/>
        <a:stretch>
          <a:fillRect/>
        </a:stretch>
      </xdr:blipFill>
      <xdr:spPr>
        <a:xfrm>
          <a:off x="38100" y="29994225"/>
          <a:ext cx="314325" cy="238125"/>
        </a:xfrm>
        <a:prstGeom prst="rect">
          <a:avLst/>
        </a:prstGeom>
        <a:noFill/>
        <a:ln w="9525" cmpd="sng">
          <a:noFill/>
        </a:ln>
      </xdr:spPr>
    </xdr:pic>
    <xdr:clientData/>
  </xdr:twoCellAnchor>
  <xdr:twoCellAnchor>
    <xdr:from>
      <xdr:col>0</xdr:col>
      <xdr:colOff>28575</xdr:colOff>
      <xdr:row>198</xdr:row>
      <xdr:rowOff>123825</xdr:rowOff>
    </xdr:from>
    <xdr:to>
      <xdr:col>1</xdr:col>
      <xdr:colOff>28575</xdr:colOff>
      <xdr:row>199</xdr:row>
      <xdr:rowOff>161925</xdr:rowOff>
    </xdr:to>
    <xdr:pic>
      <xdr:nvPicPr>
        <xdr:cNvPr id="4" name="Picture 4"/>
        <xdr:cNvPicPr preferRelativeResize="1">
          <a:picLocks noChangeAspect="1"/>
        </xdr:cNvPicPr>
      </xdr:nvPicPr>
      <xdr:blipFill>
        <a:blip r:link="rId1"/>
        <a:stretch>
          <a:fillRect/>
        </a:stretch>
      </xdr:blipFill>
      <xdr:spPr>
        <a:xfrm>
          <a:off x="28575" y="39633525"/>
          <a:ext cx="314325" cy="238125"/>
        </a:xfrm>
        <a:prstGeom prst="rect">
          <a:avLst/>
        </a:prstGeom>
        <a:noFill/>
        <a:ln w="9525" cmpd="sng">
          <a:noFill/>
        </a:ln>
      </xdr:spPr>
    </xdr:pic>
    <xdr:clientData/>
  </xdr:twoCellAnchor>
  <xdr:twoCellAnchor>
    <xdr:from>
      <xdr:col>12</xdr:col>
      <xdr:colOff>1933575</xdr:colOff>
      <xdr:row>198</xdr:row>
      <xdr:rowOff>123825</xdr:rowOff>
    </xdr:from>
    <xdr:to>
      <xdr:col>12</xdr:col>
      <xdr:colOff>2733675</xdr:colOff>
      <xdr:row>199</xdr:row>
      <xdr:rowOff>152400</xdr:rowOff>
    </xdr:to>
    <xdr:pic>
      <xdr:nvPicPr>
        <xdr:cNvPr id="5" name="Picture 5"/>
        <xdr:cNvPicPr preferRelativeResize="1">
          <a:picLocks noChangeAspect="1"/>
        </xdr:cNvPicPr>
      </xdr:nvPicPr>
      <xdr:blipFill>
        <a:blip r:link="rId2"/>
        <a:stretch>
          <a:fillRect/>
        </a:stretch>
      </xdr:blipFill>
      <xdr:spPr>
        <a:xfrm>
          <a:off x="16030575" y="39633525"/>
          <a:ext cx="800100" cy="228600"/>
        </a:xfrm>
        <a:prstGeom prst="rect">
          <a:avLst/>
        </a:prstGeom>
        <a:noFill/>
        <a:ln w="9525" cmpd="sng">
          <a:noFill/>
        </a:ln>
      </xdr:spPr>
    </xdr:pic>
    <xdr:clientData/>
  </xdr:twoCellAnchor>
  <xdr:twoCellAnchor>
    <xdr:from>
      <xdr:col>12</xdr:col>
      <xdr:colOff>2000250</xdr:colOff>
      <xdr:row>150</xdr:row>
      <xdr:rowOff>133350</xdr:rowOff>
    </xdr:from>
    <xdr:to>
      <xdr:col>12</xdr:col>
      <xdr:colOff>2800350</xdr:colOff>
      <xdr:row>151</xdr:row>
      <xdr:rowOff>161925</xdr:rowOff>
    </xdr:to>
    <xdr:pic>
      <xdr:nvPicPr>
        <xdr:cNvPr id="6" name="Picture 6"/>
        <xdr:cNvPicPr preferRelativeResize="1">
          <a:picLocks noChangeAspect="1"/>
        </xdr:cNvPicPr>
      </xdr:nvPicPr>
      <xdr:blipFill>
        <a:blip r:link="rId2"/>
        <a:stretch>
          <a:fillRect/>
        </a:stretch>
      </xdr:blipFill>
      <xdr:spPr>
        <a:xfrm>
          <a:off x="16097250" y="29994225"/>
          <a:ext cx="800100" cy="228600"/>
        </a:xfrm>
        <a:prstGeom prst="rect">
          <a:avLst/>
        </a:prstGeom>
        <a:noFill/>
        <a:ln w="9525" cmpd="sng">
          <a:noFill/>
        </a:ln>
      </xdr:spPr>
    </xdr:pic>
    <xdr:clientData/>
  </xdr:twoCellAnchor>
  <xdr:twoCellAnchor>
    <xdr:from>
      <xdr:col>12</xdr:col>
      <xdr:colOff>2009775</xdr:colOff>
      <xdr:row>101</xdr:row>
      <xdr:rowOff>57150</xdr:rowOff>
    </xdr:from>
    <xdr:to>
      <xdr:col>12</xdr:col>
      <xdr:colOff>2809875</xdr:colOff>
      <xdr:row>102</xdr:row>
      <xdr:rowOff>133350</xdr:rowOff>
    </xdr:to>
    <xdr:pic>
      <xdr:nvPicPr>
        <xdr:cNvPr id="7" name="Picture 7"/>
        <xdr:cNvPicPr preferRelativeResize="1">
          <a:picLocks noChangeAspect="1"/>
        </xdr:cNvPicPr>
      </xdr:nvPicPr>
      <xdr:blipFill>
        <a:blip r:link="rId2"/>
        <a:stretch>
          <a:fillRect/>
        </a:stretch>
      </xdr:blipFill>
      <xdr:spPr>
        <a:xfrm>
          <a:off x="16106775" y="20688300"/>
          <a:ext cx="800100" cy="228600"/>
        </a:xfrm>
        <a:prstGeom prst="rect">
          <a:avLst/>
        </a:prstGeom>
        <a:noFill/>
        <a:ln w="9525" cmpd="sng">
          <a:noFill/>
        </a:ln>
      </xdr:spPr>
    </xdr:pic>
    <xdr:clientData/>
  </xdr:twoCellAnchor>
  <xdr:twoCellAnchor>
    <xdr:from>
      <xdr:col>12</xdr:col>
      <xdr:colOff>2066925</xdr:colOff>
      <xdr:row>49</xdr:row>
      <xdr:rowOff>104775</xdr:rowOff>
    </xdr:from>
    <xdr:to>
      <xdr:col>12</xdr:col>
      <xdr:colOff>2867025</xdr:colOff>
      <xdr:row>50</xdr:row>
      <xdr:rowOff>133350</xdr:rowOff>
    </xdr:to>
    <xdr:pic>
      <xdr:nvPicPr>
        <xdr:cNvPr id="8" name="Picture 8"/>
        <xdr:cNvPicPr preferRelativeResize="1">
          <a:picLocks noChangeAspect="1"/>
        </xdr:cNvPicPr>
      </xdr:nvPicPr>
      <xdr:blipFill>
        <a:blip r:link="rId2"/>
        <a:stretch>
          <a:fillRect/>
        </a:stretch>
      </xdr:blipFill>
      <xdr:spPr>
        <a:xfrm>
          <a:off x="16163925" y="9686925"/>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152400</xdr:rowOff>
    </xdr:from>
    <xdr:to>
      <xdr:col>1</xdr:col>
      <xdr:colOff>66675</xdr:colOff>
      <xdr:row>50</xdr:row>
      <xdr:rowOff>190500</xdr:rowOff>
    </xdr:to>
    <xdr:pic>
      <xdr:nvPicPr>
        <xdr:cNvPr id="1" name="Picture 1"/>
        <xdr:cNvPicPr preferRelativeResize="1">
          <a:picLocks noChangeAspect="1"/>
        </xdr:cNvPicPr>
      </xdr:nvPicPr>
      <xdr:blipFill>
        <a:blip r:link="rId1"/>
        <a:stretch>
          <a:fillRect/>
        </a:stretch>
      </xdr:blipFill>
      <xdr:spPr>
        <a:xfrm>
          <a:off x="66675" y="9734550"/>
          <a:ext cx="314325" cy="238125"/>
        </a:xfrm>
        <a:prstGeom prst="rect">
          <a:avLst/>
        </a:prstGeom>
        <a:noFill/>
        <a:ln w="9525" cmpd="sng">
          <a:noFill/>
        </a:ln>
      </xdr:spPr>
    </xdr:pic>
    <xdr:clientData/>
  </xdr:twoCellAnchor>
  <xdr:twoCellAnchor>
    <xdr:from>
      <xdr:col>0</xdr:col>
      <xdr:colOff>9525</xdr:colOff>
      <xdr:row>102</xdr:row>
      <xdr:rowOff>66675</xdr:rowOff>
    </xdr:from>
    <xdr:to>
      <xdr:col>1</xdr:col>
      <xdr:colOff>9525</xdr:colOff>
      <xdr:row>103</xdr:row>
      <xdr:rowOff>142875</xdr:rowOff>
    </xdr:to>
    <xdr:pic>
      <xdr:nvPicPr>
        <xdr:cNvPr id="2" name="Picture 2"/>
        <xdr:cNvPicPr preferRelativeResize="1">
          <a:picLocks noChangeAspect="1"/>
        </xdr:cNvPicPr>
      </xdr:nvPicPr>
      <xdr:blipFill>
        <a:blip r:link="rId1"/>
        <a:stretch>
          <a:fillRect/>
        </a:stretch>
      </xdr:blipFill>
      <xdr:spPr>
        <a:xfrm>
          <a:off x="9525" y="20850225"/>
          <a:ext cx="314325" cy="228600"/>
        </a:xfrm>
        <a:prstGeom prst="rect">
          <a:avLst/>
        </a:prstGeom>
        <a:noFill/>
        <a:ln w="9525" cmpd="sng">
          <a:noFill/>
        </a:ln>
      </xdr:spPr>
    </xdr:pic>
    <xdr:clientData/>
  </xdr:twoCellAnchor>
  <xdr:twoCellAnchor>
    <xdr:from>
      <xdr:col>0</xdr:col>
      <xdr:colOff>57150</xdr:colOff>
      <xdr:row>151</xdr:row>
      <xdr:rowOff>114300</xdr:rowOff>
    </xdr:from>
    <xdr:to>
      <xdr:col>1</xdr:col>
      <xdr:colOff>57150</xdr:colOff>
      <xdr:row>152</xdr:row>
      <xdr:rowOff>190500</xdr:rowOff>
    </xdr:to>
    <xdr:pic>
      <xdr:nvPicPr>
        <xdr:cNvPr id="3" name="Picture 3"/>
        <xdr:cNvPicPr preferRelativeResize="1">
          <a:picLocks noChangeAspect="1"/>
        </xdr:cNvPicPr>
      </xdr:nvPicPr>
      <xdr:blipFill>
        <a:blip r:link="rId1"/>
        <a:stretch>
          <a:fillRect/>
        </a:stretch>
      </xdr:blipFill>
      <xdr:spPr>
        <a:xfrm>
          <a:off x="57150" y="30060900"/>
          <a:ext cx="314325" cy="247650"/>
        </a:xfrm>
        <a:prstGeom prst="rect">
          <a:avLst/>
        </a:prstGeom>
        <a:noFill/>
        <a:ln w="9525" cmpd="sng">
          <a:noFill/>
        </a:ln>
      </xdr:spPr>
    </xdr:pic>
    <xdr:clientData/>
  </xdr:twoCellAnchor>
  <xdr:twoCellAnchor>
    <xdr:from>
      <xdr:col>0</xdr:col>
      <xdr:colOff>57150</xdr:colOff>
      <xdr:row>198</xdr:row>
      <xdr:rowOff>104775</xdr:rowOff>
    </xdr:from>
    <xdr:to>
      <xdr:col>1</xdr:col>
      <xdr:colOff>57150</xdr:colOff>
      <xdr:row>199</xdr:row>
      <xdr:rowOff>142875</xdr:rowOff>
    </xdr:to>
    <xdr:pic>
      <xdr:nvPicPr>
        <xdr:cNvPr id="4" name="Picture 4"/>
        <xdr:cNvPicPr preferRelativeResize="1">
          <a:picLocks noChangeAspect="1"/>
        </xdr:cNvPicPr>
      </xdr:nvPicPr>
      <xdr:blipFill>
        <a:blip r:link="rId1"/>
        <a:stretch>
          <a:fillRect/>
        </a:stretch>
      </xdr:blipFill>
      <xdr:spPr>
        <a:xfrm>
          <a:off x="57150" y="39471600"/>
          <a:ext cx="314325" cy="238125"/>
        </a:xfrm>
        <a:prstGeom prst="rect">
          <a:avLst/>
        </a:prstGeom>
        <a:noFill/>
        <a:ln w="9525" cmpd="sng">
          <a:noFill/>
        </a:ln>
      </xdr:spPr>
    </xdr:pic>
    <xdr:clientData/>
  </xdr:twoCellAnchor>
  <xdr:twoCellAnchor>
    <xdr:from>
      <xdr:col>12</xdr:col>
      <xdr:colOff>1562100</xdr:colOff>
      <xdr:row>198</xdr:row>
      <xdr:rowOff>123825</xdr:rowOff>
    </xdr:from>
    <xdr:to>
      <xdr:col>12</xdr:col>
      <xdr:colOff>2362200</xdr:colOff>
      <xdr:row>199</xdr:row>
      <xdr:rowOff>152400</xdr:rowOff>
    </xdr:to>
    <xdr:pic>
      <xdr:nvPicPr>
        <xdr:cNvPr id="5" name="Picture 5"/>
        <xdr:cNvPicPr preferRelativeResize="1">
          <a:picLocks noChangeAspect="1"/>
        </xdr:cNvPicPr>
      </xdr:nvPicPr>
      <xdr:blipFill>
        <a:blip r:link="rId2"/>
        <a:stretch>
          <a:fillRect/>
        </a:stretch>
      </xdr:blipFill>
      <xdr:spPr>
        <a:xfrm>
          <a:off x="15621000" y="39490650"/>
          <a:ext cx="800100" cy="228600"/>
        </a:xfrm>
        <a:prstGeom prst="rect">
          <a:avLst/>
        </a:prstGeom>
        <a:noFill/>
        <a:ln w="9525" cmpd="sng">
          <a:noFill/>
        </a:ln>
      </xdr:spPr>
    </xdr:pic>
    <xdr:clientData/>
  </xdr:twoCellAnchor>
  <xdr:twoCellAnchor>
    <xdr:from>
      <xdr:col>12</xdr:col>
      <xdr:colOff>1609725</xdr:colOff>
      <xdr:row>151</xdr:row>
      <xdr:rowOff>104775</xdr:rowOff>
    </xdr:from>
    <xdr:to>
      <xdr:col>12</xdr:col>
      <xdr:colOff>2409825</xdr:colOff>
      <xdr:row>152</xdr:row>
      <xdr:rowOff>161925</xdr:rowOff>
    </xdr:to>
    <xdr:pic>
      <xdr:nvPicPr>
        <xdr:cNvPr id="6" name="Picture 6"/>
        <xdr:cNvPicPr preferRelativeResize="1">
          <a:picLocks noChangeAspect="1"/>
        </xdr:cNvPicPr>
      </xdr:nvPicPr>
      <xdr:blipFill>
        <a:blip r:link="rId2"/>
        <a:stretch>
          <a:fillRect/>
        </a:stretch>
      </xdr:blipFill>
      <xdr:spPr>
        <a:xfrm>
          <a:off x="15668625" y="30051375"/>
          <a:ext cx="800100" cy="228600"/>
        </a:xfrm>
        <a:prstGeom prst="rect">
          <a:avLst/>
        </a:prstGeom>
        <a:noFill/>
        <a:ln w="9525" cmpd="sng">
          <a:noFill/>
        </a:ln>
      </xdr:spPr>
    </xdr:pic>
    <xdr:clientData/>
  </xdr:twoCellAnchor>
  <xdr:twoCellAnchor>
    <xdr:from>
      <xdr:col>12</xdr:col>
      <xdr:colOff>1628775</xdr:colOff>
      <xdr:row>102</xdr:row>
      <xdr:rowOff>0</xdr:rowOff>
    </xdr:from>
    <xdr:to>
      <xdr:col>12</xdr:col>
      <xdr:colOff>2428875</xdr:colOff>
      <xdr:row>103</xdr:row>
      <xdr:rowOff>76200</xdr:rowOff>
    </xdr:to>
    <xdr:pic>
      <xdr:nvPicPr>
        <xdr:cNvPr id="7" name="Picture 7"/>
        <xdr:cNvPicPr preferRelativeResize="1">
          <a:picLocks noChangeAspect="1"/>
        </xdr:cNvPicPr>
      </xdr:nvPicPr>
      <xdr:blipFill>
        <a:blip r:link="rId2"/>
        <a:stretch>
          <a:fillRect/>
        </a:stretch>
      </xdr:blipFill>
      <xdr:spPr>
        <a:xfrm>
          <a:off x="15687675" y="20783550"/>
          <a:ext cx="800100" cy="228600"/>
        </a:xfrm>
        <a:prstGeom prst="rect">
          <a:avLst/>
        </a:prstGeom>
        <a:noFill/>
        <a:ln w="9525" cmpd="sng">
          <a:noFill/>
        </a:ln>
      </xdr:spPr>
    </xdr:pic>
    <xdr:clientData/>
  </xdr:twoCellAnchor>
  <xdr:twoCellAnchor>
    <xdr:from>
      <xdr:col>12</xdr:col>
      <xdr:colOff>1609725</xdr:colOff>
      <xdr:row>49</xdr:row>
      <xdr:rowOff>104775</xdr:rowOff>
    </xdr:from>
    <xdr:to>
      <xdr:col>12</xdr:col>
      <xdr:colOff>2409825</xdr:colOff>
      <xdr:row>50</xdr:row>
      <xdr:rowOff>133350</xdr:rowOff>
    </xdr:to>
    <xdr:pic>
      <xdr:nvPicPr>
        <xdr:cNvPr id="8" name="Picture 8"/>
        <xdr:cNvPicPr preferRelativeResize="1">
          <a:picLocks noChangeAspect="1"/>
        </xdr:cNvPicPr>
      </xdr:nvPicPr>
      <xdr:blipFill>
        <a:blip r:link="rId2"/>
        <a:stretch>
          <a:fillRect/>
        </a:stretch>
      </xdr:blipFill>
      <xdr:spPr>
        <a:xfrm>
          <a:off x="15668625" y="9686925"/>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152400</xdr:rowOff>
    </xdr:from>
    <xdr:to>
      <xdr:col>1</xdr:col>
      <xdr:colOff>57150</xdr:colOff>
      <xdr:row>50</xdr:row>
      <xdr:rowOff>190500</xdr:rowOff>
    </xdr:to>
    <xdr:pic>
      <xdr:nvPicPr>
        <xdr:cNvPr id="1" name="Picture 1"/>
        <xdr:cNvPicPr preferRelativeResize="1">
          <a:picLocks noChangeAspect="1"/>
        </xdr:cNvPicPr>
      </xdr:nvPicPr>
      <xdr:blipFill>
        <a:blip r:link="rId1"/>
        <a:stretch>
          <a:fillRect/>
        </a:stretch>
      </xdr:blipFill>
      <xdr:spPr>
        <a:xfrm>
          <a:off x="57150" y="9734550"/>
          <a:ext cx="314325" cy="238125"/>
        </a:xfrm>
        <a:prstGeom prst="rect">
          <a:avLst/>
        </a:prstGeom>
        <a:noFill/>
        <a:ln w="9525" cmpd="sng">
          <a:noFill/>
        </a:ln>
      </xdr:spPr>
    </xdr:pic>
    <xdr:clientData/>
  </xdr:twoCellAnchor>
  <xdr:twoCellAnchor>
    <xdr:from>
      <xdr:col>0</xdr:col>
      <xdr:colOff>28575</xdr:colOff>
      <xdr:row>103</xdr:row>
      <xdr:rowOff>9525</xdr:rowOff>
    </xdr:from>
    <xdr:to>
      <xdr:col>1</xdr:col>
      <xdr:colOff>28575</xdr:colOff>
      <xdr:row>103</xdr:row>
      <xdr:rowOff>247650</xdr:rowOff>
    </xdr:to>
    <xdr:pic>
      <xdr:nvPicPr>
        <xdr:cNvPr id="2" name="Picture 2"/>
        <xdr:cNvPicPr preferRelativeResize="1">
          <a:picLocks noChangeAspect="1"/>
        </xdr:cNvPicPr>
      </xdr:nvPicPr>
      <xdr:blipFill>
        <a:blip r:link="rId1"/>
        <a:stretch>
          <a:fillRect/>
        </a:stretch>
      </xdr:blipFill>
      <xdr:spPr>
        <a:xfrm>
          <a:off x="28575" y="20993100"/>
          <a:ext cx="314325" cy="238125"/>
        </a:xfrm>
        <a:prstGeom prst="rect">
          <a:avLst/>
        </a:prstGeom>
        <a:noFill/>
        <a:ln w="9525" cmpd="sng">
          <a:noFill/>
        </a:ln>
      </xdr:spPr>
    </xdr:pic>
    <xdr:clientData/>
  </xdr:twoCellAnchor>
  <xdr:twoCellAnchor>
    <xdr:from>
      <xdr:col>0</xdr:col>
      <xdr:colOff>57150</xdr:colOff>
      <xdr:row>151</xdr:row>
      <xdr:rowOff>104775</xdr:rowOff>
    </xdr:from>
    <xdr:to>
      <xdr:col>1</xdr:col>
      <xdr:colOff>57150</xdr:colOff>
      <xdr:row>152</xdr:row>
      <xdr:rowOff>152400</xdr:rowOff>
    </xdr:to>
    <xdr:pic>
      <xdr:nvPicPr>
        <xdr:cNvPr id="3" name="Picture 3"/>
        <xdr:cNvPicPr preferRelativeResize="1">
          <a:picLocks noChangeAspect="1"/>
        </xdr:cNvPicPr>
      </xdr:nvPicPr>
      <xdr:blipFill>
        <a:blip r:link="rId1"/>
        <a:stretch>
          <a:fillRect/>
        </a:stretch>
      </xdr:blipFill>
      <xdr:spPr>
        <a:xfrm>
          <a:off x="57150" y="30184725"/>
          <a:ext cx="314325" cy="238125"/>
        </a:xfrm>
        <a:prstGeom prst="rect">
          <a:avLst/>
        </a:prstGeom>
        <a:noFill/>
        <a:ln w="9525" cmpd="sng">
          <a:noFill/>
        </a:ln>
      </xdr:spPr>
    </xdr:pic>
    <xdr:clientData/>
  </xdr:twoCellAnchor>
  <xdr:twoCellAnchor>
    <xdr:from>
      <xdr:col>0</xdr:col>
      <xdr:colOff>9525</xdr:colOff>
      <xdr:row>198</xdr:row>
      <xdr:rowOff>152400</xdr:rowOff>
    </xdr:from>
    <xdr:to>
      <xdr:col>1</xdr:col>
      <xdr:colOff>9525</xdr:colOff>
      <xdr:row>199</xdr:row>
      <xdr:rowOff>190500</xdr:rowOff>
    </xdr:to>
    <xdr:pic>
      <xdr:nvPicPr>
        <xdr:cNvPr id="4" name="Picture 4"/>
        <xdr:cNvPicPr preferRelativeResize="1">
          <a:picLocks noChangeAspect="1"/>
        </xdr:cNvPicPr>
      </xdr:nvPicPr>
      <xdr:blipFill>
        <a:blip r:link="rId1"/>
        <a:stretch>
          <a:fillRect/>
        </a:stretch>
      </xdr:blipFill>
      <xdr:spPr>
        <a:xfrm>
          <a:off x="9525" y="39614475"/>
          <a:ext cx="314325" cy="238125"/>
        </a:xfrm>
        <a:prstGeom prst="rect">
          <a:avLst/>
        </a:prstGeom>
        <a:noFill/>
        <a:ln w="9525" cmpd="sng">
          <a:noFill/>
        </a:ln>
      </xdr:spPr>
    </xdr:pic>
    <xdr:clientData/>
  </xdr:twoCellAnchor>
  <xdr:twoCellAnchor>
    <xdr:from>
      <xdr:col>12</xdr:col>
      <xdr:colOff>1714500</xdr:colOff>
      <xdr:row>198</xdr:row>
      <xdr:rowOff>123825</xdr:rowOff>
    </xdr:from>
    <xdr:to>
      <xdr:col>12</xdr:col>
      <xdr:colOff>2514600</xdr:colOff>
      <xdr:row>199</xdr:row>
      <xdr:rowOff>152400</xdr:rowOff>
    </xdr:to>
    <xdr:pic>
      <xdr:nvPicPr>
        <xdr:cNvPr id="5" name="Picture 5"/>
        <xdr:cNvPicPr preferRelativeResize="1">
          <a:picLocks noChangeAspect="1"/>
        </xdr:cNvPicPr>
      </xdr:nvPicPr>
      <xdr:blipFill>
        <a:blip r:link="rId2"/>
        <a:stretch>
          <a:fillRect/>
        </a:stretch>
      </xdr:blipFill>
      <xdr:spPr>
        <a:xfrm>
          <a:off x="15773400" y="39585900"/>
          <a:ext cx="800100" cy="228600"/>
        </a:xfrm>
        <a:prstGeom prst="rect">
          <a:avLst/>
        </a:prstGeom>
        <a:noFill/>
        <a:ln w="9525" cmpd="sng">
          <a:noFill/>
        </a:ln>
      </xdr:spPr>
    </xdr:pic>
    <xdr:clientData/>
  </xdr:twoCellAnchor>
  <xdr:twoCellAnchor>
    <xdr:from>
      <xdr:col>12</xdr:col>
      <xdr:colOff>1724025</xdr:colOff>
      <xdr:row>151</xdr:row>
      <xdr:rowOff>85725</xdr:rowOff>
    </xdr:from>
    <xdr:to>
      <xdr:col>12</xdr:col>
      <xdr:colOff>2524125</xdr:colOff>
      <xdr:row>152</xdr:row>
      <xdr:rowOff>123825</xdr:rowOff>
    </xdr:to>
    <xdr:pic>
      <xdr:nvPicPr>
        <xdr:cNvPr id="6" name="Picture 6"/>
        <xdr:cNvPicPr preferRelativeResize="1">
          <a:picLocks noChangeAspect="1"/>
        </xdr:cNvPicPr>
      </xdr:nvPicPr>
      <xdr:blipFill>
        <a:blip r:link="rId2"/>
        <a:stretch>
          <a:fillRect/>
        </a:stretch>
      </xdr:blipFill>
      <xdr:spPr>
        <a:xfrm>
          <a:off x="15782925" y="30165675"/>
          <a:ext cx="800100" cy="228600"/>
        </a:xfrm>
        <a:prstGeom prst="rect">
          <a:avLst/>
        </a:prstGeom>
        <a:noFill/>
        <a:ln w="9525" cmpd="sng">
          <a:noFill/>
        </a:ln>
      </xdr:spPr>
    </xdr:pic>
    <xdr:clientData/>
  </xdr:twoCellAnchor>
  <xdr:twoCellAnchor>
    <xdr:from>
      <xdr:col>12</xdr:col>
      <xdr:colOff>1771650</xdr:colOff>
      <xdr:row>102</xdr:row>
      <xdr:rowOff>57150</xdr:rowOff>
    </xdr:from>
    <xdr:to>
      <xdr:col>12</xdr:col>
      <xdr:colOff>2571750</xdr:colOff>
      <xdr:row>103</xdr:row>
      <xdr:rowOff>133350</xdr:rowOff>
    </xdr:to>
    <xdr:pic>
      <xdr:nvPicPr>
        <xdr:cNvPr id="7" name="Picture 7"/>
        <xdr:cNvPicPr preferRelativeResize="1">
          <a:picLocks noChangeAspect="1"/>
        </xdr:cNvPicPr>
      </xdr:nvPicPr>
      <xdr:blipFill>
        <a:blip r:link="rId2"/>
        <a:stretch>
          <a:fillRect/>
        </a:stretch>
      </xdr:blipFill>
      <xdr:spPr>
        <a:xfrm>
          <a:off x="15830550" y="20888325"/>
          <a:ext cx="800100" cy="228600"/>
        </a:xfrm>
        <a:prstGeom prst="rect">
          <a:avLst/>
        </a:prstGeom>
        <a:noFill/>
        <a:ln w="9525" cmpd="sng">
          <a:noFill/>
        </a:ln>
      </xdr:spPr>
    </xdr:pic>
    <xdr:clientData/>
  </xdr:twoCellAnchor>
  <xdr:twoCellAnchor>
    <xdr:from>
      <xdr:col>12</xdr:col>
      <xdr:colOff>1609725</xdr:colOff>
      <xdr:row>49</xdr:row>
      <xdr:rowOff>104775</xdr:rowOff>
    </xdr:from>
    <xdr:to>
      <xdr:col>12</xdr:col>
      <xdr:colOff>2409825</xdr:colOff>
      <xdr:row>50</xdr:row>
      <xdr:rowOff>133350</xdr:rowOff>
    </xdr:to>
    <xdr:pic>
      <xdr:nvPicPr>
        <xdr:cNvPr id="8" name="Picture 8"/>
        <xdr:cNvPicPr preferRelativeResize="1">
          <a:picLocks noChangeAspect="1"/>
        </xdr:cNvPicPr>
      </xdr:nvPicPr>
      <xdr:blipFill>
        <a:blip r:link="rId2"/>
        <a:stretch>
          <a:fillRect/>
        </a:stretch>
      </xdr:blipFill>
      <xdr:spPr>
        <a:xfrm>
          <a:off x="15668625" y="9686925"/>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133350</xdr:rowOff>
    </xdr:from>
    <xdr:to>
      <xdr:col>1</xdr:col>
      <xdr:colOff>0</xdr:colOff>
      <xdr:row>50</xdr:row>
      <xdr:rowOff>171450</xdr:rowOff>
    </xdr:to>
    <xdr:pic>
      <xdr:nvPicPr>
        <xdr:cNvPr id="1" name="Picture 1"/>
        <xdr:cNvPicPr preferRelativeResize="1">
          <a:picLocks noChangeAspect="1"/>
        </xdr:cNvPicPr>
      </xdr:nvPicPr>
      <xdr:blipFill>
        <a:blip r:link="rId1"/>
        <a:stretch>
          <a:fillRect/>
        </a:stretch>
      </xdr:blipFill>
      <xdr:spPr>
        <a:xfrm>
          <a:off x="0" y="9715500"/>
          <a:ext cx="314325" cy="238125"/>
        </a:xfrm>
        <a:prstGeom prst="rect">
          <a:avLst/>
        </a:prstGeom>
        <a:noFill/>
        <a:ln w="9525" cmpd="sng">
          <a:noFill/>
        </a:ln>
      </xdr:spPr>
    </xdr:pic>
    <xdr:clientData/>
  </xdr:twoCellAnchor>
  <xdr:twoCellAnchor>
    <xdr:from>
      <xdr:col>0</xdr:col>
      <xdr:colOff>57150</xdr:colOff>
      <xdr:row>102</xdr:row>
      <xdr:rowOff>9525</xdr:rowOff>
    </xdr:from>
    <xdr:to>
      <xdr:col>1</xdr:col>
      <xdr:colOff>57150</xdr:colOff>
      <xdr:row>103</xdr:row>
      <xdr:rowOff>152400</xdr:rowOff>
    </xdr:to>
    <xdr:pic>
      <xdr:nvPicPr>
        <xdr:cNvPr id="2" name="Picture 2"/>
        <xdr:cNvPicPr preferRelativeResize="1">
          <a:picLocks noChangeAspect="1"/>
        </xdr:cNvPicPr>
      </xdr:nvPicPr>
      <xdr:blipFill>
        <a:blip r:link="rId1"/>
        <a:stretch>
          <a:fillRect/>
        </a:stretch>
      </xdr:blipFill>
      <xdr:spPr>
        <a:xfrm>
          <a:off x="57150" y="20802600"/>
          <a:ext cx="314325" cy="238125"/>
        </a:xfrm>
        <a:prstGeom prst="rect">
          <a:avLst/>
        </a:prstGeom>
        <a:noFill/>
        <a:ln w="9525" cmpd="sng">
          <a:noFill/>
        </a:ln>
      </xdr:spPr>
    </xdr:pic>
    <xdr:clientData/>
  </xdr:twoCellAnchor>
  <xdr:twoCellAnchor>
    <xdr:from>
      <xdr:col>0</xdr:col>
      <xdr:colOff>57150</xdr:colOff>
      <xdr:row>151</xdr:row>
      <xdr:rowOff>104775</xdr:rowOff>
    </xdr:from>
    <xdr:to>
      <xdr:col>1</xdr:col>
      <xdr:colOff>57150</xdr:colOff>
      <xdr:row>152</xdr:row>
      <xdr:rowOff>180975</xdr:rowOff>
    </xdr:to>
    <xdr:pic>
      <xdr:nvPicPr>
        <xdr:cNvPr id="3" name="Picture 3"/>
        <xdr:cNvPicPr preferRelativeResize="1">
          <a:picLocks noChangeAspect="1"/>
        </xdr:cNvPicPr>
      </xdr:nvPicPr>
      <xdr:blipFill>
        <a:blip r:link="rId1"/>
        <a:stretch>
          <a:fillRect/>
        </a:stretch>
      </xdr:blipFill>
      <xdr:spPr>
        <a:xfrm>
          <a:off x="57150" y="30013275"/>
          <a:ext cx="314325" cy="238125"/>
        </a:xfrm>
        <a:prstGeom prst="rect">
          <a:avLst/>
        </a:prstGeom>
        <a:noFill/>
        <a:ln w="9525" cmpd="sng">
          <a:noFill/>
        </a:ln>
      </xdr:spPr>
    </xdr:pic>
    <xdr:clientData/>
  </xdr:twoCellAnchor>
  <xdr:twoCellAnchor>
    <xdr:from>
      <xdr:col>0</xdr:col>
      <xdr:colOff>38100</xdr:colOff>
      <xdr:row>198</xdr:row>
      <xdr:rowOff>152400</xdr:rowOff>
    </xdr:from>
    <xdr:to>
      <xdr:col>1</xdr:col>
      <xdr:colOff>38100</xdr:colOff>
      <xdr:row>199</xdr:row>
      <xdr:rowOff>190500</xdr:rowOff>
    </xdr:to>
    <xdr:pic>
      <xdr:nvPicPr>
        <xdr:cNvPr id="4" name="Picture 4"/>
        <xdr:cNvPicPr preferRelativeResize="1">
          <a:picLocks noChangeAspect="1"/>
        </xdr:cNvPicPr>
      </xdr:nvPicPr>
      <xdr:blipFill>
        <a:blip r:link="rId1"/>
        <a:stretch>
          <a:fillRect/>
        </a:stretch>
      </xdr:blipFill>
      <xdr:spPr>
        <a:xfrm>
          <a:off x="38100" y="39471600"/>
          <a:ext cx="314325" cy="238125"/>
        </a:xfrm>
        <a:prstGeom prst="rect">
          <a:avLst/>
        </a:prstGeom>
        <a:noFill/>
        <a:ln w="9525" cmpd="sng">
          <a:noFill/>
        </a:ln>
      </xdr:spPr>
    </xdr:pic>
    <xdr:clientData/>
  </xdr:twoCellAnchor>
  <xdr:twoCellAnchor>
    <xdr:from>
      <xdr:col>12</xdr:col>
      <xdr:colOff>1771650</xdr:colOff>
      <xdr:row>198</xdr:row>
      <xdr:rowOff>161925</xdr:rowOff>
    </xdr:from>
    <xdr:to>
      <xdr:col>12</xdr:col>
      <xdr:colOff>2571750</xdr:colOff>
      <xdr:row>199</xdr:row>
      <xdr:rowOff>190500</xdr:rowOff>
    </xdr:to>
    <xdr:pic>
      <xdr:nvPicPr>
        <xdr:cNvPr id="5" name="Picture 5"/>
        <xdr:cNvPicPr preferRelativeResize="1">
          <a:picLocks noChangeAspect="1"/>
        </xdr:cNvPicPr>
      </xdr:nvPicPr>
      <xdr:blipFill>
        <a:blip r:link="rId2"/>
        <a:stretch>
          <a:fillRect/>
        </a:stretch>
      </xdr:blipFill>
      <xdr:spPr>
        <a:xfrm>
          <a:off x="15830550" y="39481125"/>
          <a:ext cx="800100" cy="228600"/>
        </a:xfrm>
        <a:prstGeom prst="rect">
          <a:avLst/>
        </a:prstGeom>
        <a:noFill/>
        <a:ln w="9525" cmpd="sng">
          <a:noFill/>
        </a:ln>
      </xdr:spPr>
    </xdr:pic>
    <xdr:clientData/>
  </xdr:twoCellAnchor>
  <xdr:twoCellAnchor>
    <xdr:from>
      <xdr:col>12</xdr:col>
      <xdr:colOff>1809750</xdr:colOff>
      <xdr:row>151</xdr:row>
      <xdr:rowOff>104775</xdr:rowOff>
    </xdr:from>
    <xdr:to>
      <xdr:col>12</xdr:col>
      <xdr:colOff>2609850</xdr:colOff>
      <xdr:row>152</xdr:row>
      <xdr:rowOff>171450</xdr:rowOff>
    </xdr:to>
    <xdr:pic>
      <xdr:nvPicPr>
        <xdr:cNvPr id="6" name="Picture 6"/>
        <xdr:cNvPicPr preferRelativeResize="1">
          <a:picLocks noChangeAspect="1"/>
        </xdr:cNvPicPr>
      </xdr:nvPicPr>
      <xdr:blipFill>
        <a:blip r:link="rId2"/>
        <a:stretch>
          <a:fillRect/>
        </a:stretch>
      </xdr:blipFill>
      <xdr:spPr>
        <a:xfrm>
          <a:off x="15868650" y="30013275"/>
          <a:ext cx="800100" cy="228600"/>
        </a:xfrm>
        <a:prstGeom prst="rect">
          <a:avLst/>
        </a:prstGeom>
        <a:noFill/>
        <a:ln w="9525" cmpd="sng">
          <a:noFill/>
        </a:ln>
      </xdr:spPr>
    </xdr:pic>
    <xdr:clientData/>
  </xdr:twoCellAnchor>
  <xdr:twoCellAnchor>
    <xdr:from>
      <xdr:col>12</xdr:col>
      <xdr:colOff>1800225</xdr:colOff>
      <xdr:row>101</xdr:row>
      <xdr:rowOff>133350</xdr:rowOff>
    </xdr:from>
    <xdr:to>
      <xdr:col>12</xdr:col>
      <xdr:colOff>2600325</xdr:colOff>
      <xdr:row>103</xdr:row>
      <xdr:rowOff>104775</xdr:rowOff>
    </xdr:to>
    <xdr:pic>
      <xdr:nvPicPr>
        <xdr:cNvPr id="7" name="Picture 7"/>
        <xdr:cNvPicPr preferRelativeResize="1">
          <a:picLocks noChangeAspect="1"/>
        </xdr:cNvPicPr>
      </xdr:nvPicPr>
      <xdr:blipFill>
        <a:blip r:link="rId2"/>
        <a:stretch>
          <a:fillRect/>
        </a:stretch>
      </xdr:blipFill>
      <xdr:spPr>
        <a:xfrm>
          <a:off x="15859125" y="20764500"/>
          <a:ext cx="800100" cy="228600"/>
        </a:xfrm>
        <a:prstGeom prst="rect">
          <a:avLst/>
        </a:prstGeom>
        <a:noFill/>
        <a:ln w="9525" cmpd="sng">
          <a:noFill/>
        </a:ln>
      </xdr:spPr>
    </xdr:pic>
    <xdr:clientData/>
  </xdr:twoCellAnchor>
  <xdr:twoCellAnchor>
    <xdr:from>
      <xdr:col>12</xdr:col>
      <xdr:colOff>1809750</xdr:colOff>
      <xdr:row>49</xdr:row>
      <xdr:rowOff>152400</xdr:rowOff>
    </xdr:from>
    <xdr:to>
      <xdr:col>12</xdr:col>
      <xdr:colOff>2609850</xdr:colOff>
      <xdr:row>50</xdr:row>
      <xdr:rowOff>180975</xdr:rowOff>
    </xdr:to>
    <xdr:pic>
      <xdr:nvPicPr>
        <xdr:cNvPr id="8" name="Picture 8"/>
        <xdr:cNvPicPr preferRelativeResize="1">
          <a:picLocks noChangeAspect="1"/>
        </xdr:cNvPicPr>
      </xdr:nvPicPr>
      <xdr:blipFill>
        <a:blip r:link="rId2"/>
        <a:stretch>
          <a:fillRect/>
        </a:stretch>
      </xdr:blipFill>
      <xdr:spPr>
        <a:xfrm>
          <a:off x="15868650" y="9734550"/>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133350</xdr:rowOff>
    </xdr:from>
    <xdr:to>
      <xdr:col>1</xdr:col>
      <xdr:colOff>0</xdr:colOff>
      <xdr:row>50</xdr:row>
      <xdr:rowOff>171450</xdr:rowOff>
    </xdr:to>
    <xdr:pic>
      <xdr:nvPicPr>
        <xdr:cNvPr id="1" name="Picture 1"/>
        <xdr:cNvPicPr preferRelativeResize="1">
          <a:picLocks noChangeAspect="1"/>
        </xdr:cNvPicPr>
      </xdr:nvPicPr>
      <xdr:blipFill>
        <a:blip r:link="rId1"/>
        <a:stretch>
          <a:fillRect/>
        </a:stretch>
      </xdr:blipFill>
      <xdr:spPr>
        <a:xfrm>
          <a:off x="0" y="9715500"/>
          <a:ext cx="314325" cy="238125"/>
        </a:xfrm>
        <a:prstGeom prst="rect">
          <a:avLst/>
        </a:prstGeom>
        <a:noFill/>
        <a:ln w="9525" cmpd="sng">
          <a:noFill/>
        </a:ln>
      </xdr:spPr>
    </xdr:pic>
    <xdr:clientData/>
  </xdr:twoCellAnchor>
  <xdr:twoCellAnchor>
    <xdr:from>
      <xdr:col>0</xdr:col>
      <xdr:colOff>38100</xdr:colOff>
      <xdr:row>102</xdr:row>
      <xdr:rowOff>9525</xdr:rowOff>
    </xdr:from>
    <xdr:to>
      <xdr:col>1</xdr:col>
      <xdr:colOff>38100</xdr:colOff>
      <xdr:row>103</xdr:row>
      <xdr:rowOff>152400</xdr:rowOff>
    </xdr:to>
    <xdr:pic>
      <xdr:nvPicPr>
        <xdr:cNvPr id="2" name="Picture 2"/>
        <xdr:cNvPicPr preferRelativeResize="1">
          <a:picLocks noChangeAspect="1"/>
        </xdr:cNvPicPr>
      </xdr:nvPicPr>
      <xdr:blipFill>
        <a:blip r:link="rId1"/>
        <a:stretch>
          <a:fillRect/>
        </a:stretch>
      </xdr:blipFill>
      <xdr:spPr>
        <a:xfrm>
          <a:off x="38100" y="20802600"/>
          <a:ext cx="314325" cy="238125"/>
        </a:xfrm>
        <a:prstGeom prst="rect">
          <a:avLst/>
        </a:prstGeom>
        <a:noFill/>
        <a:ln w="9525" cmpd="sng">
          <a:noFill/>
        </a:ln>
      </xdr:spPr>
    </xdr:pic>
    <xdr:clientData/>
  </xdr:twoCellAnchor>
  <xdr:twoCellAnchor>
    <xdr:from>
      <xdr:col>0</xdr:col>
      <xdr:colOff>57150</xdr:colOff>
      <xdr:row>151</xdr:row>
      <xdr:rowOff>85725</xdr:rowOff>
    </xdr:from>
    <xdr:to>
      <xdr:col>1</xdr:col>
      <xdr:colOff>57150</xdr:colOff>
      <xdr:row>152</xdr:row>
      <xdr:rowOff>161925</xdr:rowOff>
    </xdr:to>
    <xdr:pic>
      <xdr:nvPicPr>
        <xdr:cNvPr id="3" name="Picture 3"/>
        <xdr:cNvPicPr preferRelativeResize="1">
          <a:picLocks noChangeAspect="1"/>
        </xdr:cNvPicPr>
      </xdr:nvPicPr>
      <xdr:blipFill>
        <a:blip r:link="rId1"/>
        <a:stretch>
          <a:fillRect/>
        </a:stretch>
      </xdr:blipFill>
      <xdr:spPr>
        <a:xfrm>
          <a:off x="57150" y="29994225"/>
          <a:ext cx="314325" cy="238125"/>
        </a:xfrm>
        <a:prstGeom prst="rect">
          <a:avLst/>
        </a:prstGeom>
        <a:noFill/>
        <a:ln w="9525" cmpd="sng">
          <a:noFill/>
        </a:ln>
      </xdr:spPr>
    </xdr:pic>
    <xdr:clientData/>
  </xdr:twoCellAnchor>
  <xdr:twoCellAnchor>
    <xdr:from>
      <xdr:col>0</xdr:col>
      <xdr:colOff>0</xdr:colOff>
      <xdr:row>198</xdr:row>
      <xdr:rowOff>95250</xdr:rowOff>
    </xdr:from>
    <xdr:to>
      <xdr:col>1</xdr:col>
      <xdr:colOff>0</xdr:colOff>
      <xdr:row>199</xdr:row>
      <xdr:rowOff>133350</xdr:rowOff>
    </xdr:to>
    <xdr:pic>
      <xdr:nvPicPr>
        <xdr:cNvPr id="4" name="Picture 4"/>
        <xdr:cNvPicPr preferRelativeResize="1">
          <a:picLocks noChangeAspect="1"/>
        </xdr:cNvPicPr>
      </xdr:nvPicPr>
      <xdr:blipFill>
        <a:blip r:link="rId1"/>
        <a:stretch>
          <a:fillRect/>
        </a:stretch>
      </xdr:blipFill>
      <xdr:spPr>
        <a:xfrm>
          <a:off x="0" y="39376350"/>
          <a:ext cx="314325" cy="238125"/>
        </a:xfrm>
        <a:prstGeom prst="rect">
          <a:avLst/>
        </a:prstGeom>
        <a:noFill/>
        <a:ln w="9525" cmpd="sng">
          <a:noFill/>
        </a:ln>
      </xdr:spPr>
    </xdr:pic>
    <xdr:clientData/>
  </xdr:twoCellAnchor>
  <xdr:twoCellAnchor>
    <xdr:from>
      <xdr:col>12</xdr:col>
      <xdr:colOff>1590675</xdr:colOff>
      <xdr:row>198</xdr:row>
      <xdr:rowOff>85725</xdr:rowOff>
    </xdr:from>
    <xdr:to>
      <xdr:col>12</xdr:col>
      <xdr:colOff>2390775</xdr:colOff>
      <xdr:row>199</xdr:row>
      <xdr:rowOff>114300</xdr:rowOff>
    </xdr:to>
    <xdr:pic>
      <xdr:nvPicPr>
        <xdr:cNvPr id="5" name="Picture 5"/>
        <xdr:cNvPicPr preferRelativeResize="1">
          <a:picLocks noChangeAspect="1"/>
        </xdr:cNvPicPr>
      </xdr:nvPicPr>
      <xdr:blipFill>
        <a:blip r:link="rId2"/>
        <a:stretch>
          <a:fillRect/>
        </a:stretch>
      </xdr:blipFill>
      <xdr:spPr>
        <a:xfrm>
          <a:off x="15649575" y="39366825"/>
          <a:ext cx="800100" cy="228600"/>
        </a:xfrm>
        <a:prstGeom prst="rect">
          <a:avLst/>
        </a:prstGeom>
        <a:noFill/>
        <a:ln w="9525" cmpd="sng">
          <a:noFill/>
        </a:ln>
      </xdr:spPr>
    </xdr:pic>
    <xdr:clientData/>
  </xdr:twoCellAnchor>
  <xdr:twoCellAnchor>
    <xdr:from>
      <xdr:col>12</xdr:col>
      <xdr:colOff>1714500</xdr:colOff>
      <xdr:row>151</xdr:row>
      <xdr:rowOff>28575</xdr:rowOff>
    </xdr:from>
    <xdr:to>
      <xdr:col>12</xdr:col>
      <xdr:colOff>2514600</xdr:colOff>
      <xdr:row>152</xdr:row>
      <xdr:rowOff>95250</xdr:rowOff>
    </xdr:to>
    <xdr:pic>
      <xdr:nvPicPr>
        <xdr:cNvPr id="6" name="Picture 6"/>
        <xdr:cNvPicPr preferRelativeResize="1">
          <a:picLocks noChangeAspect="1"/>
        </xdr:cNvPicPr>
      </xdr:nvPicPr>
      <xdr:blipFill>
        <a:blip r:link="rId2"/>
        <a:stretch>
          <a:fillRect/>
        </a:stretch>
      </xdr:blipFill>
      <xdr:spPr>
        <a:xfrm>
          <a:off x="15773400" y="29937075"/>
          <a:ext cx="800100" cy="228600"/>
        </a:xfrm>
        <a:prstGeom prst="rect">
          <a:avLst/>
        </a:prstGeom>
        <a:noFill/>
        <a:ln w="9525" cmpd="sng">
          <a:noFill/>
        </a:ln>
      </xdr:spPr>
    </xdr:pic>
    <xdr:clientData/>
  </xdr:twoCellAnchor>
  <xdr:twoCellAnchor>
    <xdr:from>
      <xdr:col>12</xdr:col>
      <xdr:colOff>1676400</xdr:colOff>
      <xdr:row>101</xdr:row>
      <xdr:rowOff>152400</xdr:rowOff>
    </xdr:from>
    <xdr:to>
      <xdr:col>12</xdr:col>
      <xdr:colOff>2476500</xdr:colOff>
      <xdr:row>103</xdr:row>
      <xdr:rowOff>123825</xdr:rowOff>
    </xdr:to>
    <xdr:pic>
      <xdr:nvPicPr>
        <xdr:cNvPr id="7" name="Picture 7"/>
        <xdr:cNvPicPr preferRelativeResize="1">
          <a:picLocks noChangeAspect="1"/>
        </xdr:cNvPicPr>
      </xdr:nvPicPr>
      <xdr:blipFill>
        <a:blip r:link="rId2"/>
        <a:stretch>
          <a:fillRect/>
        </a:stretch>
      </xdr:blipFill>
      <xdr:spPr>
        <a:xfrm>
          <a:off x="15735300" y="20783550"/>
          <a:ext cx="800100" cy="228600"/>
        </a:xfrm>
        <a:prstGeom prst="rect">
          <a:avLst/>
        </a:prstGeom>
        <a:noFill/>
        <a:ln w="9525" cmpd="sng">
          <a:noFill/>
        </a:ln>
      </xdr:spPr>
    </xdr:pic>
    <xdr:clientData/>
  </xdr:twoCellAnchor>
  <xdr:twoCellAnchor>
    <xdr:from>
      <xdr:col>12</xdr:col>
      <xdr:colOff>1657350</xdr:colOff>
      <xdr:row>49</xdr:row>
      <xdr:rowOff>95250</xdr:rowOff>
    </xdr:from>
    <xdr:to>
      <xdr:col>12</xdr:col>
      <xdr:colOff>2457450</xdr:colOff>
      <xdr:row>50</xdr:row>
      <xdr:rowOff>123825</xdr:rowOff>
    </xdr:to>
    <xdr:pic>
      <xdr:nvPicPr>
        <xdr:cNvPr id="8" name="Picture 8"/>
        <xdr:cNvPicPr preferRelativeResize="1">
          <a:picLocks noChangeAspect="1"/>
        </xdr:cNvPicPr>
      </xdr:nvPicPr>
      <xdr:blipFill>
        <a:blip r:link="rId2"/>
        <a:stretch>
          <a:fillRect/>
        </a:stretch>
      </xdr:blipFill>
      <xdr:spPr>
        <a:xfrm>
          <a:off x="15716250" y="9677400"/>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03"/>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3.5546875" style="1" customWidth="1"/>
    <col min="14" max="16384" width="9.6640625" style="1" customWidth="1"/>
  </cols>
  <sheetData>
    <row r="1" spans="1:18" ht="20.25">
      <c r="A1" s="2"/>
      <c r="B1" s="3" t="s">
        <v>0</v>
      </c>
      <c r="C1" s="4"/>
      <c r="D1" s="5"/>
      <c r="E1" s="5"/>
      <c r="F1" s="5"/>
      <c r="G1" s="5"/>
      <c r="H1" s="5"/>
      <c r="I1" s="5"/>
      <c r="J1" s="5"/>
      <c r="K1" s="5"/>
      <c r="L1" s="5"/>
      <c r="M1" s="5"/>
      <c r="N1" s="6"/>
      <c r="O1" s="7"/>
      <c r="P1" s="7"/>
      <c r="Q1" s="7"/>
      <c r="R1" s="7"/>
    </row>
    <row r="2" spans="1:18" ht="15.75">
      <c r="A2" s="8"/>
      <c r="B2" s="9"/>
      <c r="C2" s="9"/>
      <c r="D2" s="10"/>
      <c r="E2" s="10"/>
      <c r="F2" s="10"/>
      <c r="G2" s="10"/>
      <c r="H2" s="10"/>
      <c r="I2" s="10"/>
      <c r="J2" s="10"/>
      <c r="K2" s="10"/>
      <c r="L2" s="10"/>
      <c r="M2" s="10"/>
      <c r="N2" s="6"/>
      <c r="O2" s="7"/>
      <c r="P2" s="7"/>
      <c r="Q2" s="7"/>
      <c r="R2" s="7"/>
    </row>
    <row r="3" spans="1:18" ht="15.75">
      <c r="A3" s="11"/>
      <c r="B3" s="143" t="s">
        <v>1</v>
      </c>
      <c r="C3" s="10"/>
      <c r="D3" s="10"/>
      <c r="E3" s="10"/>
      <c r="F3" s="10"/>
      <c r="G3" s="10"/>
      <c r="H3" s="10"/>
      <c r="I3" s="10"/>
      <c r="J3" s="10"/>
      <c r="K3" s="10"/>
      <c r="L3" s="10"/>
      <c r="M3" s="10"/>
      <c r="N3" s="6"/>
      <c r="O3" s="7"/>
      <c r="P3" s="7"/>
      <c r="Q3" s="7"/>
      <c r="R3" s="7"/>
    </row>
    <row r="4" spans="1:18" ht="15.75">
      <c r="A4" s="8"/>
      <c r="B4" s="9"/>
      <c r="C4" s="9"/>
      <c r="D4" s="10"/>
      <c r="E4" s="10"/>
      <c r="F4" s="10"/>
      <c r="G4" s="10"/>
      <c r="H4" s="10"/>
      <c r="I4" s="10"/>
      <c r="J4" s="10"/>
      <c r="K4" s="10"/>
      <c r="L4" s="10"/>
      <c r="M4" s="10"/>
      <c r="N4" s="6"/>
      <c r="O4" s="7"/>
      <c r="P4" s="7"/>
      <c r="Q4" s="7"/>
      <c r="R4" s="7"/>
    </row>
    <row r="5" spans="1:18" ht="12" customHeight="1">
      <c r="A5" s="8"/>
      <c r="B5" s="13" t="s">
        <v>2</v>
      </c>
      <c r="C5" s="14"/>
      <c r="D5" s="10"/>
      <c r="E5" s="10"/>
      <c r="F5" s="10"/>
      <c r="G5" s="10"/>
      <c r="H5" s="10"/>
      <c r="I5" s="10"/>
      <c r="J5" s="10"/>
      <c r="K5" s="10"/>
      <c r="L5" s="10"/>
      <c r="M5" s="10"/>
      <c r="N5" s="6"/>
      <c r="O5" s="7"/>
      <c r="P5" s="7"/>
      <c r="Q5" s="7"/>
      <c r="R5" s="7"/>
    </row>
    <row r="6" spans="1:18" ht="12" customHeight="1">
      <c r="A6" s="8"/>
      <c r="B6" s="13" t="s">
        <v>3</v>
      </c>
      <c r="C6" s="14"/>
      <c r="D6" s="10"/>
      <c r="E6" s="10"/>
      <c r="F6" s="10"/>
      <c r="G6" s="10"/>
      <c r="H6" s="10"/>
      <c r="I6" s="10"/>
      <c r="J6" s="10"/>
      <c r="K6" s="10"/>
      <c r="L6" s="10"/>
      <c r="M6" s="10"/>
      <c r="N6" s="6"/>
      <c r="O6" s="7"/>
      <c r="P6" s="7"/>
      <c r="Q6" s="7"/>
      <c r="R6" s="7"/>
    </row>
    <row r="7" spans="1:18" ht="12" customHeight="1">
      <c r="A7" s="8"/>
      <c r="B7" s="13" t="s">
        <v>4</v>
      </c>
      <c r="C7" s="14"/>
      <c r="D7" s="10"/>
      <c r="E7" s="10"/>
      <c r="F7" s="10"/>
      <c r="G7" s="10"/>
      <c r="H7" s="10"/>
      <c r="I7" s="10"/>
      <c r="J7" s="10"/>
      <c r="K7" s="10"/>
      <c r="L7" s="10"/>
      <c r="M7" s="10"/>
      <c r="N7" s="6"/>
      <c r="O7" s="7"/>
      <c r="P7" s="7"/>
      <c r="Q7" s="7"/>
      <c r="R7" s="7"/>
    </row>
    <row r="8" spans="1:18" ht="12" customHeight="1">
      <c r="A8" s="8"/>
      <c r="B8" s="13" t="s">
        <v>5</v>
      </c>
      <c r="C8" s="14"/>
      <c r="D8" s="10"/>
      <c r="E8" s="10"/>
      <c r="F8" s="10"/>
      <c r="G8" s="10"/>
      <c r="H8" s="10"/>
      <c r="I8" s="10"/>
      <c r="J8" s="10"/>
      <c r="K8" s="10"/>
      <c r="L8" s="10"/>
      <c r="M8" s="10"/>
      <c r="N8" s="6"/>
      <c r="O8" s="7"/>
      <c r="P8" s="7"/>
      <c r="Q8" s="7"/>
      <c r="R8" s="7"/>
    </row>
    <row r="9" spans="1:18" ht="12" customHeight="1">
      <c r="A9" s="8"/>
      <c r="B9" s="15"/>
      <c r="C9" s="14"/>
      <c r="D9" s="10"/>
      <c r="E9" s="10"/>
      <c r="F9" s="10"/>
      <c r="G9" s="10"/>
      <c r="H9" s="10"/>
      <c r="I9" s="10"/>
      <c r="J9" s="10"/>
      <c r="K9" s="10"/>
      <c r="L9" s="10"/>
      <c r="M9" s="10"/>
      <c r="N9" s="6"/>
      <c r="O9" s="7"/>
      <c r="P9" s="7"/>
      <c r="Q9" s="7"/>
      <c r="R9" s="7"/>
    </row>
    <row r="10" spans="1:18" ht="15.75">
      <c r="A10" s="8"/>
      <c r="B10" s="13"/>
      <c r="C10" s="14"/>
      <c r="D10" s="16"/>
      <c r="E10" s="16"/>
      <c r="F10" s="10"/>
      <c r="G10" s="10"/>
      <c r="H10" s="10"/>
      <c r="I10" s="10"/>
      <c r="J10" s="10"/>
      <c r="K10" s="10"/>
      <c r="L10" s="10"/>
      <c r="M10" s="10"/>
      <c r="N10" s="6"/>
      <c r="O10" s="7"/>
      <c r="P10" s="7"/>
      <c r="Q10" s="7"/>
      <c r="R10" s="7"/>
    </row>
    <row r="11" spans="1:18" ht="15.75">
      <c r="A11" s="8"/>
      <c r="B11" s="16" t="s">
        <v>6</v>
      </c>
      <c r="C11" s="16"/>
      <c r="D11" s="10"/>
      <c r="E11" s="10"/>
      <c r="F11" s="10"/>
      <c r="G11" s="10"/>
      <c r="H11" s="10"/>
      <c r="I11" s="10"/>
      <c r="J11" s="10"/>
      <c r="K11" s="10"/>
      <c r="L11" s="10"/>
      <c r="M11" s="10"/>
      <c r="N11" s="6"/>
      <c r="O11" s="7"/>
      <c r="P11" s="7"/>
      <c r="Q11" s="7"/>
      <c r="R11" s="7"/>
    </row>
    <row r="12" spans="1:18" ht="15.75">
      <c r="A12" s="8"/>
      <c r="B12" s="16"/>
      <c r="C12" s="16"/>
      <c r="D12" s="10"/>
      <c r="E12" s="10"/>
      <c r="F12" s="10"/>
      <c r="G12" s="10"/>
      <c r="H12" s="10"/>
      <c r="I12" s="10"/>
      <c r="J12" s="10"/>
      <c r="K12" s="10"/>
      <c r="L12" s="10"/>
      <c r="M12" s="10"/>
      <c r="N12" s="6"/>
      <c r="O12" s="7"/>
      <c r="P12" s="7"/>
      <c r="Q12" s="7"/>
      <c r="R12" s="7"/>
    </row>
    <row r="13" spans="1:18" ht="15.75">
      <c r="A13" s="2"/>
      <c r="B13" s="5"/>
      <c r="C13" s="5"/>
      <c r="D13" s="5"/>
      <c r="E13" s="5"/>
      <c r="F13" s="5"/>
      <c r="G13" s="5"/>
      <c r="H13" s="5"/>
      <c r="I13" s="5"/>
      <c r="J13" s="5"/>
      <c r="K13" s="5"/>
      <c r="L13" s="5"/>
      <c r="M13" s="5"/>
      <c r="N13" s="6"/>
      <c r="O13" s="7"/>
      <c r="P13" s="7"/>
      <c r="Q13" s="7"/>
      <c r="R13" s="7"/>
    </row>
    <row r="14" spans="1:18" ht="15.75">
      <c r="A14" s="8"/>
      <c r="B14" s="17" t="s">
        <v>7</v>
      </c>
      <c r="C14" s="17"/>
      <c r="D14" s="18"/>
      <c r="E14" s="18"/>
      <c r="F14" s="18"/>
      <c r="G14" s="18"/>
      <c r="H14" s="18"/>
      <c r="I14" s="18"/>
      <c r="J14" s="18"/>
      <c r="K14" s="18"/>
      <c r="L14" s="19" t="s">
        <v>183</v>
      </c>
      <c r="M14" s="18"/>
      <c r="N14" s="6"/>
      <c r="O14" s="7"/>
      <c r="P14" s="7"/>
      <c r="Q14" s="7"/>
      <c r="R14" s="7"/>
    </row>
    <row r="15" spans="1:18" ht="15.75">
      <c r="A15" s="8"/>
      <c r="B15" s="17" t="s">
        <v>8</v>
      </c>
      <c r="C15" s="17"/>
      <c r="D15" s="18"/>
      <c r="E15" s="18"/>
      <c r="F15" s="18"/>
      <c r="G15" s="18"/>
      <c r="H15" s="18"/>
      <c r="I15" s="18"/>
      <c r="J15" s="18"/>
      <c r="K15" s="18"/>
      <c r="L15" s="20">
        <v>36585</v>
      </c>
      <c r="M15" s="18"/>
      <c r="N15" s="6"/>
      <c r="O15" s="7"/>
      <c r="P15" s="7"/>
      <c r="Q15" s="7"/>
      <c r="R15" s="7"/>
    </row>
    <row r="16" spans="1:18" ht="15.75">
      <c r="A16" s="8"/>
      <c r="B16" s="17" t="s">
        <v>9</v>
      </c>
      <c r="C16" s="17"/>
      <c r="D16" s="18"/>
      <c r="E16" s="18"/>
      <c r="F16" s="18"/>
      <c r="G16" s="18"/>
      <c r="H16" s="18"/>
      <c r="I16" s="18"/>
      <c r="J16" s="18"/>
      <c r="K16" s="18"/>
      <c r="L16" s="20">
        <v>36693</v>
      </c>
      <c r="M16" s="18"/>
      <c r="N16" s="6"/>
      <c r="O16" s="7"/>
      <c r="P16" s="7"/>
      <c r="Q16" s="7"/>
      <c r="R16" s="7"/>
    </row>
    <row r="17" spans="1:18" ht="15.75">
      <c r="A17" s="8"/>
      <c r="B17" s="10"/>
      <c r="C17" s="10"/>
      <c r="D17" s="10"/>
      <c r="E17" s="10"/>
      <c r="F17" s="10"/>
      <c r="G17" s="10"/>
      <c r="H17" s="10"/>
      <c r="I17" s="10"/>
      <c r="J17" s="10"/>
      <c r="K17" s="10"/>
      <c r="L17" s="21"/>
      <c r="M17" s="10"/>
      <c r="N17" s="6"/>
      <c r="O17" s="7"/>
      <c r="P17" s="7"/>
      <c r="Q17" s="7"/>
      <c r="R17" s="7"/>
    </row>
    <row r="18" spans="1:18" ht="15.75">
      <c r="A18" s="8"/>
      <c r="B18" s="22" t="s">
        <v>10</v>
      </c>
      <c r="C18" s="10"/>
      <c r="D18" s="10"/>
      <c r="E18" s="10"/>
      <c r="F18" s="10"/>
      <c r="G18" s="10"/>
      <c r="H18" s="10"/>
      <c r="I18" s="10"/>
      <c r="J18" s="21" t="s">
        <v>172</v>
      </c>
      <c r="K18" s="10"/>
      <c r="L18" s="15"/>
      <c r="M18" s="10"/>
      <c r="N18" s="6"/>
      <c r="O18" s="7"/>
      <c r="P18" s="7"/>
      <c r="Q18" s="7"/>
      <c r="R18" s="7"/>
    </row>
    <row r="19" spans="1:18" ht="15.75">
      <c r="A19" s="8"/>
      <c r="B19" s="10"/>
      <c r="C19" s="10"/>
      <c r="D19" s="10"/>
      <c r="E19" s="10"/>
      <c r="F19" s="10"/>
      <c r="G19" s="10"/>
      <c r="H19" s="10"/>
      <c r="I19" s="10"/>
      <c r="J19" s="10"/>
      <c r="K19" s="10"/>
      <c r="L19" s="23"/>
      <c r="M19" s="10"/>
      <c r="N19" s="6"/>
      <c r="O19" s="7"/>
      <c r="P19" s="7"/>
      <c r="Q19" s="7"/>
      <c r="R19" s="7"/>
    </row>
    <row r="20" spans="1:18" ht="15.75">
      <c r="A20" s="8"/>
      <c r="B20" s="10"/>
      <c r="C20" s="144" t="s">
        <v>141</v>
      </c>
      <c r="D20" s="24"/>
      <c r="E20" s="24"/>
      <c r="F20" s="145" t="s">
        <v>149</v>
      </c>
      <c r="G20" s="145"/>
      <c r="H20" s="145" t="s">
        <v>162</v>
      </c>
      <c r="I20" s="25"/>
      <c r="J20" s="24"/>
      <c r="K20" s="15"/>
      <c r="L20" s="15"/>
      <c r="M20" s="10"/>
      <c r="N20" s="6"/>
      <c r="O20" s="7"/>
      <c r="P20" s="7"/>
      <c r="Q20" s="7"/>
      <c r="R20" s="7"/>
    </row>
    <row r="21" spans="1:18" ht="15.75">
      <c r="A21" s="8"/>
      <c r="B21" s="10" t="s">
        <v>11</v>
      </c>
      <c r="C21" s="144" t="s">
        <v>142</v>
      </c>
      <c r="D21" s="24"/>
      <c r="E21" s="24"/>
      <c r="F21" s="24" t="s">
        <v>150</v>
      </c>
      <c r="G21" s="24"/>
      <c r="H21" s="24" t="s">
        <v>163</v>
      </c>
      <c r="I21" s="24"/>
      <c r="J21" s="24"/>
      <c r="K21" s="15"/>
      <c r="L21" s="15"/>
      <c r="M21" s="10"/>
      <c r="N21" s="6"/>
      <c r="O21" s="7"/>
      <c r="P21" s="7"/>
      <c r="Q21" s="7"/>
      <c r="R21" s="7"/>
    </row>
    <row r="22" spans="1:18" ht="15.75">
      <c r="A22" s="26"/>
      <c r="B22" s="27" t="s">
        <v>12</v>
      </c>
      <c r="C22" s="28"/>
      <c r="D22" s="29"/>
      <c r="E22" s="29"/>
      <c r="F22" s="29" t="s">
        <v>151</v>
      </c>
      <c r="G22" s="29"/>
      <c r="H22" s="29" t="s">
        <v>164</v>
      </c>
      <c r="I22" s="29"/>
      <c r="J22" s="29"/>
      <c r="K22" s="30"/>
      <c r="L22" s="30"/>
      <c r="M22" s="27"/>
      <c r="N22" s="6"/>
      <c r="O22" s="7"/>
      <c r="P22" s="7"/>
      <c r="Q22" s="7"/>
      <c r="R22" s="7"/>
    </row>
    <row r="23" spans="1:18" ht="15.75">
      <c r="A23" s="31"/>
      <c r="B23" s="32" t="s">
        <v>13</v>
      </c>
      <c r="C23" s="32"/>
      <c r="D23" s="33"/>
      <c r="E23" s="33"/>
      <c r="F23" s="33" t="s">
        <v>150</v>
      </c>
      <c r="G23" s="33"/>
      <c r="H23" s="33" t="s">
        <v>163</v>
      </c>
      <c r="I23" s="33"/>
      <c r="J23" s="29"/>
      <c r="K23" s="30"/>
      <c r="L23" s="30"/>
      <c r="M23" s="27"/>
      <c r="N23" s="6"/>
      <c r="O23" s="7"/>
      <c r="P23" s="7"/>
      <c r="Q23" s="7"/>
      <c r="R23" s="7"/>
    </row>
    <row r="24" spans="1:18" ht="15.75">
      <c r="A24" s="31"/>
      <c r="B24" s="32" t="s">
        <v>14</v>
      </c>
      <c r="C24" s="32"/>
      <c r="D24" s="33"/>
      <c r="E24" s="33"/>
      <c r="F24" s="33" t="s">
        <v>151</v>
      </c>
      <c r="G24" s="33"/>
      <c r="H24" s="33" t="s">
        <v>164</v>
      </c>
      <c r="I24" s="33"/>
      <c r="J24" s="29"/>
      <c r="K24" s="30"/>
      <c r="L24" s="30"/>
      <c r="M24" s="27"/>
      <c r="N24" s="6"/>
      <c r="O24" s="7"/>
      <c r="P24" s="7"/>
      <c r="Q24" s="7"/>
      <c r="R24" s="7"/>
    </row>
    <row r="25" spans="1:18" ht="15.75">
      <c r="A25" s="26"/>
      <c r="B25" s="27" t="s">
        <v>15</v>
      </c>
      <c r="C25" s="27"/>
      <c r="D25" s="28"/>
      <c r="E25" s="29"/>
      <c r="F25" s="28" t="s">
        <v>152</v>
      </c>
      <c r="G25" s="29"/>
      <c r="H25" s="28" t="s">
        <v>165</v>
      </c>
      <c r="I25" s="29"/>
      <c r="J25" s="28"/>
      <c r="K25" s="30"/>
      <c r="L25" s="30"/>
      <c r="M25" s="27"/>
      <c r="N25" s="6"/>
      <c r="O25" s="7"/>
      <c r="P25" s="7"/>
      <c r="Q25" s="7"/>
      <c r="R25" s="7"/>
    </row>
    <row r="26" spans="1:18" ht="15.75">
      <c r="A26" s="26"/>
      <c r="B26" s="27"/>
      <c r="C26" s="27"/>
      <c r="D26" s="27"/>
      <c r="E26" s="29"/>
      <c r="F26" s="29"/>
      <c r="G26" s="29"/>
      <c r="H26" s="29"/>
      <c r="I26" s="29"/>
      <c r="J26" s="29"/>
      <c r="K26" s="30"/>
      <c r="L26" s="30"/>
      <c r="M26" s="27"/>
      <c r="N26" s="6"/>
      <c r="O26" s="7"/>
      <c r="P26" s="7"/>
      <c r="Q26" s="7"/>
      <c r="R26" s="7"/>
    </row>
    <row r="27" spans="1:18" ht="15.75">
      <c r="A27" s="26"/>
      <c r="B27" s="27" t="s">
        <v>16</v>
      </c>
      <c r="C27" s="27"/>
      <c r="D27" s="34"/>
      <c r="E27" s="35"/>
      <c r="F27" s="34">
        <v>166500</v>
      </c>
      <c r="G27" s="34"/>
      <c r="H27" s="34">
        <v>18500</v>
      </c>
      <c r="I27" s="34"/>
      <c r="J27" s="34"/>
      <c r="K27" s="36"/>
      <c r="L27" s="34">
        <f>H27+F27</f>
        <v>185000</v>
      </c>
      <c r="M27" s="37"/>
      <c r="N27" s="6"/>
      <c r="O27" s="7"/>
      <c r="P27" s="7"/>
      <c r="Q27" s="7"/>
      <c r="R27" s="7"/>
    </row>
    <row r="28" spans="1:18" ht="15.75">
      <c r="A28" s="26"/>
      <c r="B28" s="27" t="s">
        <v>17</v>
      </c>
      <c r="C28" s="38">
        <v>1</v>
      </c>
      <c r="D28" s="34"/>
      <c r="E28" s="35"/>
      <c r="F28" s="34">
        <f>166500*C28</f>
        <v>166500</v>
      </c>
      <c r="G28" s="34"/>
      <c r="H28" s="34">
        <v>18500</v>
      </c>
      <c r="I28" s="34"/>
      <c r="J28" s="34"/>
      <c r="K28" s="36"/>
      <c r="L28" s="34">
        <f>H28+F28</f>
        <v>185000</v>
      </c>
      <c r="M28" s="37"/>
      <c r="N28" s="6"/>
      <c r="O28" s="7"/>
      <c r="P28" s="7"/>
      <c r="Q28" s="7"/>
      <c r="R28" s="7"/>
    </row>
    <row r="29" spans="1:18" ht="12.75" customHeight="1">
      <c r="A29" s="31"/>
      <c r="B29" s="32" t="s">
        <v>18</v>
      </c>
      <c r="C29" s="39">
        <v>0.98672</v>
      </c>
      <c r="D29" s="40"/>
      <c r="E29" s="41"/>
      <c r="F29" s="40">
        <f>166500*C29*1</f>
        <v>164288.88</v>
      </c>
      <c r="G29" s="40"/>
      <c r="H29" s="40">
        <v>18500</v>
      </c>
      <c r="I29" s="40"/>
      <c r="J29" s="40"/>
      <c r="K29" s="42"/>
      <c r="L29" s="40">
        <f>H29+F29+D29</f>
        <v>182788.88</v>
      </c>
      <c r="M29" s="37"/>
      <c r="N29" s="6"/>
      <c r="O29" s="7"/>
      <c r="P29" s="7"/>
      <c r="Q29" s="7"/>
      <c r="R29" s="7"/>
    </row>
    <row r="30" spans="1:18" ht="15.75">
      <c r="A30" s="26"/>
      <c r="B30" s="27" t="s">
        <v>19</v>
      </c>
      <c r="C30" s="43"/>
      <c r="D30" s="28"/>
      <c r="E30" s="27"/>
      <c r="F30" s="28" t="s">
        <v>153</v>
      </c>
      <c r="G30" s="28"/>
      <c r="H30" s="28" t="s">
        <v>166</v>
      </c>
      <c r="I30" s="28"/>
      <c r="J30" s="28"/>
      <c r="K30" s="30"/>
      <c r="L30" s="30"/>
      <c r="M30" s="27"/>
      <c r="N30" s="6"/>
      <c r="O30" s="7"/>
      <c r="P30" s="7"/>
      <c r="Q30" s="7"/>
      <c r="R30" s="7"/>
    </row>
    <row r="31" spans="1:18" ht="15.75">
      <c r="A31" s="26"/>
      <c r="B31" s="27" t="s">
        <v>20</v>
      </c>
      <c r="C31" s="27"/>
      <c r="D31" s="44"/>
      <c r="E31" s="27"/>
      <c r="F31" s="44">
        <f>(5.48632)/100</f>
        <v>0.0548632</v>
      </c>
      <c r="G31" s="45"/>
      <c r="H31" s="44">
        <f>(6.00632)/100</f>
        <v>0.0600632</v>
      </c>
      <c r="I31" s="45"/>
      <c r="J31" s="44"/>
      <c r="K31" s="30"/>
      <c r="L31" s="45">
        <f>SUMPRODUCT(F31:H31,F28:H28)/L28</f>
        <v>0.0553832</v>
      </c>
      <c r="M31" s="27"/>
      <c r="N31" s="6"/>
      <c r="O31" s="7"/>
      <c r="P31" s="7"/>
      <c r="Q31" s="7"/>
      <c r="R31" s="7"/>
    </row>
    <row r="32" spans="1:18" ht="15.75">
      <c r="A32" s="26"/>
      <c r="B32" s="27" t="s">
        <v>21</v>
      </c>
      <c r="C32" s="27"/>
      <c r="D32" s="44"/>
      <c r="E32" s="27"/>
      <c r="F32" s="44" t="s">
        <v>154</v>
      </c>
      <c r="G32" s="45"/>
      <c r="H32" s="44" t="s">
        <v>154</v>
      </c>
      <c r="I32" s="45"/>
      <c r="J32" s="44"/>
      <c r="K32" s="30"/>
      <c r="L32" s="30"/>
      <c r="M32" s="27"/>
      <c r="N32" s="6"/>
      <c r="O32" s="7"/>
      <c r="P32" s="7"/>
      <c r="Q32" s="7"/>
      <c r="R32" s="7"/>
    </row>
    <row r="33" spans="1:18" ht="15.75">
      <c r="A33" s="26"/>
      <c r="B33" s="27" t="s">
        <v>22</v>
      </c>
      <c r="C33" s="27"/>
      <c r="D33" s="28"/>
      <c r="E33" s="27"/>
      <c r="F33" s="28" t="s">
        <v>155</v>
      </c>
      <c r="G33" s="28"/>
      <c r="H33" s="28" t="s">
        <v>155</v>
      </c>
      <c r="I33" s="28"/>
      <c r="J33" s="28"/>
      <c r="K33" s="30"/>
      <c r="L33" s="30"/>
      <c r="M33" s="27"/>
      <c r="N33" s="6"/>
      <c r="O33" s="7"/>
      <c r="P33" s="7"/>
      <c r="Q33" s="7"/>
      <c r="R33" s="7"/>
    </row>
    <row r="34" spans="1:18" ht="15.75">
      <c r="A34" s="26"/>
      <c r="B34" s="27" t="s">
        <v>23</v>
      </c>
      <c r="C34" s="27"/>
      <c r="D34" s="28"/>
      <c r="E34" s="27"/>
      <c r="F34" s="28" t="s">
        <v>156</v>
      </c>
      <c r="G34" s="28"/>
      <c r="H34" s="28" t="s">
        <v>156</v>
      </c>
      <c r="I34" s="28"/>
      <c r="J34" s="28"/>
      <c r="K34" s="30"/>
      <c r="L34" s="30"/>
      <c r="M34" s="27"/>
      <c r="N34" s="6"/>
      <c r="O34" s="7"/>
      <c r="P34" s="7"/>
      <c r="Q34" s="7"/>
      <c r="R34" s="7"/>
    </row>
    <row r="35" spans="1:18" ht="15.75">
      <c r="A35" s="26"/>
      <c r="B35" s="27" t="s">
        <v>24</v>
      </c>
      <c r="C35" s="27"/>
      <c r="D35" s="28"/>
      <c r="E35" s="27"/>
      <c r="F35" s="28" t="s">
        <v>157</v>
      </c>
      <c r="G35" s="28"/>
      <c r="H35" s="28" t="s">
        <v>167</v>
      </c>
      <c r="I35" s="28"/>
      <c r="J35" s="28"/>
      <c r="K35" s="30"/>
      <c r="L35" s="30"/>
      <c r="M35" s="27"/>
      <c r="N35" s="6"/>
      <c r="O35" s="7"/>
      <c r="P35" s="7"/>
      <c r="Q35" s="7"/>
      <c r="R35" s="7"/>
    </row>
    <row r="36" spans="1:18" ht="15.75">
      <c r="A36" s="26"/>
      <c r="B36" s="27"/>
      <c r="C36" s="27"/>
      <c r="D36" s="46"/>
      <c r="E36" s="46"/>
      <c r="F36" s="27"/>
      <c r="G36" s="46"/>
      <c r="H36" s="46"/>
      <c r="I36" s="46"/>
      <c r="J36" s="46"/>
      <c r="K36" s="46"/>
      <c r="L36" s="46"/>
      <c r="M36" s="27"/>
      <c r="N36" s="6"/>
      <c r="O36" s="7"/>
      <c r="P36" s="7"/>
      <c r="Q36" s="7"/>
      <c r="R36" s="7"/>
    </row>
    <row r="37" spans="1:18" ht="15.75">
      <c r="A37" s="26"/>
      <c r="B37" s="27" t="s">
        <v>25</v>
      </c>
      <c r="C37" s="27"/>
      <c r="D37" s="27"/>
      <c r="E37" s="27"/>
      <c r="F37" s="27"/>
      <c r="G37" s="27"/>
      <c r="H37" s="27"/>
      <c r="I37" s="27"/>
      <c r="J37" s="27"/>
      <c r="K37" s="27"/>
      <c r="L37" s="45">
        <f>H27/F27</f>
        <v>0.1111111111111111</v>
      </c>
      <c r="M37" s="27"/>
      <c r="N37" s="6"/>
      <c r="O37" s="7"/>
      <c r="P37" s="7"/>
      <c r="Q37" s="7"/>
      <c r="R37" s="7"/>
    </row>
    <row r="38" spans="1:18" ht="15.75">
      <c r="A38" s="26"/>
      <c r="B38" s="27" t="s">
        <v>26</v>
      </c>
      <c r="C38" s="27"/>
      <c r="D38" s="27"/>
      <c r="E38" s="27"/>
      <c r="F38" s="27"/>
      <c r="G38" s="27"/>
      <c r="H38" s="27"/>
      <c r="I38" s="27"/>
      <c r="J38" s="27"/>
      <c r="K38" s="27"/>
      <c r="L38" s="45">
        <f>H29/F29</f>
        <v>0.11260652577338162</v>
      </c>
      <c r="M38" s="27"/>
      <c r="N38" s="6"/>
      <c r="O38" s="7"/>
      <c r="P38" s="7"/>
      <c r="Q38" s="7"/>
      <c r="R38" s="7"/>
    </row>
    <row r="39" spans="1:18" ht="15.75">
      <c r="A39" s="26"/>
      <c r="B39" s="27" t="s">
        <v>27</v>
      </c>
      <c r="C39" s="27"/>
      <c r="D39" s="27"/>
      <c r="E39" s="27"/>
      <c r="F39" s="27"/>
      <c r="G39" s="27"/>
      <c r="H39" s="27"/>
      <c r="I39" s="27"/>
      <c r="J39" s="28" t="s">
        <v>149</v>
      </c>
      <c r="K39" s="28" t="s">
        <v>181</v>
      </c>
      <c r="L39" s="34">
        <v>74000</v>
      </c>
      <c r="M39" s="27"/>
      <c r="N39" s="6"/>
      <c r="O39" s="7"/>
      <c r="P39" s="7"/>
      <c r="Q39" s="7"/>
      <c r="R39" s="7"/>
    </row>
    <row r="40" spans="1:18" ht="15.75">
      <c r="A40" s="26"/>
      <c r="B40" s="27"/>
      <c r="C40" s="27"/>
      <c r="D40" s="27"/>
      <c r="E40" s="27"/>
      <c r="F40" s="27"/>
      <c r="G40" s="27"/>
      <c r="H40" s="27"/>
      <c r="I40" s="27"/>
      <c r="J40" s="27" t="s">
        <v>173</v>
      </c>
      <c r="K40" s="27"/>
      <c r="L40" s="47"/>
      <c r="M40" s="27"/>
      <c r="N40" s="6"/>
      <c r="O40" s="7"/>
      <c r="P40" s="7"/>
      <c r="Q40" s="7"/>
      <c r="R40" s="7"/>
    </row>
    <row r="41" spans="1:18" ht="15.75">
      <c r="A41" s="26"/>
      <c r="B41" s="27" t="s">
        <v>28</v>
      </c>
      <c r="C41" s="27"/>
      <c r="D41" s="27"/>
      <c r="E41" s="27"/>
      <c r="F41" s="27"/>
      <c r="G41" s="27"/>
      <c r="H41" s="27"/>
      <c r="I41" s="27"/>
      <c r="J41" s="28"/>
      <c r="K41" s="28"/>
      <c r="L41" s="28" t="s">
        <v>184</v>
      </c>
      <c r="M41" s="27"/>
      <c r="N41" s="6"/>
      <c r="O41" s="7"/>
      <c r="P41" s="7"/>
      <c r="Q41" s="7"/>
      <c r="R41" s="7"/>
    </row>
    <row r="42" spans="1:18" ht="15.75">
      <c r="A42" s="31"/>
      <c r="B42" s="32" t="s">
        <v>29</v>
      </c>
      <c r="C42" s="32"/>
      <c r="D42" s="32"/>
      <c r="E42" s="32"/>
      <c r="F42" s="32"/>
      <c r="G42" s="32"/>
      <c r="H42" s="32"/>
      <c r="I42" s="32"/>
      <c r="J42" s="48"/>
      <c r="K42" s="48"/>
      <c r="L42" s="49">
        <v>36692</v>
      </c>
      <c r="M42" s="27"/>
      <c r="N42" s="6"/>
      <c r="O42" s="7"/>
      <c r="P42" s="7"/>
      <c r="Q42" s="7"/>
      <c r="R42" s="7"/>
    </row>
    <row r="43" spans="1:18" ht="15.75">
      <c r="A43" s="26"/>
      <c r="B43" s="27" t="s">
        <v>30</v>
      </c>
      <c r="C43" s="27"/>
      <c r="D43" s="27"/>
      <c r="E43" s="27"/>
      <c r="F43" s="27"/>
      <c r="G43" s="27"/>
      <c r="H43" s="27"/>
      <c r="I43" s="27">
        <v>0</v>
      </c>
      <c r="J43" s="50"/>
      <c r="K43" s="51"/>
      <c r="L43" s="50"/>
      <c r="M43" s="27"/>
      <c r="N43" s="6"/>
      <c r="O43" s="7"/>
      <c r="P43" s="7"/>
      <c r="Q43" s="7"/>
      <c r="R43" s="7"/>
    </row>
    <row r="44" spans="1:18" ht="15.75">
      <c r="A44" s="26"/>
      <c r="B44" s="27" t="s">
        <v>31</v>
      </c>
      <c r="C44" s="27"/>
      <c r="D44" s="27"/>
      <c r="E44" s="27"/>
      <c r="F44" s="27"/>
      <c r="G44" s="27"/>
      <c r="H44" s="27"/>
      <c r="I44" s="27">
        <f>L44-J44+1</f>
        <v>107</v>
      </c>
      <c r="J44" s="50">
        <v>36585</v>
      </c>
      <c r="K44" s="51"/>
      <c r="L44" s="50">
        <v>36691</v>
      </c>
      <c r="M44" s="27"/>
      <c r="N44" s="6"/>
      <c r="O44" s="7"/>
      <c r="P44" s="7"/>
      <c r="Q44" s="7"/>
      <c r="R44" s="7"/>
    </row>
    <row r="45" spans="1:18" ht="15.75">
      <c r="A45" s="26"/>
      <c r="B45" s="27" t="s">
        <v>32</v>
      </c>
      <c r="C45" s="27"/>
      <c r="D45" s="27"/>
      <c r="E45" s="27"/>
      <c r="F45" s="27"/>
      <c r="G45" s="27"/>
      <c r="H45" s="27"/>
      <c r="I45" s="27"/>
      <c r="J45" s="50"/>
      <c r="K45" s="51"/>
      <c r="L45" s="50" t="s">
        <v>185</v>
      </c>
      <c r="M45" s="27"/>
      <c r="N45" s="6"/>
      <c r="O45" s="7"/>
      <c r="P45" s="7"/>
      <c r="Q45" s="7"/>
      <c r="R45" s="7"/>
    </row>
    <row r="46" spans="1:18" ht="15.75">
      <c r="A46" s="26"/>
      <c r="B46" s="27" t="s">
        <v>33</v>
      </c>
      <c r="C46" s="27"/>
      <c r="D46" s="27"/>
      <c r="E46" s="27"/>
      <c r="F46" s="27"/>
      <c r="G46" s="27"/>
      <c r="H46" s="27"/>
      <c r="I46" s="27"/>
      <c r="J46" s="50"/>
      <c r="K46" s="51"/>
      <c r="L46" s="50">
        <v>36684</v>
      </c>
      <c r="M46" s="27"/>
      <c r="N46" s="6"/>
      <c r="O46" s="7"/>
      <c r="P46" s="7"/>
      <c r="Q46" s="7"/>
      <c r="R46" s="7"/>
    </row>
    <row r="47" spans="1:18" ht="15.75">
      <c r="A47" s="26"/>
      <c r="B47" s="27"/>
      <c r="C47" s="27"/>
      <c r="D47" s="27"/>
      <c r="E47" s="27"/>
      <c r="F47" s="27"/>
      <c r="G47" s="27"/>
      <c r="H47" s="27"/>
      <c r="I47" s="27"/>
      <c r="J47" s="50"/>
      <c r="K47" s="51"/>
      <c r="L47" s="50"/>
      <c r="M47" s="27"/>
      <c r="N47" s="6"/>
      <c r="O47" s="7"/>
      <c r="P47" s="7"/>
      <c r="Q47" s="7"/>
      <c r="R47" s="7"/>
    </row>
    <row r="48" spans="1:18" ht="15.75">
      <c r="A48" s="8"/>
      <c r="B48" s="10"/>
      <c r="C48" s="10"/>
      <c r="D48" s="10"/>
      <c r="E48" s="10"/>
      <c r="F48" s="10"/>
      <c r="G48" s="10"/>
      <c r="H48" s="10"/>
      <c r="I48" s="10"/>
      <c r="J48" s="52"/>
      <c r="K48" s="53"/>
      <c r="L48" s="52"/>
      <c r="M48" s="10"/>
      <c r="N48" s="6"/>
      <c r="O48" s="7"/>
      <c r="P48" s="7"/>
      <c r="Q48" s="7"/>
      <c r="R48" s="7"/>
    </row>
    <row r="49" spans="1:18" ht="19.5" thickBot="1">
      <c r="A49" s="129"/>
      <c r="B49" s="130" t="s">
        <v>34</v>
      </c>
      <c r="C49" s="131"/>
      <c r="D49" s="131"/>
      <c r="E49" s="131"/>
      <c r="F49" s="131"/>
      <c r="G49" s="131"/>
      <c r="H49" s="131"/>
      <c r="I49" s="131"/>
      <c r="J49" s="132"/>
      <c r="K49" s="133"/>
      <c r="L49" s="132"/>
      <c r="M49" s="134"/>
      <c r="N49" s="6"/>
      <c r="O49" s="7"/>
      <c r="P49" s="7"/>
      <c r="Q49" s="7"/>
      <c r="R49" s="7"/>
    </row>
    <row r="50" spans="1:18" ht="15.75">
      <c r="A50" s="2"/>
      <c r="B50" s="5"/>
      <c r="C50" s="5"/>
      <c r="D50" s="5"/>
      <c r="E50" s="5"/>
      <c r="F50" s="5"/>
      <c r="G50" s="5"/>
      <c r="H50" s="5"/>
      <c r="I50" s="5"/>
      <c r="J50" s="5"/>
      <c r="K50" s="5"/>
      <c r="L50" s="55"/>
      <c r="M50" s="5"/>
      <c r="N50" s="6"/>
      <c r="O50" s="7"/>
      <c r="P50" s="7"/>
      <c r="Q50" s="7"/>
      <c r="R50" s="7"/>
    </row>
    <row r="51" spans="1:18" ht="15.75">
      <c r="A51" s="8"/>
      <c r="B51" s="56" t="s">
        <v>35</v>
      </c>
      <c r="C51" s="16"/>
      <c r="D51" s="10"/>
      <c r="E51" s="10"/>
      <c r="F51" s="10"/>
      <c r="G51" s="10"/>
      <c r="H51" s="10"/>
      <c r="I51" s="10"/>
      <c r="J51" s="10"/>
      <c r="K51" s="10"/>
      <c r="L51" s="57"/>
      <c r="M51" s="10"/>
      <c r="N51" s="6"/>
      <c r="O51" s="7"/>
      <c r="P51" s="7"/>
      <c r="Q51" s="7"/>
      <c r="R51" s="7"/>
    </row>
    <row r="52" spans="1:18" ht="15.75">
      <c r="A52" s="8"/>
      <c r="B52" s="16"/>
      <c r="C52" s="16"/>
      <c r="D52" s="10"/>
      <c r="E52" s="10"/>
      <c r="F52" s="10"/>
      <c r="G52" s="10"/>
      <c r="H52" s="10"/>
      <c r="I52" s="10"/>
      <c r="J52" s="10"/>
      <c r="K52" s="10"/>
      <c r="L52" s="57"/>
      <c r="M52" s="10"/>
      <c r="N52" s="6"/>
      <c r="O52" s="7"/>
      <c r="P52" s="7"/>
      <c r="Q52" s="7"/>
      <c r="R52" s="7"/>
    </row>
    <row r="53" spans="1:14" s="152" customFormat="1" ht="63">
      <c r="A53" s="146"/>
      <c r="B53" s="147" t="s">
        <v>36</v>
      </c>
      <c r="C53" s="148" t="s">
        <v>143</v>
      </c>
      <c r="D53" s="148" t="s">
        <v>145</v>
      </c>
      <c r="E53" s="148"/>
      <c r="F53" s="148" t="s">
        <v>158</v>
      </c>
      <c r="G53" s="148"/>
      <c r="H53" s="148" t="s">
        <v>168</v>
      </c>
      <c r="I53" s="148"/>
      <c r="J53" s="148" t="s">
        <v>174</v>
      </c>
      <c r="K53" s="148"/>
      <c r="L53" s="149" t="s">
        <v>186</v>
      </c>
      <c r="M53" s="150"/>
      <c r="N53" s="158"/>
    </row>
    <row r="54" spans="1:18" ht="15.75">
      <c r="A54" s="26"/>
      <c r="B54" s="27" t="s">
        <v>37</v>
      </c>
      <c r="C54" s="37">
        <v>158981</v>
      </c>
      <c r="D54" s="37">
        <v>158981</v>
      </c>
      <c r="E54" s="37"/>
      <c r="F54" s="37">
        <v>3360</v>
      </c>
      <c r="G54" s="37"/>
      <c r="H54" s="37">
        <v>27168</v>
      </c>
      <c r="I54" s="37"/>
      <c r="J54" s="37">
        <v>0</v>
      </c>
      <c r="K54" s="37"/>
      <c r="L54" s="58">
        <f>D54-F54+H54-J54</f>
        <v>182789</v>
      </c>
      <c r="M54" s="27"/>
      <c r="N54" s="6"/>
      <c r="O54" s="7"/>
      <c r="P54" s="7"/>
      <c r="Q54" s="7"/>
      <c r="R54" s="7"/>
    </row>
    <row r="55" spans="1:18" ht="15.75">
      <c r="A55" s="26"/>
      <c r="B55" s="27" t="s">
        <v>38</v>
      </c>
      <c r="C55" s="37">
        <v>141</v>
      </c>
      <c r="D55" s="37">
        <v>141</v>
      </c>
      <c r="E55" s="37"/>
      <c r="F55" s="37">
        <v>141</v>
      </c>
      <c r="G55" s="37"/>
      <c r="H55" s="37">
        <v>0</v>
      </c>
      <c r="I55" s="37"/>
      <c r="J55" s="37">
        <v>0</v>
      </c>
      <c r="K55" s="37"/>
      <c r="L55" s="58">
        <f>D55-F55+H55-J55</f>
        <v>0</v>
      </c>
      <c r="M55" s="27"/>
      <c r="N55" s="6"/>
      <c r="O55" s="7"/>
      <c r="P55" s="7"/>
      <c r="Q55" s="7"/>
      <c r="R55" s="7"/>
    </row>
    <row r="56" spans="1:18" ht="15.75">
      <c r="A56" s="26"/>
      <c r="B56" s="27"/>
      <c r="C56" s="37"/>
      <c r="D56" s="37"/>
      <c r="E56" s="37"/>
      <c r="F56" s="37"/>
      <c r="G56" s="37"/>
      <c r="H56" s="37"/>
      <c r="I56" s="37"/>
      <c r="J56" s="37"/>
      <c r="K56" s="37"/>
      <c r="L56" s="58"/>
      <c r="M56" s="27"/>
      <c r="N56" s="6"/>
      <c r="O56" s="7"/>
      <c r="P56" s="7"/>
      <c r="Q56" s="7"/>
      <c r="R56" s="7"/>
    </row>
    <row r="57" spans="1:18" ht="15.75">
      <c r="A57" s="26"/>
      <c r="B57" s="27" t="s">
        <v>39</v>
      </c>
      <c r="C57" s="37">
        <f>SUM(C54:C56)</f>
        <v>159122</v>
      </c>
      <c r="D57" s="37">
        <f>SUM(D54:D56)</f>
        <v>159122</v>
      </c>
      <c r="E57" s="37"/>
      <c r="F57" s="37">
        <f>SUM(F54:F56)</f>
        <v>3501</v>
      </c>
      <c r="G57" s="37"/>
      <c r="H57" s="37">
        <f>SUM(H54:H56)</f>
        <v>27168</v>
      </c>
      <c r="I57" s="37"/>
      <c r="J57" s="37">
        <f>SUM(J54:J56)</f>
        <v>0</v>
      </c>
      <c r="K57" s="37"/>
      <c r="L57" s="59">
        <f>SUM(L54:L56)</f>
        <v>182789</v>
      </c>
      <c r="M57" s="27"/>
      <c r="N57" s="6"/>
      <c r="O57" s="7"/>
      <c r="P57" s="7"/>
      <c r="Q57" s="7"/>
      <c r="R57" s="7"/>
    </row>
    <row r="58" spans="1:18" ht="15.75">
      <c r="A58" s="26"/>
      <c r="B58" s="27"/>
      <c r="C58" s="37"/>
      <c r="D58" s="37"/>
      <c r="E58" s="37"/>
      <c r="F58" s="37"/>
      <c r="G58" s="37"/>
      <c r="H58" s="37"/>
      <c r="I58" s="37"/>
      <c r="J58" s="37"/>
      <c r="K58" s="37"/>
      <c r="L58" s="59"/>
      <c r="M58" s="27"/>
      <c r="N58" s="6"/>
      <c r="O58" s="7"/>
      <c r="P58" s="7"/>
      <c r="Q58" s="7"/>
      <c r="R58" s="7"/>
    </row>
    <row r="59" spans="1:18" ht="15.75">
      <c r="A59" s="8"/>
      <c r="B59" s="143" t="s">
        <v>40</v>
      </c>
      <c r="C59" s="60"/>
      <c r="D59" s="60"/>
      <c r="E59" s="60"/>
      <c r="F59" s="60"/>
      <c r="G59" s="60"/>
      <c r="H59" s="60"/>
      <c r="I59" s="60"/>
      <c r="J59" s="60"/>
      <c r="K59" s="60"/>
      <c r="L59" s="61"/>
      <c r="M59" s="10"/>
      <c r="N59" s="62"/>
      <c r="O59" s="7"/>
      <c r="P59" s="7"/>
      <c r="Q59" s="7"/>
      <c r="R59" s="7"/>
    </row>
    <row r="60" spans="1:18" ht="15.75">
      <c r="A60" s="8"/>
      <c r="B60" s="10"/>
      <c r="C60" s="60"/>
      <c r="D60" s="60"/>
      <c r="E60" s="60"/>
      <c r="F60" s="60"/>
      <c r="G60" s="60"/>
      <c r="H60" s="60"/>
      <c r="I60" s="60"/>
      <c r="J60" s="60"/>
      <c r="K60" s="60"/>
      <c r="L60" s="61"/>
      <c r="M60" s="10"/>
      <c r="N60" s="6"/>
      <c r="O60" s="7"/>
      <c r="P60" s="7"/>
      <c r="Q60" s="7"/>
      <c r="R60" s="7"/>
    </row>
    <row r="61" spans="1:18" ht="15.75">
      <c r="A61" s="26"/>
      <c r="B61" s="27" t="s">
        <v>37</v>
      </c>
      <c r="C61" s="37"/>
      <c r="D61" s="37"/>
      <c r="E61" s="37"/>
      <c r="F61" s="37"/>
      <c r="G61" s="37"/>
      <c r="H61" s="37"/>
      <c r="I61" s="37"/>
      <c r="J61" s="37"/>
      <c r="K61" s="37"/>
      <c r="L61" s="59"/>
      <c r="M61" s="27"/>
      <c r="N61" s="6"/>
      <c r="O61" s="7"/>
      <c r="P61" s="7"/>
      <c r="Q61" s="7"/>
      <c r="R61" s="7"/>
    </row>
    <row r="62" spans="1:18" ht="15.75">
      <c r="A62" s="26"/>
      <c r="B62" s="27" t="s">
        <v>38</v>
      </c>
      <c r="C62" s="37"/>
      <c r="D62" s="37"/>
      <c r="E62" s="37"/>
      <c r="F62" s="37"/>
      <c r="G62" s="37"/>
      <c r="H62" s="37"/>
      <c r="I62" s="37"/>
      <c r="J62" s="37"/>
      <c r="K62" s="37"/>
      <c r="L62" s="59"/>
      <c r="M62" s="27"/>
      <c r="N62" s="6"/>
      <c r="O62" s="7"/>
      <c r="P62" s="7"/>
      <c r="Q62" s="7"/>
      <c r="R62" s="7"/>
    </row>
    <row r="63" spans="1:18" ht="15.75">
      <c r="A63" s="26"/>
      <c r="B63" s="27"/>
      <c r="C63" s="37"/>
      <c r="D63" s="37"/>
      <c r="E63" s="37"/>
      <c r="F63" s="37"/>
      <c r="G63" s="37"/>
      <c r="H63" s="37"/>
      <c r="I63" s="37"/>
      <c r="J63" s="37"/>
      <c r="K63" s="37"/>
      <c r="L63" s="59"/>
      <c r="M63" s="27"/>
      <c r="N63" s="6"/>
      <c r="O63" s="7"/>
      <c r="P63" s="7"/>
      <c r="Q63" s="7"/>
      <c r="R63" s="7"/>
    </row>
    <row r="64" spans="1:18" ht="15.75">
      <c r="A64" s="26"/>
      <c r="B64" s="27" t="s">
        <v>39</v>
      </c>
      <c r="C64" s="37"/>
      <c r="D64" s="37"/>
      <c r="E64" s="37"/>
      <c r="F64" s="37"/>
      <c r="G64" s="37"/>
      <c r="H64" s="37"/>
      <c r="I64" s="37"/>
      <c r="J64" s="37"/>
      <c r="K64" s="37"/>
      <c r="L64" s="37"/>
      <c r="M64" s="27"/>
      <c r="N64" s="62"/>
      <c r="O64" s="7"/>
      <c r="P64" s="7"/>
      <c r="Q64" s="7"/>
      <c r="R64" s="7"/>
    </row>
    <row r="65" spans="1:18" ht="15.75">
      <c r="A65" s="26"/>
      <c r="B65" s="27"/>
      <c r="C65" s="37"/>
      <c r="D65" s="37"/>
      <c r="E65" s="37"/>
      <c r="F65" s="37"/>
      <c r="G65" s="37"/>
      <c r="H65" s="37"/>
      <c r="I65" s="37"/>
      <c r="J65" s="37"/>
      <c r="K65" s="37"/>
      <c r="L65" s="37"/>
      <c r="M65" s="27"/>
      <c r="N65" s="6"/>
      <c r="O65" s="7"/>
      <c r="P65" s="7"/>
      <c r="Q65" s="7"/>
      <c r="R65" s="7"/>
    </row>
    <row r="66" spans="1:18" ht="15.75">
      <c r="A66" s="26"/>
      <c r="B66" s="27" t="s">
        <v>41</v>
      </c>
      <c r="C66" s="37">
        <v>0</v>
      </c>
      <c r="D66" s="37">
        <v>0</v>
      </c>
      <c r="E66" s="37"/>
      <c r="F66" s="37"/>
      <c r="G66" s="37"/>
      <c r="H66" s="37"/>
      <c r="I66" s="37"/>
      <c r="J66" s="37"/>
      <c r="K66" s="37"/>
      <c r="L66" s="58">
        <f>D66-F66+H66-J66</f>
        <v>0</v>
      </c>
      <c r="M66" s="27"/>
      <c r="N66" s="6"/>
      <c r="O66" s="7"/>
      <c r="P66" s="7"/>
      <c r="Q66" s="7"/>
      <c r="R66" s="7"/>
    </row>
    <row r="67" spans="1:18" ht="15.75">
      <c r="A67" s="26"/>
      <c r="B67" s="27" t="s">
        <v>42</v>
      </c>
      <c r="C67" s="37">
        <v>25878</v>
      </c>
      <c r="D67" s="37">
        <v>25878</v>
      </c>
      <c r="E67" s="37"/>
      <c r="F67" s="37"/>
      <c r="G67" s="37"/>
      <c r="H67" s="37">
        <v>-25878</v>
      </c>
      <c r="I67" s="37"/>
      <c r="J67" s="37"/>
      <c r="K67" s="37"/>
      <c r="L67" s="59">
        <v>0</v>
      </c>
      <c r="M67" s="27"/>
      <c r="N67" s="6"/>
      <c r="O67" s="7"/>
      <c r="P67" s="7"/>
      <c r="Q67" s="7"/>
      <c r="R67" s="7"/>
    </row>
    <row r="68" spans="1:18" ht="15.75">
      <c r="A68" s="26"/>
      <c r="B68" s="27" t="s">
        <v>43</v>
      </c>
      <c r="C68" s="37">
        <v>0</v>
      </c>
      <c r="D68" s="37">
        <f>L123</f>
        <v>0</v>
      </c>
      <c r="E68" s="37"/>
      <c r="F68" s="37"/>
      <c r="G68" s="37"/>
      <c r="H68" s="37"/>
      <c r="I68" s="37"/>
      <c r="J68" s="37"/>
      <c r="K68" s="37"/>
      <c r="L68" s="59">
        <f>SUM(C68:K68)</f>
        <v>0</v>
      </c>
      <c r="M68" s="27"/>
      <c r="N68" s="6"/>
      <c r="O68" s="7"/>
      <c r="P68" s="7"/>
      <c r="Q68" s="7"/>
      <c r="R68" s="7"/>
    </row>
    <row r="69" spans="1:18" ht="15.75">
      <c r="A69" s="26"/>
      <c r="B69" s="27" t="s">
        <v>44</v>
      </c>
      <c r="C69" s="59">
        <f>SUM(C57:C68)</f>
        <v>185000</v>
      </c>
      <c r="D69" s="59">
        <f>SUM(D57:D68)</f>
        <v>185000</v>
      </c>
      <c r="E69" s="37"/>
      <c r="F69" s="59"/>
      <c r="G69" s="37"/>
      <c r="H69" s="59"/>
      <c r="I69" s="37"/>
      <c r="J69" s="59"/>
      <c r="K69" s="37"/>
      <c r="L69" s="59">
        <f>SUM(L57:L68)</f>
        <v>182789</v>
      </c>
      <c r="M69" s="27"/>
      <c r="N69" s="6"/>
      <c r="O69" s="7"/>
      <c r="P69" s="7"/>
      <c r="Q69" s="7"/>
      <c r="R69" s="7"/>
    </row>
    <row r="70" spans="1:18" ht="15.75">
      <c r="A70" s="8"/>
      <c r="B70" s="10"/>
      <c r="C70" s="10"/>
      <c r="D70" s="10"/>
      <c r="E70" s="10"/>
      <c r="F70" s="10"/>
      <c r="G70" s="10"/>
      <c r="H70" s="10"/>
      <c r="I70" s="10"/>
      <c r="J70" s="10"/>
      <c r="K70" s="10"/>
      <c r="L70" s="10"/>
      <c r="M70" s="10"/>
      <c r="N70" s="6"/>
      <c r="O70" s="7"/>
      <c r="P70" s="7"/>
      <c r="Q70" s="7"/>
      <c r="R70" s="7"/>
    </row>
    <row r="71" spans="1:18" ht="15.75">
      <c r="A71" s="8"/>
      <c r="B71" s="56" t="s">
        <v>45</v>
      </c>
      <c r="C71" s="17"/>
      <c r="D71" s="17"/>
      <c r="E71" s="17"/>
      <c r="F71" s="17"/>
      <c r="G71" s="17"/>
      <c r="H71" s="17"/>
      <c r="I71" s="63"/>
      <c r="J71" s="63" t="s">
        <v>175</v>
      </c>
      <c r="K71" s="63"/>
      <c r="L71" s="63" t="s">
        <v>187</v>
      </c>
      <c r="M71" s="10"/>
      <c r="N71" s="6"/>
      <c r="O71" s="7"/>
      <c r="P71" s="7"/>
      <c r="Q71" s="7"/>
      <c r="R71" s="7"/>
    </row>
    <row r="72" spans="1:18" ht="15.75">
      <c r="A72" s="26"/>
      <c r="B72" s="27" t="s">
        <v>46</v>
      </c>
      <c r="C72" s="27"/>
      <c r="D72" s="27"/>
      <c r="E72" s="27"/>
      <c r="F72" s="27"/>
      <c r="G72" s="27"/>
      <c r="H72" s="27"/>
      <c r="I72" s="27"/>
      <c r="J72" s="37">
        <v>0</v>
      </c>
      <c r="K72" s="27"/>
      <c r="L72" s="58">
        <v>0</v>
      </c>
      <c r="M72" s="27"/>
      <c r="N72" s="6"/>
      <c r="O72" s="7"/>
      <c r="P72" s="7"/>
      <c r="Q72" s="7"/>
      <c r="R72" s="7"/>
    </row>
    <row r="73" spans="1:18" ht="15.75">
      <c r="A73" s="26"/>
      <c r="B73" s="27" t="s">
        <v>47</v>
      </c>
      <c r="C73" s="46" t="s">
        <v>144</v>
      </c>
      <c r="D73" s="64">
        <v>36677</v>
      </c>
      <c r="E73" s="27"/>
      <c r="F73" s="27"/>
      <c r="G73" s="27"/>
      <c r="H73" s="27"/>
      <c r="I73" s="27"/>
      <c r="J73" s="37">
        <v>3360</v>
      </c>
      <c r="K73" s="27"/>
      <c r="L73" s="58"/>
      <c r="M73" s="27"/>
      <c r="N73" s="6"/>
      <c r="O73" s="7"/>
      <c r="P73" s="7"/>
      <c r="Q73" s="7"/>
      <c r="R73" s="7"/>
    </row>
    <row r="74" spans="1:18" ht="15.75">
      <c r="A74" s="26"/>
      <c r="B74" s="27" t="s">
        <v>48</v>
      </c>
      <c r="C74" s="27"/>
      <c r="D74" s="27"/>
      <c r="E74" s="27"/>
      <c r="F74" s="27"/>
      <c r="G74" s="27"/>
      <c r="H74" s="27"/>
      <c r="I74" s="27"/>
      <c r="J74" s="37"/>
      <c r="K74" s="27"/>
      <c r="L74" s="58">
        <v>4577</v>
      </c>
      <c r="M74" s="27"/>
      <c r="N74" s="6"/>
      <c r="O74" s="7"/>
      <c r="P74" s="7"/>
      <c r="Q74" s="7"/>
      <c r="R74" s="7"/>
    </row>
    <row r="75" spans="1:18" ht="15.75">
      <c r="A75" s="26"/>
      <c r="B75" s="27" t="s">
        <v>49</v>
      </c>
      <c r="C75" s="27"/>
      <c r="D75" s="27"/>
      <c r="E75" s="27"/>
      <c r="F75" s="27"/>
      <c r="G75" s="27"/>
      <c r="H75" s="27"/>
      <c r="I75" s="27"/>
      <c r="J75" s="37"/>
      <c r="K75" s="27"/>
      <c r="L75" s="58">
        <f>-L113+213</f>
        <v>213</v>
      </c>
      <c r="M75" s="27"/>
      <c r="N75" s="6"/>
      <c r="O75" s="7"/>
      <c r="P75" s="7"/>
      <c r="Q75" s="7"/>
      <c r="R75" s="7"/>
    </row>
    <row r="76" spans="1:18" ht="15.75">
      <c r="A76" s="26"/>
      <c r="B76" s="27" t="s">
        <v>50</v>
      </c>
      <c r="C76" s="27"/>
      <c r="D76" s="27"/>
      <c r="E76" s="27"/>
      <c r="F76" s="27"/>
      <c r="G76" s="27"/>
      <c r="H76" s="27"/>
      <c r="I76" s="27"/>
      <c r="J76" s="37">
        <f>SUM(J72:J75)</f>
        <v>3360</v>
      </c>
      <c r="K76" s="27"/>
      <c r="L76" s="59">
        <f>SUM(L72:L75)</f>
        <v>4790</v>
      </c>
      <c r="M76" s="27"/>
      <c r="N76" s="6"/>
      <c r="O76" s="7"/>
      <c r="P76" s="7"/>
      <c r="Q76" s="7"/>
      <c r="R76" s="7"/>
    </row>
    <row r="77" spans="1:18" ht="15.75">
      <c r="A77" s="26"/>
      <c r="B77" s="27" t="s">
        <v>51</v>
      </c>
      <c r="C77" s="27"/>
      <c r="D77" s="27"/>
      <c r="E77" s="27"/>
      <c r="F77" s="27"/>
      <c r="G77" s="27"/>
      <c r="H77" s="27"/>
      <c r="I77" s="27"/>
      <c r="J77" s="37">
        <v>141</v>
      </c>
      <c r="K77" s="27"/>
      <c r="L77" s="58">
        <v>-141</v>
      </c>
      <c r="M77" s="27"/>
      <c r="N77" s="6"/>
      <c r="O77" s="7"/>
      <c r="P77" s="7"/>
      <c r="Q77" s="7"/>
      <c r="R77" s="7"/>
    </row>
    <row r="78" spans="1:18" ht="15.75">
      <c r="A78" s="26"/>
      <c r="B78" s="27" t="s">
        <v>52</v>
      </c>
      <c r="C78" s="27"/>
      <c r="D78" s="27"/>
      <c r="E78" s="27"/>
      <c r="F78" s="27"/>
      <c r="G78" s="27"/>
      <c r="H78" s="27"/>
      <c r="I78" s="27"/>
      <c r="J78" s="37">
        <f>J76+J77</f>
        <v>3501</v>
      </c>
      <c r="K78" s="27"/>
      <c r="L78" s="59">
        <f>L76+L77</f>
        <v>4649</v>
      </c>
      <c r="M78" s="27"/>
      <c r="N78" s="6"/>
      <c r="O78" s="7"/>
      <c r="P78" s="7"/>
      <c r="Q78" s="7"/>
      <c r="R78" s="7"/>
    </row>
    <row r="79" spans="1:18" ht="15.75">
      <c r="A79" s="26"/>
      <c r="B79" s="153" t="s">
        <v>53</v>
      </c>
      <c r="C79" s="65"/>
      <c r="D79" s="27"/>
      <c r="E79" s="27"/>
      <c r="F79" s="27"/>
      <c r="G79" s="27"/>
      <c r="H79" s="27"/>
      <c r="I79" s="27"/>
      <c r="J79" s="37"/>
      <c r="K79" s="27"/>
      <c r="L79" s="58"/>
      <c r="M79" s="27"/>
      <c r="N79" s="6"/>
      <c r="O79" s="7"/>
      <c r="P79" s="7"/>
      <c r="Q79" s="7"/>
      <c r="R79" s="7"/>
    </row>
    <row r="80" spans="1:18" ht="15.75">
      <c r="A80" s="26">
        <v>1</v>
      </c>
      <c r="B80" s="27" t="s">
        <v>54</v>
      </c>
      <c r="C80" s="27"/>
      <c r="D80" s="27"/>
      <c r="E80" s="27"/>
      <c r="F80" s="27"/>
      <c r="G80" s="27"/>
      <c r="H80" s="27"/>
      <c r="I80" s="27"/>
      <c r="J80" s="27"/>
      <c r="K80" s="27"/>
      <c r="L80" s="58">
        <v>-874</v>
      </c>
      <c r="M80" s="27"/>
      <c r="N80" s="6"/>
      <c r="O80" s="7"/>
      <c r="P80" s="7"/>
      <c r="Q80" s="7"/>
      <c r="R80" s="7"/>
    </row>
    <row r="81" spans="1:18" ht="15.75">
      <c r="A81" s="26">
        <v>2</v>
      </c>
      <c r="B81" s="27" t="s">
        <v>55</v>
      </c>
      <c r="C81" s="27"/>
      <c r="D81" s="27"/>
      <c r="E81" s="27"/>
      <c r="F81" s="27"/>
      <c r="G81" s="27"/>
      <c r="H81" s="27"/>
      <c r="I81" s="27"/>
      <c r="J81" s="27"/>
      <c r="K81" s="27"/>
      <c r="L81" s="58">
        <v>-4</v>
      </c>
      <c r="M81" s="27"/>
      <c r="N81" s="6"/>
      <c r="O81" s="7"/>
      <c r="P81" s="7"/>
      <c r="Q81" s="7"/>
      <c r="R81" s="7"/>
    </row>
    <row r="82" spans="1:18" ht="15.75">
      <c r="A82" s="26">
        <v>3</v>
      </c>
      <c r="B82" s="27" t="s">
        <v>56</v>
      </c>
      <c r="C82" s="27"/>
      <c r="D82" s="27"/>
      <c r="E82" s="27"/>
      <c r="F82" s="27"/>
      <c r="G82" s="27"/>
      <c r="H82" s="27"/>
      <c r="I82" s="27"/>
      <c r="J82" s="27"/>
      <c r="K82" s="27"/>
      <c r="L82" s="58">
        <v>-150</v>
      </c>
      <c r="M82" s="27"/>
      <c r="N82" s="6"/>
      <c r="O82" s="7"/>
      <c r="P82" s="7"/>
      <c r="Q82" s="7"/>
      <c r="R82" s="7"/>
    </row>
    <row r="83" spans="1:18" ht="15.75">
      <c r="A83" s="26">
        <v>4</v>
      </c>
      <c r="B83" s="27" t="s">
        <v>57</v>
      </c>
      <c r="C83" s="27"/>
      <c r="D83" s="27"/>
      <c r="E83" s="27"/>
      <c r="F83" s="27"/>
      <c r="G83" s="27"/>
      <c r="H83" s="27"/>
      <c r="I83" s="27"/>
      <c r="J83" s="27"/>
      <c r="K83" s="27"/>
      <c r="L83" s="58">
        <v>-25</v>
      </c>
      <c r="M83" s="27"/>
      <c r="N83" s="6"/>
      <c r="O83" s="7"/>
      <c r="P83" s="7"/>
      <c r="Q83" s="7"/>
      <c r="R83" s="7"/>
    </row>
    <row r="84" spans="1:18" ht="15.75">
      <c r="A84" s="26">
        <v>5</v>
      </c>
      <c r="B84" s="27" t="s">
        <v>58</v>
      </c>
      <c r="C84" s="27"/>
      <c r="D84" s="27"/>
      <c r="E84" s="27"/>
      <c r="F84" s="27"/>
      <c r="G84" s="27"/>
      <c r="H84" s="27"/>
      <c r="I84" s="27"/>
      <c r="J84" s="27"/>
      <c r="K84" s="27"/>
      <c r="L84" s="58">
        <v>-3206</v>
      </c>
      <c r="M84" s="27"/>
      <c r="N84" s="6"/>
      <c r="O84" s="7"/>
      <c r="P84" s="7"/>
      <c r="Q84" s="7"/>
      <c r="R84" s="7"/>
    </row>
    <row r="85" spans="1:18" ht="15.75">
      <c r="A85" s="26">
        <v>6</v>
      </c>
      <c r="B85" s="27" t="s">
        <v>59</v>
      </c>
      <c r="C85" s="27"/>
      <c r="D85" s="27"/>
      <c r="E85" s="27"/>
      <c r="F85" s="27"/>
      <c r="G85" s="27"/>
      <c r="H85" s="27"/>
      <c r="I85" s="27"/>
      <c r="J85" s="27"/>
      <c r="K85" s="27"/>
      <c r="L85" s="58">
        <v>-387</v>
      </c>
      <c r="M85" s="27"/>
      <c r="N85" s="6"/>
      <c r="O85" s="7"/>
      <c r="P85" s="7"/>
      <c r="Q85" s="7"/>
      <c r="R85" s="7"/>
    </row>
    <row r="86" spans="1:18" ht="15.75">
      <c r="A86" s="26">
        <v>7</v>
      </c>
      <c r="B86" s="27" t="s">
        <v>60</v>
      </c>
      <c r="C86" s="27"/>
      <c r="D86" s="27"/>
      <c r="E86" s="27"/>
      <c r="F86" s="27"/>
      <c r="G86" s="27"/>
      <c r="H86" s="27"/>
      <c r="I86" s="27"/>
      <c r="J86" s="27"/>
      <c r="K86" s="27"/>
      <c r="L86" s="58">
        <v>-3</v>
      </c>
      <c r="M86" s="27"/>
      <c r="N86" s="6"/>
      <c r="O86" s="7"/>
      <c r="P86" s="7"/>
      <c r="Q86" s="7"/>
      <c r="R86" s="7"/>
    </row>
    <row r="87" spans="1:18" ht="15.75">
      <c r="A87" s="26">
        <v>8</v>
      </c>
      <c r="B87" s="27" t="s">
        <v>61</v>
      </c>
      <c r="C87" s="27"/>
      <c r="D87" s="27"/>
      <c r="E87" s="27"/>
      <c r="F87" s="27"/>
      <c r="G87" s="27"/>
      <c r="H87" s="27"/>
      <c r="I87" s="27"/>
      <c r="J87" s="27"/>
      <c r="K87" s="27"/>
      <c r="L87" s="58">
        <v>0</v>
      </c>
      <c r="M87" s="27"/>
      <c r="N87" s="6"/>
      <c r="O87" s="7"/>
      <c r="P87" s="7"/>
      <c r="Q87" s="7"/>
      <c r="R87" s="7"/>
    </row>
    <row r="88" spans="1:18" ht="15.75">
      <c r="A88" s="26">
        <v>9</v>
      </c>
      <c r="B88" s="27" t="s">
        <v>62</v>
      </c>
      <c r="C88" s="27"/>
      <c r="D88" s="27"/>
      <c r="E88" s="27"/>
      <c r="F88" s="27"/>
      <c r="G88" s="27"/>
      <c r="H88" s="27"/>
      <c r="I88" s="27"/>
      <c r="J88" s="27"/>
      <c r="K88" s="27"/>
      <c r="L88" s="58">
        <v>0</v>
      </c>
      <c r="M88" s="27"/>
      <c r="N88" s="6"/>
      <c r="O88" s="7"/>
      <c r="P88" s="7"/>
      <c r="Q88" s="7"/>
      <c r="R88" s="7"/>
    </row>
    <row r="89" spans="1:18" ht="15.75">
      <c r="A89" s="26">
        <v>10</v>
      </c>
      <c r="B89" s="27" t="s">
        <v>63</v>
      </c>
      <c r="C89" s="27"/>
      <c r="D89" s="27"/>
      <c r="E89" s="27"/>
      <c r="F89" s="27"/>
      <c r="G89" s="27"/>
      <c r="H89" s="27"/>
      <c r="I89" s="27"/>
      <c r="J89" s="27"/>
      <c r="K89" s="27"/>
      <c r="L89" s="58">
        <v>0</v>
      </c>
      <c r="M89" s="27"/>
      <c r="N89" s="6"/>
      <c r="O89" s="7"/>
      <c r="P89" s="7"/>
      <c r="Q89" s="7"/>
      <c r="R89" s="7"/>
    </row>
    <row r="90" spans="1:18" ht="15.75">
      <c r="A90" s="26">
        <v>11</v>
      </c>
      <c r="B90" s="27" t="s">
        <v>64</v>
      </c>
      <c r="C90" s="27"/>
      <c r="D90" s="27"/>
      <c r="E90" s="27"/>
      <c r="F90" s="27"/>
      <c r="G90" s="27"/>
      <c r="H90" s="27"/>
      <c r="I90" s="27"/>
      <c r="J90" s="27"/>
      <c r="K90" s="27"/>
      <c r="L90" s="58">
        <v>0</v>
      </c>
      <c r="M90" s="27"/>
      <c r="N90" s="6"/>
      <c r="O90" s="7"/>
      <c r="P90" s="7"/>
      <c r="Q90" s="7"/>
      <c r="R90" s="7"/>
    </row>
    <row r="91" spans="1:18" ht="15.75">
      <c r="A91" s="26">
        <v>12</v>
      </c>
      <c r="B91" s="27" t="s">
        <v>65</v>
      </c>
      <c r="C91" s="27"/>
      <c r="D91" s="27"/>
      <c r="E91" s="27"/>
      <c r="F91" s="27"/>
      <c r="G91" s="27"/>
      <c r="H91" s="27"/>
      <c r="I91" s="27"/>
      <c r="J91" s="27"/>
      <c r="K91" s="27"/>
      <c r="L91" s="58">
        <v>0</v>
      </c>
      <c r="M91" s="27"/>
      <c r="N91" s="6"/>
      <c r="O91" s="7"/>
      <c r="P91" s="7"/>
      <c r="Q91" s="7"/>
      <c r="R91" s="7"/>
    </row>
    <row r="92" spans="1:18" ht="15.75">
      <c r="A92" s="26">
        <v>13</v>
      </c>
      <c r="B92" s="27" t="s">
        <v>66</v>
      </c>
      <c r="C92" s="27"/>
      <c r="D92" s="27"/>
      <c r="E92" s="27"/>
      <c r="F92" s="27"/>
      <c r="G92" s="27"/>
      <c r="H92" s="27"/>
      <c r="I92" s="27"/>
      <c r="J92" s="27"/>
      <c r="K92" s="27"/>
      <c r="L92" s="58">
        <f>-SUM(L78:L91)</f>
        <v>0</v>
      </c>
      <c r="M92" s="27"/>
      <c r="N92" s="6"/>
      <c r="O92" s="7"/>
      <c r="P92" s="7"/>
      <c r="Q92" s="7"/>
      <c r="R92" s="7"/>
    </row>
    <row r="93" spans="1:18" ht="15.75">
      <c r="A93" s="26"/>
      <c r="B93" s="153" t="s">
        <v>67</v>
      </c>
      <c r="C93" s="65"/>
      <c r="D93" s="27"/>
      <c r="E93" s="27"/>
      <c r="F93" s="27"/>
      <c r="G93" s="27"/>
      <c r="H93" s="27"/>
      <c r="I93" s="27"/>
      <c r="J93" s="27"/>
      <c r="K93" s="27"/>
      <c r="L93" s="66"/>
      <c r="M93" s="27"/>
      <c r="N93" s="6"/>
      <c r="O93" s="7"/>
      <c r="P93" s="7"/>
      <c r="Q93" s="7"/>
      <c r="R93" s="7"/>
    </row>
    <row r="94" spans="1:18" ht="15.75">
      <c r="A94" s="26"/>
      <c r="B94" s="27" t="s">
        <v>68</v>
      </c>
      <c r="C94" s="65"/>
      <c r="D94" s="27"/>
      <c r="E94" s="27"/>
      <c r="F94" s="27"/>
      <c r="G94" s="27"/>
      <c r="H94" s="27"/>
      <c r="I94" s="27"/>
      <c r="J94" s="37">
        <f>-J139</f>
        <v>-215</v>
      </c>
      <c r="K94" s="37"/>
      <c r="L94" s="58"/>
      <c r="M94" s="27"/>
      <c r="N94" s="6"/>
      <c r="O94" s="7"/>
      <c r="P94" s="7"/>
      <c r="Q94" s="7"/>
      <c r="R94" s="7"/>
    </row>
    <row r="95" spans="1:18" ht="15.75">
      <c r="A95" s="26"/>
      <c r="B95" s="27" t="s">
        <v>69</v>
      </c>
      <c r="C95" s="27"/>
      <c r="D95" s="27"/>
      <c r="E95" s="27"/>
      <c r="F95" s="27"/>
      <c r="G95" s="27"/>
      <c r="H95" s="27"/>
      <c r="I95" s="27"/>
      <c r="J95" s="37">
        <f>-H139</f>
        <v>-1075</v>
      </c>
      <c r="K95" s="37"/>
      <c r="L95" s="58"/>
      <c r="M95" s="27"/>
      <c r="N95" s="6"/>
      <c r="O95" s="7"/>
      <c r="P95" s="7"/>
      <c r="Q95" s="7"/>
      <c r="R95" s="7"/>
    </row>
    <row r="96" spans="1:18" ht="15.75">
      <c r="A96" s="26"/>
      <c r="B96" s="27" t="s">
        <v>70</v>
      </c>
      <c r="C96" s="27"/>
      <c r="D96" s="27"/>
      <c r="E96" s="27"/>
      <c r="F96" s="27"/>
      <c r="G96" s="27"/>
      <c r="H96" s="27"/>
      <c r="I96" s="27"/>
      <c r="J96" s="37">
        <v>-2211</v>
      </c>
      <c r="K96" s="37"/>
      <c r="L96" s="58"/>
      <c r="M96" s="27"/>
      <c r="N96" s="6"/>
      <c r="O96" s="7"/>
      <c r="P96" s="7"/>
      <c r="Q96" s="7"/>
      <c r="R96" s="7"/>
    </row>
    <row r="97" spans="1:18" ht="15.75">
      <c r="A97" s="26"/>
      <c r="B97" s="27" t="s">
        <v>71</v>
      </c>
      <c r="C97" s="27"/>
      <c r="D97" s="27"/>
      <c r="E97" s="27"/>
      <c r="F97" s="27"/>
      <c r="G97" s="27"/>
      <c r="H97" s="27"/>
      <c r="I97" s="27"/>
      <c r="J97" s="37">
        <v>0</v>
      </c>
      <c r="K97" s="37"/>
      <c r="L97" s="58"/>
      <c r="M97" s="27"/>
      <c r="N97" s="6"/>
      <c r="O97" s="7"/>
      <c r="P97" s="7"/>
      <c r="Q97" s="7"/>
      <c r="R97" s="7"/>
    </row>
    <row r="98" spans="1:18" ht="15.75">
      <c r="A98" s="26"/>
      <c r="B98" s="27" t="s">
        <v>72</v>
      </c>
      <c r="C98" s="27"/>
      <c r="D98" s="27"/>
      <c r="E98" s="27"/>
      <c r="F98" s="27"/>
      <c r="G98" s="27"/>
      <c r="H98" s="27"/>
      <c r="I98" s="27"/>
      <c r="J98" s="37">
        <f>SUM(J79:J97)</f>
        <v>-3501</v>
      </c>
      <c r="K98" s="37"/>
      <c r="L98" s="37">
        <f>SUM(L79:L97)</f>
        <v>-4649</v>
      </c>
      <c r="M98" s="27"/>
      <c r="N98" s="6"/>
      <c r="O98" s="7"/>
      <c r="P98" s="7"/>
      <c r="Q98" s="7"/>
      <c r="R98" s="7"/>
    </row>
    <row r="99" spans="1:18" ht="15.75">
      <c r="A99" s="26"/>
      <c r="B99" s="27" t="s">
        <v>73</v>
      </c>
      <c r="C99" s="27"/>
      <c r="D99" s="27"/>
      <c r="E99" s="27"/>
      <c r="F99" s="27"/>
      <c r="G99" s="27"/>
      <c r="H99" s="27"/>
      <c r="I99" s="27"/>
      <c r="J99" s="37">
        <f>J78+J98</f>
        <v>0</v>
      </c>
      <c r="K99" s="37"/>
      <c r="L99" s="37">
        <f>L78+L98</f>
        <v>0</v>
      </c>
      <c r="M99" s="27"/>
      <c r="N99" s="6"/>
      <c r="O99" s="7"/>
      <c r="P99" s="7"/>
      <c r="Q99" s="7"/>
      <c r="R99" s="7"/>
    </row>
    <row r="100" spans="1:18" ht="15.75">
      <c r="A100" s="26"/>
      <c r="B100" s="27"/>
      <c r="C100" s="27"/>
      <c r="D100" s="27"/>
      <c r="E100" s="27"/>
      <c r="F100" s="27"/>
      <c r="G100" s="27"/>
      <c r="H100" s="27"/>
      <c r="I100" s="27"/>
      <c r="J100" s="37"/>
      <c r="K100" s="37"/>
      <c r="L100" s="37"/>
      <c r="M100" s="27"/>
      <c r="N100" s="6"/>
      <c r="O100" s="7"/>
      <c r="P100" s="7"/>
      <c r="Q100" s="7"/>
      <c r="R100" s="7"/>
    </row>
    <row r="101" spans="1:18" ht="9" customHeight="1">
      <c r="A101" s="8"/>
      <c r="B101" s="10"/>
      <c r="C101" s="10"/>
      <c r="D101" s="10"/>
      <c r="E101" s="10"/>
      <c r="F101" s="10"/>
      <c r="G101" s="10"/>
      <c r="H101" s="10"/>
      <c r="I101" s="10"/>
      <c r="J101" s="10"/>
      <c r="K101" s="10"/>
      <c r="L101" s="57"/>
      <c r="M101" s="10"/>
      <c r="N101" s="6"/>
      <c r="O101" s="7"/>
      <c r="P101" s="7"/>
      <c r="Q101" s="7"/>
      <c r="R101" s="7"/>
    </row>
    <row r="102" spans="1:18" ht="19.5" thickBot="1">
      <c r="A102" s="129"/>
      <c r="B102" s="130" t="s">
        <v>34</v>
      </c>
      <c r="C102" s="131"/>
      <c r="D102" s="131"/>
      <c r="E102" s="131"/>
      <c r="F102" s="131"/>
      <c r="G102" s="131"/>
      <c r="H102" s="131"/>
      <c r="I102" s="131"/>
      <c r="J102" s="131"/>
      <c r="K102" s="131"/>
      <c r="L102" s="135"/>
      <c r="M102" s="134"/>
      <c r="N102" s="6"/>
      <c r="O102" s="7"/>
      <c r="P102" s="7"/>
      <c r="Q102" s="7"/>
      <c r="R102" s="7"/>
    </row>
    <row r="103" spans="1:18" ht="12" customHeight="1">
      <c r="A103" s="2"/>
      <c r="B103" s="5"/>
      <c r="C103" s="5"/>
      <c r="D103" s="5"/>
      <c r="E103" s="5"/>
      <c r="F103" s="5"/>
      <c r="G103" s="5"/>
      <c r="H103" s="5"/>
      <c r="I103" s="5"/>
      <c r="J103" s="5"/>
      <c r="K103" s="5"/>
      <c r="L103" s="67"/>
      <c r="M103" s="5"/>
      <c r="N103" s="6"/>
      <c r="O103" s="7"/>
      <c r="P103" s="7"/>
      <c r="Q103" s="7"/>
      <c r="R103" s="7"/>
    </row>
    <row r="104" spans="1:18" ht="15.75">
      <c r="A104" s="8"/>
      <c r="B104" s="56" t="s">
        <v>74</v>
      </c>
      <c r="C104" s="16"/>
      <c r="D104" s="10"/>
      <c r="E104" s="10"/>
      <c r="F104" s="10"/>
      <c r="G104" s="10"/>
      <c r="H104" s="10"/>
      <c r="I104" s="10"/>
      <c r="J104" s="10"/>
      <c r="K104" s="10"/>
      <c r="L104" s="57"/>
      <c r="M104" s="10"/>
      <c r="N104" s="6"/>
      <c r="O104" s="7"/>
      <c r="P104" s="7"/>
      <c r="Q104" s="7"/>
      <c r="R104" s="7"/>
    </row>
    <row r="105" spans="1:18" ht="15.75">
      <c r="A105" s="8"/>
      <c r="B105" s="22"/>
      <c r="C105" s="16"/>
      <c r="D105" s="10"/>
      <c r="E105" s="10"/>
      <c r="F105" s="10"/>
      <c r="G105" s="10"/>
      <c r="H105" s="10"/>
      <c r="I105" s="10"/>
      <c r="J105" s="10"/>
      <c r="K105" s="10"/>
      <c r="L105" s="57"/>
      <c r="M105" s="10"/>
      <c r="N105" s="6"/>
      <c r="O105" s="7"/>
      <c r="P105" s="7"/>
      <c r="Q105" s="7"/>
      <c r="R105" s="7"/>
    </row>
    <row r="106" spans="1:18" ht="15.75">
      <c r="A106" s="8"/>
      <c r="B106" s="154" t="s">
        <v>75</v>
      </c>
      <c r="C106" s="16"/>
      <c r="D106" s="10"/>
      <c r="E106" s="10"/>
      <c r="F106" s="10"/>
      <c r="G106" s="10"/>
      <c r="H106" s="10"/>
      <c r="I106" s="10"/>
      <c r="J106" s="10"/>
      <c r="K106" s="10"/>
      <c r="L106" s="57"/>
      <c r="M106" s="10"/>
      <c r="N106" s="6"/>
      <c r="O106" s="7"/>
      <c r="P106" s="7"/>
      <c r="Q106" s="7"/>
      <c r="R106" s="7"/>
    </row>
    <row r="107" spans="1:18" ht="15.75">
      <c r="A107" s="26"/>
      <c r="B107" s="27" t="s">
        <v>76</v>
      </c>
      <c r="C107" s="27"/>
      <c r="D107" s="27"/>
      <c r="E107" s="27"/>
      <c r="F107" s="27"/>
      <c r="G107" s="27"/>
      <c r="H107" s="27"/>
      <c r="I107" s="27"/>
      <c r="J107" s="27"/>
      <c r="K107" s="27"/>
      <c r="L107" s="58">
        <v>4995</v>
      </c>
      <c r="M107" s="27"/>
      <c r="N107" s="6"/>
      <c r="O107" s="7"/>
      <c r="P107" s="7"/>
      <c r="Q107" s="7"/>
      <c r="R107" s="7"/>
    </row>
    <row r="108" spans="1:18" ht="15.75">
      <c r="A108" s="26"/>
      <c r="B108" s="27" t="s">
        <v>77</v>
      </c>
      <c r="C108" s="27"/>
      <c r="D108" s="27"/>
      <c r="E108" s="27"/>
      <c r="F108" s="27"/>
      <c r="G108" s="27"/>
      <c r="H108" s="27"/>
      <c r="I108" s="27"/>
      <c r="J108" s="27"/>
      <c r="K108" s="27"/>
      <c r="L108" s="58">
        <v>4995</v>
      </c>
      <c r="M108" s="27"/>
      <c r="N108" s="6"/>
      <c r="O108" s="7"/>
      <c r="P108" s="7"/>
      <c r="Q108" s="7"/>
      <c r="R108" s="7"/>
    </row>
    <row r="109" spans="1:18" ht="15.75">
      <c r="A109" s="26"/>
      <c r="B109" s="27" t="s">
        <v>78</v>
      </c>
      <c r="C109" s="27"/>
      <c r="D109" s="27"/>
      <c r="E109" s="27"/>
      <c r="F109" s="27"/>
      <c r="G109" s="27"/>
      <c r="H109" s="27"/>
      <c r="I109" s="27"/>
      <c r="J109" s="27"/>
      <c r="K109" s="27"/>
      <c r="L109" s="58">
        <v>0</v>
      </c>
      <c r="M109" s="27"/>
      <c r="N109" s="6"/>
      <c r="O109" s="7"/>
      <c r="P109" s="7"/>
      <c r="Q109" s="7"/>
      <c r="R109" s="7"/>
    </row>
    <row r="110" spans="1:18" ht="15.75">
      <c r="A110" s="26"/>
      <c r="B110" s="27" t="s">
        <v>79</v>
      </c>
      <c r="C110" s="27"/>
      <c r="D110" s="27"/>
      <c r="E110" s="27"/>
      <c r="F110" s="27"/>
      <c r="G110" s="27"/>
      <c r="H110" s="27"/>
      <c r="I110" s="27"/>
      <c r="J110" s="27"/>
      <c r="K110" s="27"/>
      <c r="L110" s="58"/>
      <c r="M110" s="27"/>
      <c r="N110" s="6"/>
      <c r="O110" s="7"/>
      <c r="P110" s="7"/>
      <c r="Q110" s="7"/>
      <c r="R110" s="7"/>
    </row>
    <row r="111" spans="1:18" ht="15.75">
      <c r="A111" s="26"/>
      <c r="B111" s="27" t="s">
        <v>80</v>
      </c>
      <c r="C111" s="27"/>
      <c r="D111" s="27"/>
      <c r="E111" s="27"/>
      <c r="F111" s="27"/>
      <c r="G111" s="27"/>
      <c r="H111" s="27"/>
      <c r="I111" s="27"/>
      <c r="J111" s="27"/>
      <c r="K111" s="27"/>
      <c r="L111" s="58">
        <v>0</v>
      </c>
      <c r="M111" s="27"/>
      <c r="N111" s="6"/>
      <c r="O111" s="7"/>
      <c r="P111" s="7"/>
      <c r="Q111" s="7"/>
      <c r="R111" s="7"/>
    </row>
    <row r="112" spans="1:18" ht="15.75">
      <c r="A112" s="26"/>
      <c r="B112" s="27" t="s">
        <v>58</v>
      </c>
      <c r="C112" s="27"/>
      <c r="D112" s="27"/>
      <c r="E112" s="27"/>
      <c r="F112" s="27"/>
      <c r="G112" s="27"/>
      <c r="H112" s="27"/>
      <c r="I112" s="27"/>
      <c r="J112" s="27"/>
      <c r="K112" s="27"/>
      <c r="L112" s="58">
        <v>0</v>
      </c>
      <c r="M112" s="27"/>
      <c r="N112" s="6"/>
      <c r="O112" s="7"/>
      <c r="P112" s="7"/>
      <c r="Q112" s="7"/>
      <c r="R112" s="7"/>
    </row>
    <row r="113" spans="1:18" ht="15.75">
      <c r="A113" s="26"/>
      <c r="B113" s="27" t="s">
        <v>59</v>
      </c>
      <c r="C113" s="27"/>
      <c r="D113" s="27"/>
      <c r="E113" s="27"/>
      <c r="F113" s="27"/>
      <c r="G113" s="27"/>
      <c r="H113" s="27"/>
      <c r="I113" s="27"/>
      <c r="J113" s="27"/>
      <c r="K113" s="27"/>
      <c r="L113" s="58">
        <v>0</v>
      </c>
      <c r="M113" s="27"/>
      <c r="N113" s="6"/>
      <c r="O113" s="7"/>
      <c r="P113" s="7"/>
      <c r="Q113" s="7"/>
      <c r="R113" s="7"/>
    </row>
    <row r="114" spans="1:18" ht="15.75">
      <c r="A114" s="26"/>
      <c r="B114" s="27" t="s">
        <v>81</v>
      </c>
      <c r="C114" s="27"/>
      <c r="D114" s="27"/>
      <c r="E114" s="27"/>
      <c r="F114" s="27"/>
      <c r="G114" s="27"/>
      <c r="H114" s="27"/>
      <c r="I114" s="27"/>
      <c r="J114" s="27"/>
      <c r="K114" s="27"/>
      <c r="L114" s="58">
        <f>SUM(L108:L113)</f>
        <v>4995</v>
      </c>
      <c r="M114" s="27"/>
      <c r="N114" s="6"/>
      <c r="O114" s="7"/>
      <c r="P114" s="7"/>
      <c r="Q114" s="7"/>
      <c r="R114" s="7"/>
    </row>
    <row r="115" spans="1:18" ht="15.75">
      <c r="A115" s="26"/>
      <c r="B115" s="27"/>
      <c r="C115" s="27"/>
      <c r="D115" s="27"/>
      <c r="E115" s="27"/>
      <c r="F115" s="27"/>
      <c r="G115" s="27"/>
      <c r="H115" s="27"/>
      <c r="I115" s="27"/>
      <c r="J115" s="27"/>
      <c r="K115" s="27"/>
      <c r="L115" s="68"/>
      <c r="M115" s="27"/>
      <c r="N115" s="6"/>
      <c r="O115" s="7"/>
      <c r="P115" s="7"/>
      <c r="Q115" s="7"/>
      <c r="R115" s="7"/>
    </row>
    <row r="116" spans="1:18" ht="15.75">
      <c r="A116" s="8"/>
      <c r="B116" s="154" t="s">
        <v>82</v>
      </c>
      <c r="C116" s="10"/>
      <c r="D116" s="10"/>
      <c r="E116" s="10"/>
      <c r="F116" s="10"/>
      <c r="G116" s="10"/>
      <c r="H116" s="10"/>
      <c r="I116" s="10"/>
      <c r="J116" s="10"/>
      <c r="K116" s="10"/>
      <c r="L116" s="57"/>
      <c r="M116" s="10"/>
      <c r="N116" s="6"/>
      <c r="O116" s="7"/>
      <c r="P116" s="7"/>
      <c r="Q116" s="7"/>
      <c r="R116" s="7"/>
    </row>
    <row r="117" spans="1:18" ht="15.75">
      <c r="A117" s="26"/>
      <c r="B117" s="27" t="s">
        <v>83</v>
      </c>
      <c r="C117" s="27"/>
      <c r="D117" s="69"/>
      <c r="E117" s="27"/>
      <c r="F117" s="27"/>
      <c r="G117" s="27"/>
      <c r="H117" s="27"/>
      <c r="I117" s="27"/>
      <c r="J117" s="27"/>
      <c r="K117" s="27"/>
      <c r="L117" s="70" t="s">
        <v>154</v>
      </c>
      <c r="M117" s="27"/>
      <c r="N117" s="6"/>
      <c r="O117" s="7"/>
      <c r="P117" s="7"/>
      <c r="Q117" s="7"/>
      <c r="R117" s="7"/>
    </row>
    <row r="118" spans="1:18" ht="15.75">
      <c r="A118" s="26"/>
      <c r="B118" s="27" t="s">
        <v>84</v>
      </c>
      <c r="C118" s="30"/>
      <c r="D118" s="30"/>
      <c r="E118" s="30"/>
      <c r="F118" s="30"/>
      <c r="G118" s="30"/>
      <c r="H118" s="30"/>
      <c r="I118" s="30"/>
      <c r="J118" s="30"/>
      <c r="K118" s="30"/>
      <c r="L118" s="70" t="s">
        <v>154</v>
      </c>
      <c r="M118" s="27"/>
      <c r="N118" s="6"/>
      <c r="O118" s="7"/>
      <c r="P118" s="7"/>
      <c r="Q118" s="7"/>
      <c r="R118" s="7"/>
    </row>
    <row r="119" spans="1:18" ht="15.75">
      <c r="A119" s="26"/>
      <c r="B119" s="27" t="s">
        <v>85</v>
      </c>
      <c r="C119" s="27"/>
      <c r="D119" s="27"/>
      <c r="E119" s="27"/>
      <c r="F119" s="27"/>
      <c r="G119" s="27"/>
      <c r="H119" s="27"/>
      <c r="I119" s="27"/>
      <c r="J119" s="27"/>
      <c r="K119" s="27"/>
      <c r="L119" s="70" t="s">
        <v>154</v>
      </c>
      <c r="M119" s="27"/>
      <c r="N119" s="6"/>
      <c r="O119" s="7"/>
      <c r="P119" s="7"/>
      <c r="Q119" s="7"/>
      <c r="R119" s="7"/>
    </row>
    <row r="120" spans="1:18" ht="15.75">
      <c r="A120" s="26"/>
      <c r="B120" s="27" t="s">
        <v>86</v>
      </c>
      <c r="C120" s="27"/>
      <c r="D120" s="27"/>
      <c r="E120" s="27"/>
      <c r="F120" s="27"/>
      <c r="G120" s="27"/>
      <c r="H120" s="27"/>
      <c r="I120" s="27"/>
      <c r="J120" s="27"/>
      <c r="K120" s="27"/>
      <c r="L120" s="70" t="s">
        <v>154</v>
      </c>
      <c r="M120" s="27"/>
      <c r="N120" s="6"/>
      <c r="O120" s="7"/>
      <c r="P120" s="7"/>
      <c r="Q120" s="7"/>
      <c r="R120" s="7"/>
    </row>
    <row r="121" spans="1:18" ht="15.75">
      <c r="A121" s="26"/>
      <c r="B121" s="27"/>
      <c r="C121" s="27"/>
      <c r="D121" s="27"/>
      <c r="E121" s="27"/>
      <c r="F121" s="27"/>
      <c r="G121" s="27"/>
      <c r="H121" s="27"/>
      <c r="I121" s="27"/>
      <c r="J121" s="27"/>
      <c r="K121" s="27"/>
      <c r="L121" s="68"/>
      <c r="M121" s="27"/>
      <c r="N121" s="6"/>
      <c r="O121" s="7"/>
      <c r="P121" s="7"/>
      <c r="Q121" s="7"/>
      <c r="R121" s="7"/>
    </row>
    <row r="122" spans="1:18" ht="15.75">
      <c r="A122" s="8"/>
      <c r="B122" s="154" t="s">
        <v>87</v>
      </c>
      <c r="C122" s="16"/>
      <c r="D122" s="10"/>
      <c r="E122" s="10"/>
      <c r="F122" s="10"/>
      <c r="G122" s="10"/>
      <c r="H122" s="10"/>
      <c r="I122" s="10"/>
      <c r="J122" s="10"/>
      <c r="K122" s="10"/>
      <c r="L122" s="71"/>
      <c r="M122" s="10"/>
      <c r="N122" s="6"/>
      <c r="O122" s="7"/>
      <c r="P122" s="7"/>
      <c r="Q122" s="7"/>
      <c r="R122" s="7"/>
    </row>
    <row r="123" spans="1:18" ht="15.75">
      <c r="A123" s="26"/>
      <c r="B123" s="27" t="s">
        <v>88</v>
      </c>
      <c r="C123" s="27"/>
      <c r="D123" s="27"/>
      <c r="E123" s="27"/>
      <c r="F123" s="27"/>
      <c r="G123" s="27"/>
      <c r="H123" s="27"/>
      <c r="I123" s="27"/>
      <c r="J123" s="27"/>
      <c r="K123" s="27"/>
      <c r="L123" s="58">
        <v>0</v>
      </c>
      <c r="M123" s="27"/>
      <c r="N123" s="6"/>
      <c r="O123" s="7"/>
      <c r="P123" s="7"/>
      <c r="Q123" s="7"/>
      <c r="R123" s="7"/>
    </row>
    <row r="124" spans="1:18" ht="15.75">
      <c r="A124" s="26"/>
      <c r="B124" s="27" t="s">
        <v>89</v>
      </c>
      <c r="C124" s="27"/>
      <c r="D124" s="27"/>
      <c r="E124" s="27"/>
      <c r="F124" s="27"/>
      <c r="G124" s="27"/>
      <c r="H124" s="27"/>
      <c r="I124" s="27"/>
      <c r="J124" s="27"/>
      <c r="K124" s="27"/>
      <c r="L124" s="58">
        <v>0</v>
      </c>
      <c r="M124" s="27"/>
      <c r="N124" s="6"/>
      <c r="O124" s="7"/>
      <c r="P124" s="7"/>
      <c r="Q124" s="7"/>
      <c r="R124" s="7"/>
    </row>
    <row r="125" spans="1:18" ht="15.75">
      <c r="A125" s="26"/>
      <c r="B125" s="27" t="s">
        <v>90</v>
      </c>
      <c r="C125" s="27"/>
      <c r="D125" s="27"/>
      <c r="E125" s="27"/>
      <c r="F125" s="27"/>
      <c r="G125" s="27"/>
      <c r="H125" s="27"/>
      <c r="I125" s="27"/>
      <c r="J125" s="27"/>
      <c r="K125" s="27"/>
      <c r="L125" s="58">
        <f>L124+L123</f>
        <v>0</v>
      </c>
      <c r="M125" s="27"/>
      <c r="N125" s="6"/>
      <c r="O125" s="7"/>
      <c r="P125" s="7"/>
      <c r="Q125" s="7"/>
      <c r="R125" s="7"/>
    </row>
    <row r="126" spans="1:18" ht="15.75">
      <c r="A126" s="26"/>
      <c r="B126" s="27" t="s">
        <v>91</v>
      </c>
      <c r="C126" s="27"/>
      <c r="D126" s="27"/>
      <c r="E126" s="27"/>
      <c r="F126" s="27"/>
      <c r="G126" s="27"/>
      <c r="H126" s="72"/>
      <c r="I126" s="27"/>
      <c r="J126" s="27"/>
      <c r="K126" s="27"/>
      <c r="L126" s="58">
        <v>0</v>
      </c>
      <c r="M126" s="27"/>
      <c r="N126" s="6"/>
      <c r="O126" s="7"/>
      <c r="P126" s="7"/>
      <c r="Q126" s="7"/>
      <c r="R126" s="7"/>
    </row>
    <row r="127" spans="1:18" ht="15.75">
      <c r="A127" s="26"/>
      <c r="B127" s="27" t="s">
        <v>92</v>
      </c>
      <c r="C127" s="27"/>
      <c r="D127" s="27"/>
      <c r="E127" s="27"/>
      <c r="F127" s="27"/>
      <c r="G127" s="27"/>
      <c r="H127" s="27"/>
      <c r="I127" s="27"/>
      <c r="J127" s="27"/>
      <c r="K127" s="27"/>
      <c r="L127" s="58">
        <f>L125+L126</f>
        <v>0</v>
      </c>
      <c r="M127" s="27"/>
      <c r="N127" s="6"/>
      <c r="O127" s="7"/>
      <c r="P127" s="7"/>
      <c r="Q127" s="7"/>
      <c r="R127" s="7"/>
    </row>
    <row r="128" spans="1:18" ht="7.5" customHeight="1">
      <c r="A128" s="26"/>
      <c r="B128" s="27"/>
      <c r="C128" s="27"/>
      <c r="D128" s="27"/>
      <c r="E128" s="27"/>
      <c r="F128" s="27"/>
      <c r="G128" s="27"/>
      <c r="H128" s="27"/>
      <c r="I128" s="27"/>
      <c r="J128" s="27"/>
      <c r="K128" s="27"/>
      <c r="L128" s="68"/>
      <c r="M128" s="27"/>
      <c r="N128" s="6"/>
      <c r="O128" s="7"/>
      <c r="P128" s="7"/>
      <c r="Q128" s="7"/>
      <c r="R128" s="7"/>
    </row>
    <row r="129" spans="1:18" ht="6" customHeight="1">
      <c r="A129" s="2"/>
      <c r="B129" s="5"/>
      <c r="C129" s="5"/>
      <c r="D129" s="5"/>
      <c r="E129" s="5"/>
      <c r="F129" s="5"/>
      <c r="G129" s="5"/>
      <c r="H129" s="5"/>
      <c r="I129" s="5"/>
      <c r="J129" s="5"/>
      <c r="K129" s="5"/>
      <c r="L129" s="67"/>
      <c r="M129" s="5"/>
      <c r="N129" s="6"/>
      <c r="O129" s="7"/>
      <c r="P129" s="7"/>
      <c r="Q129" s="7"/>
      <c r="R129" s="7"/>
    </row>
    <row r="130" spans="1:18" ht="15.75">
      <c r="A130" s="8"/>
      <c r="B130" s="154" t="s">
        <v>93</v>
      </c>
      <c r="C130" s="16"/>
      <c r="D130" s="10"/>
      <c r="E130" s="10"/>
      <c r="F130" s="10"/>
      <c r="G130" s="10"/>
      <c r="H130" s="10"/>
      <c r="I130" s="10"/>
      <c r="J130" s="10"/>
      <c r="K130" s="10"/>
      <c r="L130" s="57"/>
      <c r="M130" s="10"/>
      <c r="N130" s="6"/>
      <c r="O130" s="7"/>
      <c r="P130" s="7"/>
      <c r="Q130" s="7"/>
      <c r="R130" s="7"/>
    </row>
    <row r="131" spans="1:18" ht="15.75">
      <c r="A131" s="8"/>
      <c r="B131" s="22"/>
      <c r="C131" s="16"/>
      <c r="D131" s="10"/>
      <c r="E131" s="10"/>
      <c r="F131" s="10"/>
      <c r="G131" s="10"/>
      <c r="H131" s="10"/>
      <c r="I131" s="10"/>
      <c r="J131" s="10"/>
      <c r="K131" s="10"/>
      <c r="L131" s="57"/>
      <c r="M131" s="10"/>
      <c r="N131" s="6"/>
      <c r="O131" s="7"/>
      <c r="P131" s="7"/>
      <c r="Q131" s="7"/>
      <c r="R131" s="7"/>
    </row>
    <row r="132" spans="1:18" ht="15.75">
      <c r="A132" s="26"/>
      <c r="B132" s="27" t="s">
        <v>94</v>
      </c>
      <c r="C132" s="73"/>
      <c r="D132" s="27"/>
      <c r="E132" s="27"/>
      <c r="F132" s="27"/>
      <c r="G132" s="27"/>
      <c r="H132" s="27"/>
      <c r="I132" s="27"/>
      <c r="J132" s="27"/>
      <c r="K132" s="27"/>
      <c r="L132" s="58">
        <f>L57</f>
        <v>182789</v>
      </c>
      <c r="M132" s="27"/>
      <c r="N132" s="6"/>
      <c r="O132" s="7"/>
      <c r="P132" s="7"/>
      <c r="Q132" s="7"/>
      <c r="R132" s="7"/>
    </row>
    <row r="133" spans="1:18" ht="15.75">
      <c r="A133" s="26"/>
      <c r="B133" s="27" t="s">
        <v>95</v>
      </c>
      <c r="C133" s="73"/>
      <c r="D133" s="27"/>
      <c r="E133" s="27"/>
      <c r="F133" s="27"/>
      <c r="G133" s="27"/>
      <c r="H133" s="27"/>
      <c r="I133" s="27"/>
      <c r="J133" s="27"/>
      <c r="K133" s="27"/>
      <c r="L133" s="58">
        <f>L69</f>
        <v>182789</v>
      </c>
      <c r="M133" s="27"/>
      <c r="N133" s="6"/>
      <c r="O133" s="7"/>
      <c r="P133" s="7"/>
      <c r="Q133" s="7"/>
      <c r="R133" s="7"/>
    </row>
    <row r="134" spans="1:18" ht="7.5" customHeight="1">
      <c r="A134" s="26"/>
      <c r="B134" s="27"/>
      <c r="C134" s="27"/>
      <c r="D134" s="27"/>
      <c r="E134" s="27"/>
      <c r="F134" s="27"/>
      <c r="G134" s="27"/>
      <c r="H134" s="27"/>
      <c r="I134" s="27"/>
      <c r="J134" s="27"/>
      <c r="K134" s="27"/>
      <c r="L134" s="68"/>
      <c r="M134" s="27"/>
      <c r="N134" s="6"/>
      <c r="O134" s="7"/>
      <c r="P134" s="7"/>
      <c r="Q134" s="7"/>
      <c r="R134" s="7"/>
    </row>
    <row r="135" spans="1:18" ht="15.75">
      <c r="A135" s="2"/>
      <c r="B135" s="5"/>
      <c r="C135" s="5"/>
      <c r="D135" s="5"/>
      <c r="E135" s="5"/>
      <c r="F135" s="5"/>
      <c r="G135" s="5"/>
      <c r="H135" s="5"/>
      <c r="I135" s="5"/>
      <c r="J135" s="5"/>
      <c r="K135" s="5"/>
      <c r="L135" s="67"/>
      <c r="M135" s="5"/>
      <c r="N135" s="6"/>
      <c r="O135" s="7"/>
      <c r="P135" s="7"/>
      <c r="Q135" s="7"/>
      <c r="R135" s="7"/>
    </row>
    <row r="136" spans="1:18" ht="15.75">
      <c r="A136" s="8"/>
      <c r="B136" s="154" t="s">
        <v>96</v>
      </c>
      <c r="C136" s="143"/>
      <c r="D136" s="143"/>
      <c r="E136" s="143"/>
      <c r="F136" s="143"/>
      <c r="G136" s="143"/>
      <c r="H136" s="155" t="s">
        <v>169</v>
      </c>
      <c r="I136" s="155"/>
      <c r="J136" s="155" t="s">
        <v>176</v>
      </c>
      <c r="K136" s="143"/>
      <c r="L136" s="156" t="s">
        <v>188</v>
      </c>
      <c r="M136" s="12"/>
      <c r="N136" s="6"/>
      <c r="O136" s="7"/>
      <c r="P136" s="7"/>
      <c r="Q136" s="7"/>
      <c r="R136" s="7"/>
    </row>
    <row r="137" spans="1:18" ht="15.75">
      <c r="A137" s="26"/>
      <c r="B137" s="27" t="s">
        <v>97</v>
      </c>
      <c r="C137" s="27"/>
      <c r="D137" s="27"/>
      <c r="E137" s="27"/>
      <c r="F137" s="27"/>
      <c r="G137" s="27"/>
      <c r="H137" s="58">
        <v>20000</v>
      </c>
      <c r="I137" s="27"/>
      <c r="J137" s="46"/>
      <c r="K137" s="27"/>
      <c r="L137" s="58"/>
      <c r="M137" s="27"/>
      <c r="N137" s="6"/>
      <c r="O137" s="7"/>
      <c r="P137" s="7"/>
      <c r="Q137" s="7"/>
      <c r="R137" s="7"/>
    </row>
    <row r="138" spans="1:18" ht="15.75">
      <c r="A138" s="26"/>
      <c r="B138" s="27" t="s">
        <v>98</v>
      </c>
      <c r="C138" s="27"/>
      <c r="D138" s="27"/>
      <c r="E138" s="27"/>
      <c r="F138" s="27"/>
      <c r="G138" s="27"/>
      <c r="H138" s="58">
        <v>0</v>
      </c>
      <c r="I138" s="27"/>
      <c r="J138" s="58">
        <v>0</v>
      </c>
      <c r="K138" s="27"/>
      <c r="L138" s="58">
        <f>J138+H138</f>
        <v>0</v>
      </c>
      <c r="M138" s="27"/>
      <c r="N138" s="6"/>
      <c r="O138" s="7"/>
      <c r="P138" s="7"/>
      <c r="Q138" s="7"/>
      <c r="R138" s="7"/>
    </row>
    <row r="139" spans="1:18" ht="15.75">
      <c r="A139" s="26"/>
      <c r="B139" s="27" t="s">
        <v>99</v>
      </c>
      <c r="C139" s="27"/>
      <c r="D139" s="27"/>
      <c r="E139" s="27"/>
      <c r="F139" s="27"/>
      <c r="G139" s="27"/>
      <c r="H139" s="58">
        <v>1075</v>
      </c>
      <c r="I139" s="27"/>
      <c r="J139" s="58">
        <v>215</v>
      </c>
      <c r="K139" s="27"/>
      <c r="L139" s="58">
        <f>J139+H139</f>
        <v>1290</v>
      </c>
      <c r="M139" s="27"/>
      <c r="N139" s="6"/>
      <c r="O139" s="7"/>
      <c r="P139" s="7"/>
      <c r="Q139" s="7"/>
      <c r="R139" s="7"/>
    </row>
    <row r="140" spans="1:18" ht="15.75">
      <c r="A140" s="26"/>
      <c r="B140" s="27" t="s">
        <v>100</v>
      </c>
      <c r="C140" s="27"/>
      <c r="D140" s="27"/>
      <c r="E140" s="27"/>
      <c r="F140" s="27"/>
      <c r="G140" s="27"/>
      <c r="H140" s="58">
        <f>H138+H139</f>
        <v>1075</v>
      </c>
      <c r="I140" s="27"/>
      <c r="J140" s="58">
        <f>J139+J138</f>
        <v>215</v>
      </c>
      <c r="K140" s="27"/>
      <c r="L140" s="58">
        <f>J140+H140</f>
        <v>1290</v>
      </c>
      <c r="M140" s="27"/>
      <c r="N140" s="6"/>
      <c r="O140" s="7"/>
      <c r="P140" s="7"/>
      <c r="Q140" s="7"/>
      <c r="R140" s="7"/>
    </row>
    <row r="141" spans="1:18" ht="15.75">
      <c r="A141" s="26"/>
      <c r="B141" s="27" t="s">
        <v>101</v>
      </c>
      <c r="C141" s="27"/>
      <c r="D141" s="27"/>
      <c r="E141" s="27"/>
      <c r="F141" s="27"/>
      <c r="G141" s="27"/>
      <c r="H141" s="58">
        <f>H137-H140-J140</f>
        <v>18710</v>
      </c>
      <c r="I141" s="27"/>
      <c r="J141" s="46"/>
      <c r="K141" s="27"/>
      <c r="L141" s="58"/>
      <c r="M141" s="27"/>
      <c r="N141" s="6"/>
      <c r="O141" s="7"/>
      <c r="P141" s="7"/>
      <c r="Q141" s="7"/>
      <c r="R141" s="7"/>
    </row>
    <row r="142" spans="1:18" ht="7.5" customHeight="1">
      <c r="A142" s="26"/>
      <c r="B142" s="27"/>
      <c r="C142" s="27"/>
      <c r="D142" s="27"/>
      <c r="E142" s="27"/>
      <c r="F142" s="27"/>
      <c r="G142" s="27"/>
      <c r="H142" s="27"/>
      <c r="I142" s="27"/>
      <c r="J142" s="27"/>
      <c r="K142" s="27"/>
      <c r="L142" s="68"/>
      <c r="M142" s="27"/>
      <c r="N142" s="6"/>
      <c r="O142" s="7"/>
      <c r="P142" s="7"/>
      <c r="Q142" s="7"/>
      <c r="R142" s="7"/>
    </row>
    <row r="143" spans="1:18" ht="9" customHeight="1">
      <c r="A143" s="2"/>
      <c r="B143" s="5"/>
      <c r="C143" s="5"/>
      <c r="D143" s="5"/>
      <c r="E143" s="5"/>
      <c r="F143" s="5"/>
      <c r="G143" s="5"/>
      <c r="H143" s="5"/>
      <c r="I143" s="5"/>
      <c r="J143" s="5"/>
      <c r="K143" s="5"/>
      <c r="L143" s="67"/>
      <c r="M143" s="5"/>
      <c r="N143" s="6"/>
      <c r="O143" s="7"/>
      <c r="P143" s="7"/>
      <c r="Q143" s="7"/>
      <c r="R143" s="7"/>
    </row>
    <row r="144" spans="1:18" ht="15.75">
      <c r="A144" s="8"/>
      <c r="B144" s="154" t="s">
        <v>102</v>
      </c>
      <c r="C144" s="16"/>
      <c r="D144" s="10"/>
      <c r="E144" s="10"/>
      <c r="F144" s="10"/>
      <c r="G144" s="10"/>
      <c r="H144" s="10"/>
      <c r="I144" s="10"/>
      <c r="J144" s="10"/>
      <c r="K144" s="10"/>
      <c r="L144" s="74"/>
      <c r="M144" s="10"/>
      <c r="N144" s="6"/>
      <c r="O144" s="7"/>
      <c r="P144" s="7"/>
      <c r="Q144" s="7"/>
      <c r="R144" s="7"/>
    </row>
    <row r="145" spans="1:18" ht="15.75">
      <c r="A145" s="26"/>
      <c r="B145" s="27" t="s">
        <v>103</v>
      </c>
      <c r="C145" s="27"/>
      <c r="D145" s="27"/>
      <c r="E145" s="27"/>
      <c r="F145" s="27"/>
      <c r="G145" s="27"/>
      <c r="H145" s="27"/>
      <c r="I145" s="27"/>
      <c r="J145" s="27"/>
      <c r="K145" s="27"/>
      <c r="L145" s="66">
        <f>(L78+L80+L81+L82+L83)/-L84</f>
        <v>1.121646912039925</v>
      </c>
      <c r="M145" s="27" t="s">
        <v>189</v>
      </c>
      <c r="N145" s="6"/>
      <c r="O145" s="7"/>
      <c r="P145" s="7"/>
      <c r="Q145" s="7"/>
      <c r="R145" s="7"/>
    </row>
    <row r="146" spans="1:18" ht="15.75">
      <c r="A146" s="26"/>
      <c r="B146" s="27" t="s">
        <v>104</v>
      </c>
      <c r="C146" s="27"/>
      <c r="D146" s="27"/>
      <c r="E146" s="27"/>
      <c r="F146" s="27"/>
      <c r="G146" s="27"/>
      <c r="H146" s="27"/>
      <c r="I146" s="27"/>
      <c r="J146" s="27"/>
      <c r="K146" s="27"/>
      <c r="L146" s="66">
        <f>L145</f>
        <v>1.121646912039925</v>
      </c>
      <c r="M146" s="27" t="s">
        <v>189</v>
      </c>
      <c r="N146" s="6"/>
      <c r="O146" s="7"/>
      <c r="P146" s="7"/>
      <c r="Q146" s="7"/>
      <c r="R146" s="7"/>
    </row>
    <row r="147" spans="1:18" ht="15.75">
      <c r="A147" s="26"/>
      <c r="B147" s="27" t="s">
        <v>105</v>
      </c>
      <c r="C147" s="27"/>
      <c r="D147" s="27"/>
      <c r="E147" s="27"/>
      <c r="F147" s="27"/>
      <c r="G147" s="27"/>
      <c r="H147" s="27"/>
      <c r="I147" s="27"/>
      <c r="J147" s="27"/>
      <c r="K147" s="27"/>
      <c r="L147" s="66">
        <f>(L78+SUM(L80:L84))/-L85</f>
        <v>1.0077519379844961</v>
      </c>
      <c r="M147" s="27" t="s">
        <v>189</v>
      </c>
      <c r="N147" s="6"/>
      <c r="O147" s="7"/>
      <c r="P147" s="7"/>
      <c r="Q147" s="7"/>
      <c r="R147" s="7"/>
    </row>
    <row r="148" spans="1:18" ht="15.75">
      <c r="A148" s="26"/>
      <c r="B148" s="27" t="s">
        <v>106</v>
      </c>
      <c r="C148" s="27"/>
      <c r="D148" s="27"/>
      <c r="E148" s="27"/>
      <c r="F148" s="27"/>
      <c r="G148" s="27"/>
      <c r="H148" s="27"/>
      <c r="I148" s="27"/>
      <c r="J148" s="27"/>
      <c r="K148" s="27"/>
      <c r="L148" s="75">
        <f>L147</f>
        <v>1.0077519379844961</v>
      </c>
      <c r="M148" s="27" t="s">
        <v>189</v>
      </c>
      <c r="N148" s="6"/>
      <c r="O148" s="7"/>
      <c r="P148" s="7"/>
      <c r="Q148" s="7"/>
      <c r="R148" s="7"/>
    </row>
    <row r="149" spans="1:18" ht="15.75">
      <c r="A149" s="26"/>
      <c r="B149" s="27"/>
      <c r="C149" s="27"/>
      <c r="D149" s="27"/>
      <c r="E149" s="27"/>
      <c r="F149" s="27"/>
      <c r="G149" s="27"/>
      <c r="H149" s="27"/>
      <c r="I149" s="27"/>
      <c r="J149" s="27"/>
      <c r="K149" s="27"/>
      <c r="L149" s="27"/>
      <c r="M149" s="27"/>
      <c r="N149" s="6"/>
      <c r="O149" s="7"/>
      <c r="P149" s="7"/>
      <c r="Q149" s="7"/>
      <c r="R149" s="7"/>
    </row>
    <row r="150" spans="1:18" ht="19.5" thickBot="1">
      <c r="A150" s="129"/>
      <c r="B150" s="130" t="s">
        <v>34</v>
      </c>
      <c r="C150" s="131"/>
      <c r="D150" s="131"/>
      <c r="E150" s="131"/>
      <c r="F150" s="131"/>
      <c r="G150" s="131"/>
      <c r="H150" s="131"/>
      <c r="I150" s="131"/>
      <c r="J150" s="131"/>
      <c r="K150" s="131"/>
      <c r="L150" s="131"/>
      <c r="M150" s="134"/>
      <c r="N150" s="6"/>
      <c r="O150" s="7"/>
      <c r="P150" s="7"/>
      <c r="Q150" s="7"/>
      <c r="R150" s="7"/>
    </row>
    <row r="151" spans="1:18" ht="15.75">
      <c r="A151" s="2"/>
      <c r="B151" s="76"/>
      <c r="C151" s="76"/>
      <c r="D151" s="76"/>
      <c r="E151" s="76"/>
      <c r="F151" s="76"/>
      <c r="G151" s="76"/>
      <c r="H151" s="76"/>
      <c r="I151" s="76"/>
      <c r="J151" s="76"/>
      <c r="K151" s="76"/>
      <c r="L151" s="76"/>
      <c r="M151" s="76"/>
      <c r="N151" s="6"/>
      <c r="O151" s="7"/>
      <c r="P151" s="7"/>
      <c r="Q151" s="7"/>
      <c r="R151" s="7"/>
    </row>
    <row r="152" spans="1:18" ht="15.75">
      <c r="A152" s="77"/>
      <c r="B152" s="56" t="s">
        <v>107</v>
      </c>
      <c r="C152" s="78"/>
      <c r="D152" s="78"/>
      <c r="E152" s="78"/>
      <c r="F152" s="78"/>
      <c r="G152" s="20"/>
      <c r="H152" s="20"/>
      <c r="I152" s="20"/>
      <c r="J152" s="20">
        <v>36677</v>
      </c>
      <c r="K152" s="18"/>
      <c r="L152" s="18"/>
      <c r="M152" s="10"/>
      <c r="N152" s="79"/>
      <c r="O152" s="7"/>
      <c r="P152" s="7"/>
      <c r="Q152" s="7"/>
      <c r="R152" s="7"/>
    </row>
    <row r="153" spans="1:18" ht="15.75">
      <c r="A153" s="80"/>
      <c r="B153" s="81"/>
      <c r="C153" s="82"/>
      <c r="D153" s="82"/>
      <c r="E153" s="82"/>
      <c r="F153" s="82"/>
      <c r="G153" s="83"/>
      <c r="H153" s="83"/>
      <c r="I153" s="83"/>
      <c r="J153" s="83"/>
      <c r="K153" s="10"/>
      <c r="L153" s="10"/>
      <c r="M153" s="10"/>
      <c r="N153" s="79"/>
      <c r="O153" s="7"/>
      <c r="P153" s="7"/>
      <c r="Q153" s="7"/>
      <c r="R153" s="7"/>
    </row>
    <row r="154" spans="1:18" ht="15.75">
      <c r="A154" s="84"/>
      <c r="B154" s="85" t="s">
        <v>108</v>
      </c>
      <c r="C154" s="86"/>
      <c r="D154" s="86"/>
      <c r="E154" s="86"/>
      <c r="F154" s="86"/>
      <c r="G154" s="72"/>
      <c r="H154" s="72"/>
      <c r="I154" s="72"/>
      <c r="J154" s="87">
        <v>0.0736</v>
      </c>
      <c r="K154" s="27"/>
      <c r="L154" s="27"/>
      <c r="M154" s="27"/>
      <c r="N154" s="79"/>
      <c r="O154" s="7"/>
      <c r="P154" s="7"/>
      <c r="Q154" s="7"/>
      <c r="R154" s="7"/>
    </row>
    <row r="155" spans="1:18" ht="15.75">
      <c r="A155" s="84"/>
      <c r="B155" s="85" t="s">
        <v>109</v>
      </c>
      <c r="C155" s="86"/>
      <c r="D155" s="86"/>
      <c r="E155" s="86"/>
      <c r="F155" s="86"/>
      <c r="G155" s="72"/>
      <c r="H155" s="72"/>
      <c r="I155" s="72"/>
      <c r="J155" s="45">
        <f>L31</f>
        <v>0.0553832</v>
      </c>
      <c r="K155" s="27"/>
      <c r="L155" s="27"/>
      <c r="M155" s="27"/>
      <c r="N155" s="79"/>
      <c r="O155" s="7"/>
      <c r="P155" s="7"/>
      <c r="Q155" s="7"/>
      <c r="R155" s="7"/>
    </row>
    <row r="156" spans="1:18" ht="15.75">
      <c r="A156" s="84"/>
      <c r="B156" s="85" t="s">
        <v>110</v>
      </c>
      <c r="C156" s="86"/>
      <c r="D156" s="86"/>
      <c r="E156" s="86"/>
      <c r="F156" s="86"/>
      <c r="G156" s="72"/>
      <c r="H156" s="72"/>
      <c r="I156" s="72"/>
      <c r="J156" s="87">
        <f>J154-J155</f>
        <v>0.0182168</v>
      </c>
      <c r="K156" s="27"/>
      <c r="L156" s="27"/>
      <c r="M156" s="27"/>
      <c r="N156" s="79"/>
      <c r="O156" s="7"/>
      <c r="P156" s="7"/>
      <c r="Q156" s="7"/>
      <c r="R156" s="7"/>
    </row>
    <row r="157" spans="1:18" ht="15.75">
      <c r="A157" s="84"/>
      <c r="B157" s="85" t="s">
        <v>111</v>
      </c>
      <c r="C157" s="86"/>
      <c r="D157" s="86"/>
      <c r="E157" s="86"/>
      <c r="F157" s="86"/>
      <c r="G157" s="72"/>
      <c r="H157" s="72"/>
      <c r="I157" s="72"/>
      <c r="J157" s="87">
        <v>0.07537</v>
      </c>
      <c r="K157" s="27"/>
      <c r="L157" s="27"/>
      <c r="M157" s="27"/>
      <c r="N157" s="79"/>
      <c r="O157" s="7"/>
      <c r="P157" s="7"/>
      <c r="Q157" s="7"/>
      <c r="R157" s="7"/>
    </row>
    <row r="158" spans="1:18" ht="15.75">
      <c r="A158" s="84"/>
      <c r="B158" s="85" t="s">
        <v>112</v>
      </c>
      <c r="C158" s="86"/>
      <c r="D158" s="86"/>
      <c r="E158" s="86"/>
      <c r="F158" s="86"/>
      <c r="G158" s="72"/>
      <c r="H158" s="72"/>
      <c r="I158" s="72"/>
      <c r="J158" s="87">
        <f>L31</f>
        <v>0.0553832</v>
      </c>
      <c r="K158" s="27"/>
      <c r="L158" s="27"/>
      <c r="M158" s="27"/>
      <c r="N158" s="79"/>
      <c r="O158" s="7"/>
      <c r="P158" s="7"/>
      <c r="Q158" s="7"/>
      <c r="R158" s="7"/>
    </row>
    <row r="159" spans="1:18" ht="15.75">
      <c r="A159" s="84"/>
      <c r="B159" s="85" t="s">
        <v>113</v>
      </c>
      <c r="C159" s="86"/>
      <c r="D159" s="86"/>
      <c r="E159" s="86"/>
      <c r="F159" s="86"/>
      <c r="G159" s="72"/>
      <c r="H159" s="72"/>
      <c r="I159" s="72"/>
      <c r="J159" s="87">
        <f>J157-J158</f>
        <v>0.019986800000000006</v>
      </c>
      <c r="K159" s="27"/>
      <c r="L159" s="27"/>
      <c r="M159" s="27"/>
      <c r="N159" s="79"/>
      <c r="O159" s="7"/>
      <c r="P159" s="7"/>
      <c r="Q159" s="7"/>
      <c r="R159" s="7"/>
    </row>
    <row r="160" spans="1:18" ht="15.75">
      <c r="A160" s="84"/>
      <c r="B160" s="85" t="s">
        <v>114</v>
      </c>
      <c r="C160" s="86"/>
      <c r="D160" s="86"/>
      <c r="E160" s="86"/>
      <c r="F160" s="86"/>
      <c r="G160" s="72"/>
      <c r="H160" s="72"/>
      <c r="I160" s="72"/>
      <c r="J160" s="88" t="s">
        <v>177</v>
      </c>
      <c r="K160" s="27"/>
      <c r="L160" s="27"/>
      <c r="M160" s="27"/>
      <c r="N160" s="79"/>
      <c r="O160" s="7"/>
      <c r="P160" s="7"/>
      <c r="Q160" s="7"/>
      <c r="R160" s="7"/>
    </row>
    <row r="161" spans="1:18" ht="15.75">
      <c r="A161" s="84"/>
      <c r="B161" s="85" t="s">
        <v>115</v>
      </c>
      <c r="C161" s="86"/>
      <c r="D161" s="86"/>
      <c r="E161" s="86"/>
      <c r="F161" s="86"/>
      <c r="G161" s="72"/>
      <c r="H161" s="72"/>
      <c r="I161" s="72"/>
      <c r="J161" s="88" t="s">
        <v>178</v>
      </c>
      <c r="K161" s="27"/>
      <c r="L161" s="27"/>
      <c r="M161" s="27"/>
      <c r="N161" s="79"/>
      <c r="O161" s="7"/>
      <c r="P161" s="7"/>
      <c r="Q161" s="7"/>
      <c r="R161" s="7"/>
    </row>
    <row r="162" spans="1:18" ht="15.75">
      <c r="A162" s="84"/>
      <c r="B162" s="85" t="s">
        <v>116</v>
      </c>
      <c r="C162" s="86"/>
      <c r="D162" s="86"/>
      <c r="E162" s="86"/>
      <c r="F162" s="86"/>
      <c r="G162" s="72"/>
      <c r="H162" s="72"/>
      <c r="I162" s="72"/>
      <c r="J162" s="89">
        <v>19.6</v>
      </c>
      <c r="K162" s="27" t="s">
        <v>182</v>
      </c>
      <c r="L162" s="27"/>
      <c r="M162" s="27"/>
      <c r="N162" s="79"/>
      <c r="O162" s="7"/>
      <c r="P162" s="7"/>
      <c r="Q162" s="7"/>
      <c r="R162" s="7"/>
    </row>
    <row r="163" spans="1:18" ht="15.75">
      <c r="A163" s="84"/>
      <c r="B163" s="85" t="s">
        <v>117</v>
      </c>
      <c r="C163" s="86"/>
      <c r="D163" s="86"/>
      <c r="E163" s="86"/>
      <c r="F163" s="86"/>
      <c r="G163" s="72"/>
      <c r="H163" s="72"/>
      <c r="I163" s="72"/>
      <c r="J163" s="89">
        <v>19.4</v>
      </c>
      <c r="K163" s="27" t="s">
        <v>182</v>
      </c>
      <c r="L163" s="27"/>
      <c r="M163" s="27"/>
      <c r="N163" s="79"/>
      <c r="O163" s="7"/>
      <c r="P163" s="7"/>
      <c r="Q163" s="7"/>
      <c r="R163" s="7"/>
    </row>
    <row r="164" spans="1:18" ht="15.75">
      <c r="A164" s="84"/>
      <c r="B164" s="85" t="s">
        <v>118</v>
      </c>
      <c r="C164" s="86"/>
      <c r="D164" s="86"/>
      <c r="E164" s="86"/>
      <c r="F164" s="86"/>
      <c r="G164" s="72"/>
      <c r="H164" s="72"/>
      <c r="I164" s="72"/>
      <c r="J164" s="87">
        <f>F57/C69</f>
        <v>0.018924324324324324</v>
      </c>
      <c r="K164" s="27"/>
      <c r="L164" s="27"/>
      <c r="M164" s="27"/>
      <c r="N164" s="79"/>
      <c r="O164" s="7"/>
      <c r="P164" s="7"/>
      <c r="Q164" s="7"/>
      <c r="R164" s="7"/>
    </row>
    <row r="165" spans="1:18" ht="15.75">
      <c r="A165" s="84"/>
      <c r="B165" s="85" t="s">
        <v>119</v>
      </c>
      <c r="C165" s="86"/>
      <c r="D165" s="86"/>
      <c r="E165" s="86"/>
      <c r="F165" s="86"/>
      <c r="G165" s="72"/>
      <c r="H165" s="72"/>
      <c r="I165" s="72"/>
      <c r="J165" s="87">
        <v>0.0735</v>
      </c>
      <c r="K165" s="27"/>
      <c r="L165" s="27"/>
      <c r="M165" s="27"/>
      <c r="N165" s="79"/>
      <c r="O165" s="7"/>
      <c r="P165" s="7"/>
      <c r="Q165" s="7"/>
      <c r="R165" s="7"/>
    </row>
    <row r="166" spans="1:18" ht="15.75">
      <c r="A166" s="84"/>
      <c r="B166" s="85"/>
      <c r="C166" s="85"/>
      <c r="D166" s="85"/>
      <c r="E166" s="85"/>
      <c r="F166" s="85"/>
      <c r="G166" s="27"/>
      <c r="H166" s="27"/>
      <c r="I166" s="27"/>
      <c r="J166" s="68"/>
      <c r="K166" s="27"/>
      <c r="L166" s="90"/>
      <c r="M166" s="27"/>
      <c r="N166" s="79"/>
      <c r="O166" s="7"/>
      <c r="P166" s="7"/>
      <c r="Q166" s="7"/>
      <c r="R166" s="7"/>
    </row>
    <row r="167" spans="1:18" ht="15.75">
      <c r="A167" s="91"/>
      <c r="B167" s="17" t="s">
        <v>120</v>
      </c>
      <c r="C167" s="92"/>
      <c r="D167" s="93"/>
      <c r="E167" s="92"/>
      <c r="F167" s="93"/>
      <c r="G167" s="92"/>
      <c r="H167" s="93"/>
      <c r="I167" s="63" t="s">
        <v>170</v>
      </c>
      <c r="J167" s="94" t="s">
        <v>179</v>
      </c>
      <c r="K167" s="18"/>
      <c r="L167" s="10"/>
      <c r="M167" s="10"/>
      <c r="N167" s="79"/>
      <c r="O167" s="7"/>
      <c r="P167" s="7"/>
      <c r="Q167" s="7"/>
      <c r="R167" s="7"/>
    </row>
    <row r="168" spans="1:18" ht="15.75">
      <c r="A168" s="95"/>
      <c r="B168" s="85" t="s">
        <v>121</v>
      </c>
      <c r="C168" s="59"/>
      <c r="D168" s="59"/>
      <c r="E168" s="59"/>
      <c r="F168" s="27"/>
      <c r="G168" s="27"/>
      <c r="H168" s="27"/>
      <c r="I168" s="28">
        <v>1</v>
      </c>
      <c r="J168" s="96">
        <v>40</v>
      </c>
      <c r="K168" s="27"/>
      <c r="L168" s="90"/>
      <c r="M168" s="97"/>
      <c r="N168" s="79"/>
      <c r="O168" s="7"/>
      <c r="P168" s="7"/>
      <c r="Q168" s="7"/>
      <c r="R168" s="7"/>
    </row>
    <row r="169" spans="1:18" ht="15.75">
      <c r="A169" s="95"/>
      <c r="B169" s="85" t="s">
        <v>122</v>
      </c>
      <c r="C169" s="59"/>
      <c r="D169" s="59"/>
      <c r="E169" s="59"/>
      <c r="F169" s="27"/>
      <c r="G169" s="27"/>
      <c r="H169" s="27"/>
      <c r="I169" s="28">
        <v>0</v>
      </c>
      <c r="J169" s="96">
        <v>0</v>
      </c>
      <c r="K169" s="27"/>
      <c r="L169" s="90"/>
      <c r="M169" s="97"/>
      <c r="N169" s="79"/>
      <c r="O169" s="7"/>
      <c r="P169" s="7"/>
      <c r="Q169" s="7"/>
      <c r="R169" s="7"/>
    </row>
    <row r="170" spans="1:18" ht="15.75">
      <c r="A170" s="95"/>
      <c r="B170" s="157" t="s">
        <v>123</v>
      </c>
      <c r="C170" s="59"/>
      <c r="D170" s="59"/>
      <c r="E170" s="59"/>
      <c r="F170" s="27"/>
      <c r="G170" s="27"/>
      <c r="H170" s="27"/>
      <c r="I170" s="27"/>
      <c r="J170" s="96">
        <v>0</v>
      </c>
      <c r="K170" s="27"/>
      <c r="L170" s="90"/>
      <c r="M170" s="97"/>
      <c r="N170" s="79"/>
      <c r="O170" s="7"/>
      <c r="P170" s="7"/>
      <c r="Q170" s="7"/>
      <c r="R170" s="7"/>
    </row>
    <row r="171" spans="1:18" ht="15.75">
      <c r="A171" s="95"/>
      <c r="B171" s="157" t="s">
        <v>124</v>
      </c>
      <c r="C171" s="59"/>
      <c r="D171" s="59"/>
      <c r="E171" s="59"/>
      <c r="F171" s="27"/>
      <c r="G171" s="27"/>
      <c r="H171" s="27"/>
      <c r="I171" s="27"/>
      <c r="J171" s="96">
        <v>25878</v>
      </c>
      <c r="K171" s="27"/>
      <c r="L171" s="90"/>
      <c r="M171" s="97"/>
      <c r="N171" s="79"/>
      <c r="O171" s="7"/>
      <c r="P171" s="7"/>
      <c r="Q171" s="7"/>
      <c r="R171" s="7"/>
    </row>
    <row r="172" spans="1:18" ht="15.75">
      <c r="A172" s="98"/>
      <c r="B172" s="157" t="s">
        <v>125</v>
      </c>
      <c r="C172" s="59"/>
      <c r="D172" s="85"/>
      <c r="E172" s="85"/>
      <c r="F172" s="85"/>
      <c r="G172" s="27"/>
      <c r="H172" s="27"/>
      <c r="I172" s="27"/>
      <c r="J172" s="96">
        <v>0</v>
      </c>
      <c r="K172" s="27"/>
      <c r="L172" s="90"/>
      <c r="M172" s="99"/>
      <c r="N172" s="79"/>
      <c r="O172" s="7"/>
      <c r="P172" s="7"/>
      <c r="Q172" s="7"/>
      <c r="R172" s="7"/>
    </row>
    <row r="173" spans="1:18" ht="15.75">
      <c r="A173" s="95"/>
      <c r="B173" s="85" t="s">
        <v>126</v>
      </c>
      <c r="C173" s="59"/>
      <c r="D173" s="59"/>
      <c r="E173" s="59"/>
      <c r="F173" s="59"/>
      <c r="G173" s="27"/>
      <c r="H173" s="27"/>
      <c r="I173" s="27"/>
      <c r="J173" s="96">
        <v>0</v>
      </c>
      <c r="K173" s="27"/>
      <c r="L173" s="90"/>
      <c r="M173" s="99"/>
      <c r="N173" s="79"/>
      <c r="O173" s="7"/>
      <c r="P173" s="7"/>
      <c r="Q173" s="7"/>
      <c r="R173" s="7"/>
    </row>
    <row r="174" spans="1:18" ht="15.75">
      <c r="A174" s="95"/>
      <c r="B174" s="85" t="s">
        <v>127</v>
      </c>
      <c r="C174" s="59"/>
      <c r="D174" s="59"/>
      <c r="E174" s="59"/>
      <c r="F174" s="59"/>
      <c r="G174" s="27"/>
      <c r="H174" s="27"/>
      <c r="I174" s="27"/>
      <c r="J174" s="96">
        <v>0</v>
      </c>
      <c r="K174" s="27"/>
      <c r="L174" s="90"/>
      <c r="M174" s="99"/>
      <c r="N174" s="79"/>
      <c r="O174" s="7"/>
      <c r="P174" s="7"/>
      <c r="Q174" s="7"/>
      <c r="R174" s="7"/>
    </row>
    <row r="175" spans="1:18" ht="15.75">
      <c r="A175" s="98"/>
      <c r="B175" s="157" t="s">
        <v>128</v>
      </c>
      <c r="C175" s="59"/>
      <c r="D175" s="85"/>
      <c r="E175" s="85"/>
      <c r="F175" s="85"/>
      <c r="G175" s="27"/>
      <c r="H175" s="27"/>
      <c r="I175" s="27"/>
      <c r="J175" s="96"/>
      <c r="K175" s="27"/>
      <c r="L175" s="90"/>
      <c r="M175" s="99"/>
      <c r="N175" s="79"/>
      <c r="O175" s="7"/>
      <c r="P175" s="7"/>
      <c r="Q175" s="7"/>
      <c r="R175" s="7"/>
    </row>
    <row r="176" spans="1:18" ht="15.75">
      <c r="A176" s="98"/>
      <c r="B176" s="85" t="s">
        <v>129</v>
      </c>
      <c r="C176" s="59"/>
      <c r="D176" s="85"/>
      <c r="E176" s="85"/>
      <c r="F176" s="85"/>
      <c r="G176" s="27"/>
      <c r="H176" s="27"/>
      <c r="I176" s="27"/>
      <c r="J176" s="96">
        <v>0</v>
      </c>
      <c r="K176" s="27"/>
      <c r="L176" s="90"/>
      <c r="M176" s="99"/>
      <c r="N176" s="79"/>
      <c r="O176" s="7"/>
      <c r="P176" s="7"/>
      <c r="Q176" s="7"/>
      <c r="R176" s="7"/>
    </row>
    <row r="177" spans="1:18" ht="15.75">
      <c r="A177" s="95"/>
      <c r="B177" s="85" t="s">
        <v>130</v>
      </c>
      <c r="C177" s="59"/>
      <c r="D177" s="100"/>
      <c r="E177" s="100"/>
      <c r="F177" s="101"/>
      <c r="G177" s="27"/>
      <c r="H177" s="27"/>
      <c r="I177" s="27"/>
      <c r="J177" s="96">
        <v>0</v>
      </c>
      <c r="K177" s="27"/>
      <c r="L177" s="90"/>
      <c r="M177" s="99"/>
      <c r="N177" s="79"/>
      <c r="O177" s="7"/>
      <c r="P177" s="7"/>
      <c r="Q177" s="7"/>
      <c r="R177" s="7"/>
    </row>
    <row r="178" spans="1:18" ht="15.75">
      <c r="A178" s="95"/>
      <c r="B178" s="85" t="s">
        <v>131</v>
      </c>
      <c r="C178" s="59"/>
      <c r="D178" s="100"/>
      <c r="E178" s="100"/>
      <c r="F178" s="101"/>
      <c r="G178" s="27"/>
      <c r="H178" s="27"/>
      <c r="I178" s="27"/>
      <c r="J178" s="96">
        <v>0</v>
      </c>
      <c r="K178" s="27"/>
      <c r="L178" s="90"/>
      <c r="M178" s="99"/>
      <c r="N178" s="79"/>
      <c r="O178" s="7"/>
      <c r="P178" s="7"/>
      <c r="Q178" s="7"/>
      <c r="R178" s="7"/>
    </row>
    <row r="179" spans="1:18" ht="15.75">
      <c r="A179" s="95"/>
      <c r="B179" s="85" t="s">
        <v>132</v>
      </c>
      <c r="C179" s="59"/>
      <c r="D179" s="102"/>
      <c r="E179" s="100"/>
      <c r="F179" s="101"/>
      <c r="G179" s="27"/>
      <c r="H179" s="27"/>
      <c r="I179" s="27"/>
      <c r="J179" s="103">
        <v>0</v>
      </c>
      <c r="K179" s="27"/>
      <c r="L179" s="90"/>
      <c r="M179" s="99"/>
      <c r="N179" s="79"/>
      <c r="O179" s="7"/>
      <c r="P179" s="7"/>
      <c r="Q179" s="7"/>
      <c r="R179" s="7"/>
    </row>
    <row r="180" spans="1:18" ht="15.75">
      <c r="A180" s="95"/>
      <c r="B180" s="85"/>
      <c r="C180" s="59"/>
      <c r="D180" s="102"/>
      <c r="E180" s="100"/>
      <c r="F180" s="101"/>
      <c r="G180" s="27"/>
      <c r="H180" s="27"/>
      <c r="I180" s="27"/>
      <c r="J180" s="103"/>
      <c r="K180" s="27"/>
      <c r="L180" s="90"/>
      <c r="M180" s="99"/>
      <c r="N180" s="79"/>
      <c r="O180" s="7"/>
      <c r="P180" s="7"/>
      <c r="Q180" s="7"/>
      <c r="R180" s="7"/>
    </row>
    <row r="181" spans="1:18" ht="15.75">
      <c r="A181" s="8"/>
      <c r="B181" s="17" t="s">
        <v>133</v>
      </c>
      <c r="C181" s="63"/>
      <c r="D181" s="94"/>
      <c r="E181" s="63"/>
      <c r="F181" s="94"/>
      <c r="G181" s="63"/>
      <c r="H181" s="94" t="s">
        <v>170</v>
      </c>
      <c r="I181" s="63" t="s">
        <v>171</v>
      </c>
      <c r="J181" s="94" t="s">
        <v>180</v>
      </c>
      <c r="K181" s="63" t="s">
        <v>171</v>
      </c>
      <c r="L181" s="18"/>
      <c r="M181" s="104"/>
      <c r="N181" s="79"/>
      <c r="O181" s="7"/>
      <c r="P181" s="7"/>
      <c r="Q181" s="7"/>
      <c r="R181" s="7"/>
    </row>
    <row r="182" spans="1:18" ht="15.75">
      <c r="A182" s="26"/>
      <c r="B182" s="59" t="s">
        <v>134</v>
      </c>
      <c r="C182" s="105"/>
      <c r="D182" s="59"/>
      <c r="E182" s="105"/>
      <c r="F182" s="27"/>
      <c r="G182" s="105"/>
      <c r="H182" s="59">
        <v>3453</v>
      </c>
      <c r="I182" s="105">
        <f>H182/$H$188</f>
        <v>0.9893982808022923</v>
      </c>
      <c r="J182" s="58">
        <v>181678</v>
      </c>
      <c r="K182" s="106">
        <f>J182/$J$188</f>
        <v>0.993921953728069</v>
      </c>
      <c r="L182" s="90"/>
      <c r="M182" s="99"/>
      <c r="N182" s="79"/>
      <c r="O182" s="7"/>
      <c r="P182" s="7"/>
      <c r="Q182" s="7"/>
      <c r="R182" s="7"/>
    </row>
    <row r="183" spans="1:18" ht="15.75">
      <c r="A183" s="26"/>
      <c r="B183" s="59" t="s">
        <v>135</v>
      </c>
      <c r="C183" s="105"/>
      <c r="D183" s="59"/>
      <c r="E183" s="105"/>
      <c r="F183" s="27"/>
      <c r="G183" s="107"/>
      <c r="H183" s="59">
        <v>12</v>
      </c>
      <c r="I183" s="105">
        <f>H183/$H$188</f>
        <v>0.0034383954154727794</v>
      </c>
      <c r="J183" s="58">
        <v>372</v>
      </c>
      <c r="K183" s="106">
        <f>J183/$J$188</f>
        <v>0.0020351334051830253</v>
      </c>
      <c r="L183" s="90"/>
      <c r="M183" s="99"/>
      <c r="N183" s="79"/>
      <c r="O183" s="7"/>
      <c r="P183" s="7"/>
      <c r="Q183" s="7"/>
      <c r="R183" s="7"/>
    </row>
    <row r="184" spans="1:18" ht="15.75">
      <c r="A184" s="26"/>
      <c r="B184" s="59" t="s">
        <v>136</v>
      </c>
      <c r="C184" s="105"/>
      <c r="D184" s="59"/>
      <c r="E184" s="105"/>
      <c r="F184" s="27"/>
      <c r="G184" s="107"/>
      <c r="H184" s="59">
        <v>4</v>
      </c>
      <c r="I184" s="105">
        <f>H184/$H$188</f>
        <v>0.001146131805157593</v>
      </c>
      <c r="J184" s="58">
        <v>306</v>
      </c>
      <c r="K184" s="106">
        <f>J184/$J$188</f>
        <v>0.0016740613494247466</v>
      </c>
      <c r="L184" s="90"/>
      <c r="M184" s="99"/>
      <c r="N184" s="79"/>
      <c r="O184" s="7"/>
      <c r="P184" s="7"/>
      <c r="Q184" s="7"/>
      <c r="R184" s="7"/>
    </row>
    <row r="185" spans="1:18" ht="15.75">
      <c r="A185" s="26"/>
      <c r="B185" s="59" t="s">
        <v>137</v>
      </c>
      <c r="C185" s="105"/>
      <c r="D185" s="59"/>
      <c r="E185" s="105"/>
      <c r="F185" s="27"/>
      <c r="G185" s="107"/>
      <c r="H185" s="59">
        <v>21</v>
      </c>
      <c r="I185" s="105">
        <f>H185/$H$188</f>
        <v>0.006017191977077364</v>
      </c>
      <c r="J185" s="58">
        <f>429+4</f>
        <v>433</v>
      </c>
      <c r="K185" s="106">
        <f>J185/$J$188</f>
        <v>0.0023688515173232523</v>
      </c>
      <c r="L185" s="90"/>
      <c r="M185" s="99"/>
      <c r="N185" s="79"/>
      <c r="O185" s="7"/>
      <c r="P185" s="7"/>
      <c r="Q185" s="7"/>
      <c r="R185" s="7"/>
    </row>
    <row r="186" spans="1:18" ht="15.75">
      <c r="A186" s="26"/>
      <c r="B186" s="30"/>
      <c r="C186" s="105"/>
      <c r="D186" s="59"/>
      <c r="E186" s="105"/>
      <c r="F186" s="27"/>
      <c r="G186" s="107"/>
      <c r="H186" s="59"/>
      <c r="I186" s="105"/>
      <c r="J186" s="58"/>
      <c r="K186" s="106"/>
      <c r="L186" s="90"/>
      <c r="M186" s="99"/>
      <c r="N186" s="79"/>
      <c r="O186" s="7"/>
      <c r="P186" s="7"/>
      <c r="Q186" s="7"/>
      <c r="R186" s="7"/>
    </row>
    <row r="187" spans="1:18" ht="15.75">
      <c r="A187" s="26"/>
      <c r="B187" s="59"/>
      <c r="C187" s="108"/>
      <c r="D187" s="97"/>
      <c r="E187" s="108"/>
      <c r="F187" s="27"/>
      <c r="G187" s="108"/>
      <c r="H187" s="97"/>
      <c r="I187" s="108"/>
      <c r="J187" s="58"/>
      <c r="K187" s="106"/>
      <c r="L187" s="90"/>
      <c r="M187" s="99"/>
      <c r="N187" s="79"/>
      <c r="O187" s="7"/>
      <c r="P187" s="7"/>
      <c r="Q187" s="7"/>
      <c r="R187" s="7"/>
    </row>
    <row r="188" spans="1:18" ht="15.75">
      <c r="A188" s="26"/>
      <c r="B188" s="27"/>
      <c r="C188" s="27"/>
      <c r="D188" s="27"/>
      <c r="E188" s="27"/>
      <c r="F188" s="27"/>
      <c r="G188" s="27"/>
      <c r="H188" s="37">
        <f>SUM(H182:H186)</f>
        <v>3490</v>
      </c>
      <c r="I188" s="109">
        <f>SUM(I182:I187)</f>
        <v>1</v>
      </c>
      <c r="J188" s="58">
        <f>SUM(J182:J187)</f>
        <v>182789</v>
      </c>
      <c r="K188" s="109">
        <f>SUM(K182:K187)</f>
        <v>1</v>
      </c>
      <c r="L188" s="27"/>
      <c r="M188" s="27"/>
      <c r="N188" s="110"/>
      <c r="O188" s="111"/>
      <c r="P188" s="111"/>
      <c r="Q188" s="111"/>
      <c r="R188" s="111"/>
    </row>
    <row r="189" spans="1:18" ht="15.75">
      <c r="A189" s="26"/>
      <c r="B189" s="27"/>
      <c r="C189" s="27"/>
      <c r="D189" s="27"/>
      <c r="E189" s="27"/>
      <c r="F189" s="27"/>
      <c r="G189" s="27"/>
      <c r="H189" s="37"/>
      <c r="I189" s="109"/>
      <c r="J189" s="58"/>
      <c r="K189" s="109"/>
      <c r="L189" s="27"/>
      <c r="M189" s="27"/>
      <c r="N189" s="110"/>
      <c r="O189" s="111"/>
      <c r="P189" s="111"/>
      <c r="Q189" s="111"/>
      <c r="R189" s="111"/>
    </row>
    <row r="190" spans="1:18" ht="15.75">
      <c r="A190" s="8"/>
      <c r="B190" s="10"/>
      <c r="C190" s="10"/>
      <c r="D190" s="10"/>
      <c r="E190" s="10"/>
      <c r="F190" s="10"/>
      <c r="G190" s="10"/>
      <c r="H190" s="60"/>
      <c r="I190" s="112"/>
      <c r="J190" s="113"/>
      <c r="K190" s="112"/>
      <c r="L190" s="10"/>
      <c r="M190" s="10"/>
      <c r="N190" s="110"/>
      <c r="O190" s="111"/>
      <c r="P190" s="111"/>
      <c r="Q190" s="111"/>
      <c r="R190" s="111"/>
    </row>
    <row r="191" spans="1:18" ht="15.75">
      <c r="A191" s="114"/>
      <c r="B191" s="17" t="s">
        <v>138</v>
      </c>
      <c r="C191" s="115"/>
      <c r="D191" s="63" t="s">
        <v>146</v>
      </c>
      <c r="E191" s="18"/>
      <c r="F191" s="17" t="s">
        <v>159</v>
      </c>
      <c r="G191" s="116"/>
      <c r="H191" s="116"/>
      <c r="I191" s="116"/>
      <c r="J191" s="15"/>
      <c r="K191" s="15"/>
      <c r="L191" s="15"/>
      <c r="M191" s="15"/>
      <c r="N191" s="110"/>
      <c r="O191" s="111"/>
      <c r="P191" s="111"/>
      <c r="Q191" s="111"/>
      <c r="R191" s="111"/>
    </row>
    <row r="192" spans="1:18" ht="15.75">
      <c r="A192" s="117"/>
      <c r="B192" s="15"/>
      <c r="C192" s="15"/>
      <c r="D192" s="10"/>
      <c r="E192" s="10"/>
      <c r="F192" s="10"/>
      <c r="G192" s="15"/>
      <c r="H192" s="15"/>
      <c r="I192" s="15"/>
      <c r="J192" s="15"/>
      <c r="K192" s="15"/>
      <c r="L192" s="15"/>
      <c r="M192" s="15"/>
      <c r="N192" s="110"/>
      <c r="O192" s="111"/>
      <c r="P192" s="111"/>
      <c r="Q192" s="111"/>
      <c r="R192" s="111"/>
    </row>
    <row r="193" spans="1:18" ht="15.75">
      <c r="A193" s="117"/>
      <c r="B193" s="16" t="s">
        <v>139</v>
      </c>
      <c r="C193" s="118"/>
      <c r="D193" s="119" t="s">
        <v>147</v>
      </c>
      <c r="E193" s="16"/>
      <c r="F193" s="16" t="s">
        <v>160</v>
      </c>
      <c r="G193" s="118"/>
      <c r="H193" s="118"/>
      <c r="I193" s="15"/>
      <c r="J193" s="15"/>
      <c r="K193" s="15"/>
      <c r="L193" s="15"/>
      <c r="M193" s="15"/>
      <c r="N193" s="110"/>
      <c r="O193" s="111"/>
      <c r="P193" s="111"/>
      <c r="Q193" s="111"/>
      <c r="R193" s="111"/>
    </row>
    <row r="194" spans="1:18" ht="15.75">
      <c r="A194" s="117"/>
      <c r="B194" s="16" t="s">
        <v>140</v>
      </c>
      <c r="C194" s="118"/>
      <c r="D194" s="119" t="s">
        <v>148</v>
      </c>
      <c r="E194" s="16"/>
      <c r="F194" s="16" t="s">
        <v>161</v>
      </c>
      <c r="G194" s="118"/>
      <c r="H194" s="118"/>
      <c r="I194" s="15"/>
      <c r="J194" s="15"/>
      <c r="K194" s="15"/>
      <c r="L194" s="15"/>
      <c r="M194" s="15"/>
      <c r="N194" s="79"/>
      <c r="O194" s="111"/>
      <c r="P194" s="111"/>
      <c r="Q194" s="111"/>
      <c r="R194" s="111"/>
    </row>
    <row r="195" spans="1:18" ht="15.75">
      <c r="A195" s="117"/>
      <c r="B195" s="16"/>
      <c r="C195" s="118"/>
      <c r="D195" s="119"/>
      <c r="E195" s="16"/>
      <c r="F195" s="16"/>
      <c r="G195" s="118"/>
      <c r="H195" s="118"/>
      <c r="I195" s="15"/>
      <c r="J195" s="15"/>
      <c r="K195" s="15"/>
      <c r="L195" s="15"/>
      <c r="M195" s="15"/>
      <c r="N195" s="79"/>
      <c r="O195" s="111"/>
      <c r="P195" s="111"/>
      <c r="Q195" s="111"/>
      <c r="R195" s="111"/>
    </row>
    <row r="196" spans="1:18" ht="15.75">
      <c r="A196" s="117"/>
      <c r="B196" s="16"/>
      <c r="C196" s="118"/>
      <c r="D196" s="119"/>
      <c r="E196" s="16"/>
      <c r="F196" s="16"/>
      <c r="G196" s="118"/>
      <c r="H196" s="118"/>
      <c r="I196" s="15"/>
      <c r="J196" s="15"/>
      <c r="K196" s="15"/>
      <c r="L196" s="15"/>
      <c r="M196" s="15"/>
      <c r="N196" s="79"/>
      <c r="O196" s="111"/>
      <c r="P196" s="111"/>
      <c r="Q196" s="111"/>
      <c r="R196" s="111"/>
    </row>
    <row r="197" spans="1:18" ht="18.75">
      <c r="A197" s="117"/>
      <c r="B197" s="54" t="s">
        <v>34</v>
      </c>
      <c r="C197" s="15"/>
      <c r="D197" s="15"/>
      <c r="E197" s="15"/>
      <c r="F197" s="15"/>
      <c r="G197" s="15"/>
      <c r="H197" s="15"/>
      <c r="I197" s="15"/>
      <c r="J197" s="15"/>
      <c r="K197" s="15"/>
      <c r="L197" s="15"/>
      <c r="M197" s="15"/>
      <c r="N197" s="110"/>
      <c r="O197" s="111"/>
      <c r="P197" s="111"/>
      <c r="Q197" s="111"/>
      <c r="R197" s="111"/>
    </row>
    <row r="198" spans="1:18" ht="15.75">
      <c r="A198" s="120"/>
      <c r="B198" s="121"/>
      <c r="C198" s="120"/>
      <c r="D198" s="120"/>
      <c r="E198" s="120"/>
      <c r="F198" s="120"/>
      <c r="G198" s="120"/>
      <c r="H198" s="120"/>
      <c r="I198" s="120"/>
      <c r="J198" s="120"/>
      <c r="K198" s="120"/>
      <c r="L198" s="120"/>
      <c r="M198" s="120"/>
      <c r="N198" s="111"/>
      <c r="O198" s="111"/>
      <c r="P198" s="111"/>
      <c r="Q198" s="111"/>
      <c r="R198" s="111"/>
    </row>
    <row r="199" spans="1:18" ht="15">
      <c r="A199" s="7"/>
      <c r="B199" s="7"/>
      <c r="C199" s="7"/>
      <c r="D199" s="7"/>
      <c r="E199" s="7"/>
      <c r="F199" s="7"/>
      <c r="G199" s="7"/>
      <c r="H199" s="7"/>
      <c r="I199" s="7"/>
      <c r="J199" s="7"/>
      <c r="K199" s="7"/>
      <c r="L199" s="7"/>
      <c r="M199" s="7"/>
      <c r="N199" s="122"/>
      <c r="O199" s="7"/>
      <c r="P199" s="7"/>
      <c r="Q199" s="7"/>
      <c r="R199" s="7"/>
    </row>
    <row r="200" spans="1:18" ht="15">
      <c r="A200" s="7"/>
      <c r="B200" s="7"/>
      <c r="C200" s="7"/>
      <c r="D200" s="7"/>
      <c r="E200" s="7"/>
      <c r="F200" s="7"/>
      <c r="G200" s="7"/>
      <c r="H200" s="7"/>
      <c r="I200" s="7"/>
      <c r="J200" s="7"/>
      <c r="K200" s="7"/>
      <c r="L200" s="7"/>
      <c r="M200" s="7"/>
      <c r="N200" s="122"/>
      <c r="O200" s="7"/>
      <c r="P200" s="7"/>
      <c r="Q200" s="7"/>
      <c r="R200" s="7"/>
    </row>
    <row r="201" spans="1:18" ht="15">
      <c r="A201" s="7"/>
      <c r="B201" s="7"/>
      <c r="C201" s="7"/>
      <c r="D201" s="7"/>
      <c r="E201" s="7"/>
      <c r="F201" s="7"/>
      <c r="G201" s="7"/>
      <c r="H201" s="7"/>
      <c r="I201" s="7"/>
      <c r="J201" s="7"/>
      <c r="K201" s="7"/>
      <c r="L201" s="7"/>
      <c r="M201" s="7"/>
      <c r="N201" s="122"/>
      <c r="O201" s="7"/>
      <c r="P201" s="7"/>
      <c r="Q201" s="7"/>
      <c r="R201" s="7"/>
    </row>
    <row r="202" spans="1:18" ht="15.75">
      <c r="A202" s="7"/>
      <c r="B202" s="7"/>
      <c r="C202" s="7"/>
      <c r="D202" s="7"/>
      <c r="E202" s="7"/>
      <c r="F202" s="7"/>
      <c r="G202" s="7"/>
      <c r="H202" s="7"/>
      <c r="I202" s="7"/>
      <c r="J202" s="7"/>
      <c r="K202" s="7"/>
      <c r="L202" s="7"/>
      <c r="M202" s="123"/>
      <c r="N202" s="7"/>
      <c r="O202" s="7"/>
      <c r="P202" s="7"/>
      <c r="Q202" s="7"/>
      <c r="R202" s="7"/>
    </row>
    <row r="203" spans="1:18" ht="15">
      <c r="A203" s="7"/>
      <c r="B203" s="7"/>
      <c r="C203" s="7"/>
      <c r="D203" s="7"/>
      <c r="E203" s="7"/>
      <c r="F203" s="7"/>
      <c r="G203" s="7"/>
      <c r="H203" s="7"/>
      <c r="I203" s="7"/>
      <c r="J203" s="7"/>
      <c r="K203" s="7"/>
      <c r="L203" s="7"/>
      <c r="M203" s="7"/>
      <c r="N203" s="7"/>
      <c r="O203" s="7"/>
      <c r="P203" s="7"/>
      <c r="Q203" s="7"/>
      <c r="R203" s="7"/>
    </row>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49" max="13" man="1"/>
    <brk id="102" max="13" man="1"/>
    <brk id="150" max="13" man="1"/>
  </rowBreaks>
  <drawing r:id="rId1"/>
</worksheet>
</file>

<file path=xl/worksheets/sheet10.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4.1054687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9.214843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37519</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25"/>
      <c r="J22" s="24"/>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163</v>
      </c>
      <c r="I25" s="33"/>
      <c r="J25" s="29"/>
      <c r="K25" s="30"/>
      <c r="L25" s="30"/>
      <c r="M25" s="27"/>
      <c r="N25" s="124"/>
    </row>
    <row r="26" spans="1:14" ht="15.75">
      <c r="A26" s="31"/>
      <c r="B26" s="32" t="s">
        <v>14</v>
      </c>
      <c r="C26" s="32"/>
      <c r="D26" s="33"/>
      <c r="E26" s="33"/>
      <c r="F26" s="33" t="s">
        <v>151</v>
      </c>
      <c r="G26" s="33"/>
      <c r="H26" s="33" t="s">
        <v>164</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0.827894</v>
      </c>
      <c r="D30" s="34"/>
      <c r="E30" s="35"/>
      <c r="F30" s="34">
        <f>166500*C30</f>
        <v>137844.351</v>
      </c>
      <c r="G30" s="34"/>
      <c r="H30" s="34">
        <v>18500</v>
      </c>
      <c r="I30" s="34"/>
      <c r="J30" s="34"/>
      <c r="K30" s="36"/>
      <c r="L30" s="34">
        <f>H30+F30</f>
        <v>156344.351</v>
      </c>
      <c r="M30" s="37"/>
      <c r="N30" s="124"/>
    </row>
    <row r="31" spans="1:14" ht="12.75" customHeight="1">
      <c r="A31" s="31"/>
      <c r="B31" s="32" t="s">
        <v>18</v>
      </c>
      <c r="C31" s="39">
        <v>0.793526</v>
      </c>
      <c r="D31" s="40"/>
      <c r="E31" s="41"/>
      <c r="F31" s="40">
        <f>166500*C31*1</f>
        <v>132122.079</v>
      </c>
      <c r="G31" s="40"/>
      <c r="H31" s="40">
        <v>18500</v>
      </c>
      <c r="I31" s="40"/>
      <c r="J31" s="40"/>
      <c r="K31" s="42"/>
      <c r="L31" s="40">
        <f>H31+F31+D31</f>
        <v>150622.079</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v>0.0448594</v>
      </c>
      <c r="G33" s="45"/>
      <c r="H33" s="44">
        <v>0.0506094</v>
      </c>
      <c r="I33" s="45"/>
      <c r="J33" s="44"/>
      <c r="K33" s="30"/>
      <c r="L33" s="45">
        <f>SUMPRODUCT(F33:H33,F30:H30)/L30</f>
        <v>0.045539789149461496</v>
      </c>
      <c r="M33" s="27"/>
      <c r="N33" s="124"/>
    </row>
    <row r="34" spans="1:14" ht="15.75">
      <c r="A34" s="26"/>
      <c r="B34" s="27" t="s">
        <v>21</v>
      </c>
      <c r="C34" s="27"/>
      <c r="D34" s="44"/>
      <c r="E34" s="27"/>
      <c r="F34" s="44">
        <v>0.0441125</v>
      </c>
      <c r="G34" s="45"/>
      <c r="H34" s="44">
        <v>0.0498625</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46"/>
      <c r="I38" s="46"/>
      <c r="J38" s="46"/>
      <c r="K38" s="46"/>
      <c r="L38" s="46"/>
      <c r="M38" s="27"/>
      <c r="N38" s="124"/>
    </row>
    <row r="39" spans="1:14" ht="15.75">
      <c r="A39" s="26"/>
      <c r="B39" s="27" t="s">
        <v>25</v>
      </c>
      <c r="C39" s="27"/>
      <c r="D39" s="27"/>
      <c r="E39" s="27"/>
      <c r="F39" s="27"/>
      <c r="G39" s="27"/>
      <c r="H39" s="1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0.14002201706196282</v>
      </c>
      <c r="M40" s="27"/>
      <c r="N40" s="124"/>
    </row>
    <row r="41" spans="1:14" ht="15.75">
      <c r="A41" s="26"/>
      <c r="B41" s="27" t="s">
        <v>27</v>
      </c>
      <c r="C41" s="27"/>
      <c r="D41" s="27"/>
      <c r="E41" s="27"/>
      <c r="F41" s="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37515</v>
      </c>
      <c r="M44" s="27"/>
      <c r="N44" s="124"/>
    </row>
    <row r="45" spans="1:14" ht="15.75">
      <c r="A45" s="26"/>
      <c r="B45" s="27" t="s">
        <v>30</v>
      </c>
      <c r="C45" s="27"/>
      <c r="D45" s="27"/>
      <c r="E45" s="27"/>
      <c r="F45" s="27"/>
      <c r="G45" s="27"/>
      <c r="H45" s="27"/>
      <c r="I45" s="27">
        <f>L45-J45+1</f>
        <v>94</v>
      </c>
      <c r="J45" s="50">
        <v>37330</v>
      </c>
      <c r="K45" s="51"/>
      <c r="L45" s="50">
        <v>37423</v>
      </c>
      <c r="M45" s="27"/>
      <c r="N45" s="124"/>
    </row>
    <row r="46" spans="1:14" ht="15.75">
      <c r="A46" s="26"/>
      <c r="B46" s="27" t="s">
        <v>31</v>
      </c>
      <c r="C46" s="27"/>
      <c r="D46" s="27"/>
      <c r="E46" s="27"/>
      <c r="F46" s="27"/>
      <c r="G46" s="27"/>
      <c r="H46" s="27"/>
      <c r="I46" s="27">
        <f>L46-J46+1</f>
        <v>91</v>
      </c>
      <c r="J46" s="50">
        <v>37424</v>
      </c>
      <c r="K46" s="51"/>
      <c r="L46" s="50">
        <v>37514</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37506</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9.5" thickBot="1">
      <c r="A51" s="129"/>
      <c r="B51" s="130" t="s">
        <v>204</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156344</v>
      </c>
      <c r="E56" s="37"/>
      <c r="F56" s="37">
        <f>5722+1565</f>
        <v>7287</v>
      </c>
      <c r="G56" s="37"/>
      <c r="H56" s="37">
        <v>1565</v>
      </c>
      <c r="I56" s="37"/>
      <c r="J56" s="37">
        <v>0</v>
      </c>
      <c r="K56" s="37"/>
      <c r="L56" s="58">
        <f>D56-F56+H56-J56</f>
        <v>150622</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156344</v>
      </c>
      <c r="E59" s="37"/>
      <c r="F59" s="37">
        <f>SUM(F56:F58)</f>
        <v>7287</v>
      </c>
      <c r="G59" s="37"/>
      <c r="H59" s="37">
        <f>SUM(H56:H58)</f>
        <v>1565</v>
      </c>
      <c r="I59" s="37"/>
      <c r="J59" s="37">
        <f>SUM(J56:J58)</f>
        <v>0</v>
      </c>
      <c r="K59" s="37"/>
      <c r="L59" s="59">
        <f>SUM(L56:L58)</f>
        <v>150622</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0</v>
      </c>
      <c r="E70" s="37"/>
      <c r="F70" s="37"/>
      <c r="G70" s="37"/>
      <c r="H70" s="37"/>
      <c r="I70" s="37"/>
      <c r="J70" s="37"/>
      <c r="K70" s="37"/>
      <c r="L70" s="59">
        <v>0</v>
      </c>
      <c r="M70" s="27"/>
      <c r="N70" s="124"/>
    </row>
    <row r="71" spans="1:14" ht="15.75">
      <c r="A71" s="26"/>
      <c r="B71" s="27" t="s">
        <v>44</v>
      </c>
      <c r="C71" s="59">
        <f>SUM(C59:C70)</f>
        <v>185000</v>
      </c>
      <c r="D71" s="59">
        <f>SUM(D59:D70)</f>
        <v>156344</v>
      </c>
      <c r="E71" s="37"/>
      <c r="F71" s="59"/>
      <c r="G71" s="37"/>
      <c r="H71" s="59"/>
      <c r="I71" s="37"/>
      <c r="J71" s="59"/>
      <c r="K71" s="37"/>
      <c r="L71" s="59">
        <f>SUM(L59:L70)</f>
        <v>150622</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37499</v>
      </c>
      <c r="E75" s="27"/>
      <c r="F75" s="27"/>
      <c r="G75" s="27"/>
      <c r="H75" s="27"/>
      <c r="I75" s="27"/>
      <c r="J75" s="37">
        <v>7287</v>
      </c>
      <c r="K75" s="27"/>
      <c r="L75" s="58"/>
      <c r="M75" s="27"/>
      <c r="N75" s="124"/>
    </row>
    <row r="76" spans="1:14" ht="15.75">
      <c r="A76" s="26"/>
      <c r="B76" s="27" t="s">
        <v>48</v>
      </c>
      <c r="C76" s="27"/>
      <c r="D76" s="27"/>
      <c r="E76" s="27"/>
      <c r="F76" s="27"/>
      <c r="G76" s="27"/>
      <c r="H76" s="27"/>
      <c r="I76" s="27"/>
      <c r="J76" s="37"/>
      <c r="K76" s="27"/>
      <c r="L76" s="58">
        <f>2229-4+358-5</f>
        <v>2578</v>
      </c>
      <c r="M76" s="27"/>
      <c r="N76" s="124"/>
    </row>
    <row r="77" spans="1:14" ht="15.75">
      <c r="A77" s="26"/>
      <c r="B77" s="27" t="s">
        <v>49</v>
      </c>
      <c r="C77" s="27"/>
      <c r="D77" s="27"/>
      <c r="E77" s="27"/>
      <c r="F77" s="27"/>
      <c r="G77" s="27"/>
      <c r="H77" s="27"/>
      <c r="I77" s="27"/>
      <c r="J77" s="37"/>
      <c r="K77" s="27"/>
      <c r="L77" s="58">
        <v>51</v>
      </c>
      <c r="M77" s="27"/>
      <c r="N77" s="124"/>
    </row>
    <row r="78" spans="1:14" ht="15.75">
      <c r="A78" s="26"/>
      <c r="B78" s="27" t="s">
        <v>50</v>
      </c>
      <c r="C78" s="27"/>
      <c r="D78" s="27"/>
      <c r="E78" s="27"/>
      <c r="F78" s="27"/>
      <c r="G78" s="27"/>
      <c r="H78" s="27"/>
      <c r="I78" s="27"/>
      <c r="J78" s="37">
        <f>SUM(J74:J77)</f>
        <v>7287</v>
      </c>
      <c r="K78" s="27"/>
      <c r="L78" s="59">
        <f>SUM(L74:L77)</f>
        <v>2629</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7287</v>
      </c>
      <c r="K80" s="27"/>
      <c r="L80" s="59">
        <f>L78+L79</f>
        <v>2629</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-98-9</f>
        <v>-107</v>
      </c>
      <c r="M84" s="27"/>
      <c r="N84" s="124"/>
    </row>
    <row r="85" spans="1:14" ht="15.75">
      <c r="A85" s="26">
        <v>4</v>
      </c>
      <c r="B85" s="27" t="s">
        <v>57</v>
      </c>
      <c r="C85" s="27"/>
      <c r="D85" s="27"/>
      <c r="E85" s="27"/>
      <c r="F85" s="27"/>
      <c r="G85" s="27"/>
      <c r="H85" s="27"/>
      <c r="I85" s="27"/>
      <c r="J85" s="27"/>
      <c r="K85" s="27"/>
      <c r="L85" s="58">
        <v>-222</v>
      </c>
      <c r="M85" s="27"/>
      <c r="N85" s="124"/>
    </row>
    <row r="86" spans="1:14" ht="15.75">
      <c r="A86" s="26">
        <v>5</v>
      </c>
      <c r="B86" s="27" t="s">
        <v>58</v>
      </c>
      <c r="C86" s="27"/>
      <c r="D86" s="27"/>
      <c r="E86" s="27"/>
      <c r="F86" s="27"/>
      <c r="G86" s="27"/>
      <c r="H86" s="27"/>
      <c r="I86" s="27"/>
      <c r="J86" s="27"/>
      <c r="K86" s="27"/>
      <c r="L86" s="58">
        <v>-1541</v>
      </c>
      <c r="M86" s="27"/>
      <c r="N86" s="124"/>
    </row>
    <row r="87" spans="1:14" ht="15.75">
      <c r="A87" s="26">
        <v>6</v>
      </c>
      <c r="B87" s="27" t="s">
        <v>59</v>
      </c>
      <c r="C87" s="27"/>
      <c r="D87" s="27"/>
      <c r="E87" s="27"/>
      <c r="F87" s="27"/>
      <c r="G87" s="27"/>
      <c r="H87" s="27"/>
      <c r="I87" s="27"/>
      <c r="J87" s="27"/>
      <c r="K87" s="27"/>
      <c r="L87" s="58">
        <v>-233</v>
      </c>
      <c r="M87" s="27"/>
      <c r="N87" s="124"/>
    </row>
    <row r="88" spans="1:14" ht="15.75">
      <c r="A88" s="26">
        <v>7</v>
      </c>
      <c r="B88" s="27" t="s">
        <v>60</v>
      </c>
      <c r="C88" s="27"/>
      <c r="D88" s="27"/>
      <c r="E88" s="27"/>
      <c r="F88" s="27"/>
      <c r="G88" s="27"/>
      <c r="H88" s="27"/>
      <c r="I88" s="27"/>
      <c r="J88" s="27"/>
      <c r="K88" s="27"/>
      <c r="L88" s="58">
        <v>-5</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-15-104</f>
        <v>-119</v>
      </c>
      <c r="M93" s="27"/>
      <c r="N93" s="124"/>
    </row>
    <row r="94" spans="1:14" ht="15.75">
      <c r="A94" s="26">
        <v>13</v>
      </c>
      <c r="B94" s="27" t="s">
        <v>66</v>
      </c>
      <c r="C94" s="27"/>
      <c r="D94" s="27"/>
      <c r="E94" s="27"/>
      <c r="F94" s="27"/>
      <c r="G94" s="27"/>
      <c r="H94" s="27"/>
      <c r="I94" s="27"/>
      <c r="J94" s="27"/>
      <c r="K94" s="27"/>
      <c r="L94" s="58">
        <f>-SUM(L80:L93)</f>
        <v>-398</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0</v>
      </c>
      <c r="K96" s="37"/>
      <c r="L96" s="58"/>
      <c r="M96" s="27"/>
      <c r="N96" s="124"/>
    </row>
    <row r="97" spans="1:14" ht="15.75">
      <c r="A97" s="26"/>
      <c r="B97" s="27" t="s">
        <v>69</v>
      </c>
      <c r="C97" s="27"/>
      <c r="D97" s="27"/>
      <c r="E97" s="27"/>
      <c r="F97" s="27"/>
      <c r="G97" s="27"/>
      <c r="H97" s="27"/>
      <c r="I97" s="27"/>
      <c r="J97" s="37">
        <f>-H141</f>
        <v>-1565</v>
      </c>
      <c r="K97" s="37"/>
      <c r="L97" s="58"/>
      <c r="M97" s="27"/>
      <c r="N97" s="124"/>
    </row>
    <row r="98" spans="1:14" ht="15.75">
      <c r="A98" s="26"/>
      <c r="B98" s="27" t="s">
        <v>70</v>
      </c>
      <c r="C98" s="27"/>
      <c r="D98" s="27"/>
      <c r="E98" s="27"/>
      <c r="F98" s="27"/>
      <c r="G98" s="27"/>
      <c r="H98" s="27"/>
      <c r="I98" s="27"/>
      <c r="J98" s="37">
        <v>-5722</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-7287</v>
      </c>
      <c r="K100" s="37"/>
      <c r="L100" s="37">
        <f>SUM(L81:L99)</f>
        <v>-2629</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6" t="str">
        <f>B51</f>
        <v>PM2 INVESTOR REPORT QUARTER ENDING AUGUST 2002</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v>0</v>
      </c>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30"/>
      <c r="D120" s="30"/>
      <c r="E120" s="30"/>
      <c r="F120" s="30"/>
      <c r="G120" s="30"/>
      <c r="H120" s="30"/>
      <c r="I120" s="30"/>
      <c r="J120" s="30"/>
      <c r="K120" s="30"/>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150622</v>
      </c>
      <c r="M134" s="27"/>
      <c r="N134" s="124"/>
    </row>
    <row r="135" spans="1:14" ht="15.75">
      <c r="A135" s="26"/>
      <c r="B135" s="27" t="s">
        <v>95</v>
      </c>
      <c r="C135" s="73"/>
      <c r="D135" s="27"/>
      <c r="E135" s="27"/>
      <c r="F135" s="27"/>
      <c r="G135" s="27"/>
      <c r="H135" s="27"/>
      <c r="I135" s="27"/>
      <c r="J135" s="27"/>
      <c r="K135" s="27"/>
      <c r="L135" s="58">
        <f>L71</f>
        <v>150622</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12644</v>
      </c>
      <c r="I140" s="27"/>
      <c r="J140" s="58">
        <v>561</v>
      </c>
      <c r="K140" s="27"/>
      <c r="L140" s="58">
        <f>J140+H140</f>
        <v>13205</v>
      </c>
      <c r="M140" s="27"/>
      <c r="N140" s="124"/>
    </row>
    <row r="141" spans="1:14" ht="15.75">
      <c r="A141" s="26"/>
      <c r="B141" s="27" t="s">
        <v>99</v>
      </c>
      <c r="C141" s="27"/>
      <c r="D141" s="27"/>
      <c r="E141" s="27"/>
      <c r="F141" s="27"/>
      <c r="G141" s="27"/>
      <c r="H141" s="58">
        <v>1565</v>
      </c>
      <c r="I141" s="27"/>
      <c r="J141" s="58">
        <v>0</v>
      </c>
      <c r="K141" s="27"/>
      <c r="L141" s="58">
        <f>J141+H141</f>
        <v>1565</v>
      </c>
      <c r="M141" s="27"/>
      <c r="N141" s="124"/>
    </row>
    <row r="142" spans="1:14" ht="15.75">
      <c r="A142" s="26"/>
      <c r="B142" s="27" t="s">
        <v>100</v>
      </c>
      <c r="C142" s="27"/>
      <c r="D142" s="27"/>
      <c r="E142" s="27"/>
      <c r="F142" s="27"/>
      <c r="G142" s="27"/>
      <c r="H142" s="58">
        <f>H140+H141</f>
        <v>14209</v>
      </c>
      <c r="I142" s="27"/>
      <c r="J142" s="58">
        <f>J141+J140</f>
        <v>561</v>
      </c>
      <c r="K142" s="27"/>
      <c r="L142" s="58">
        <f>J142+H142</f>
        <v>14770</v>
      </c>
      <c r="M142" s="27"/>
      <c r="N142" s="124"/>
    </row>
    <row r="143" spans="1:14" ht="15.75">
      <c r="A143" s="26"/>
      <c r="B143" s="27" t="s">
        <v>101</v>
      </c>
      <c r="C143" s="27"/>
      <c r="D143" s="27"/>
      <c r="E143" s="27"/>
      <c r="F143" s="27"/>
      <c r="G143" s="27"/>
      <c r="H143" s="58">
        <f>H139-H142-J142</f>
        <v>5230</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1.489941596365996</v>
      </c>
      <c r="M147" s="27" t="s">
        <v>189</v>
      </c>
      <c r="N147" s="124"/>
    </row>
    <row r="148" spans="1:14" ht="15.75">
      <c r="A148" s="26"/>
      <c r="B148" s="27" t="s">
        <v>104</v>
      </c>
      <c r="C148" s="27"/>
      <c r="D148" s="27"/>
      <c r="E148" s="27"/>
      <c r="F148" s="27"/>
      <c r="G148" s="27"/>
      <c r="H148" s="27"/>
      <c r="I148" s="27"/>
      <c r="J148" s="27"/>
      <c r="K148" s="27"/>
      <c r="L148" s="66">
        <v>1.35</v>
      </c>
      <c r="M148" s="27" t="s">
        <v>189</v>
      </c>
      <c r="N148" s="124"/>
    </row>
    <row r="149" spans="1:14" ht="15.75">
      <c r="A149" s="26"/>
      <c r="B149" s="27" t="s">
        <v>105</v>
      </c>
      <c r="C149" s="27"/>
      <c r="D149" s="27"/>
      <c r="E149" s="27"/>
      <c r="F149" s="27"/>
      <c r="G149" s="27"/>
      <c r="H149" s="27"/>
      <c r="I149" s="27"/>
      <c r="J149" s="27"/>
      <c r="K149" s="27"/>
      <c r="L149" s="66">
        <f>(L80+SUM(L82:L86))/-L87</f>
        <v>3.240343347639485</v>
      </c>
      <c r="M149" s="27" t="s">
        <v>189</v>
      </c>
      <c r="N149" s="124"/>
    </row>
    <row r="150" spans="1:14" ht="15.75">
      <c r="A150" s="26"/>
      <c r="B150" s="27" t="s">
        <v>106</v>
      </c>
      <c r="C150" s="27"/>
      <c r="D150" s="27"/>
      <c r="E150" s="27"/>
      <c r="F150" s="27"/>
      <c r="G150" s="27"/>
      <c r="H150" s="27"/>
      <c r="I150" s="27"/>
      <c r="J150" s="27"/>
      <c r="K150" s="27"/>
      <c r="L150" s="75">
        <v>2.71</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6.5" thickBot="1">
      <c r="A153" s="129"/>
      <c r="B153" s="136" t="str">
        <f>B104</f>
        <v>PM2 INVESTOR REPORT QUARTER ENDING AUGUST 2002</v>
      </c>
      <c r="C153" s="131"/>
      <c r="D153" s="131"/>
      <c r="E153" s="131"/>
      <c r="F153" s="131"/>
      <c r="G153" s="131"/>
      <c r="H153" s="131"/>
      <c r="I153" s="131"/>
      <c r="J153" s="131"/>
      <c r="K153" s="131"/>
      <c r="L153" s="131"/>
      <c r="M153" s="134"/>
      <c r="N153" s="124"/>
    </row>
    <row r="154" spans="1:14" ht="15.75">
      <c r="A154" s="2"/>
      <c r="B154" s="76"/>
      <c r="C154" s="76"/>
      <c r="D154" s="76"/>
      <c r="E154" s="76"/>
      <c r="F154" s="76"/>
      <c r="G154" s="76"/>
      <c r="H154" s="76"/>
      <c r="I154" s="76"/>
      <c r="J154" s="76"/>
      <c r="K154" s="76"/>
      <c r="L154" s="76"/>
      <c r="M154" s="76"/>
      <c r="N154" s="124"/>
    </row>
    <row r="155" spans="1:14" ht="15.75">
      <c r="A155" s="77"/>
      <c r="B155" s="56" t="s">
        <v>107</v>
      </c>
      <c r="C155" s="78"/>
      <c r="D155" s="78"/>
      <c r="E155" s="78"/>
      <c r="F155" s="78"/>
      <c r="G155" s="20"/>
      <c r="H155" s="20"/>
      <c r="I155" s="20"/>
      <c r="J155" s="20">
        <v>37499</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0.0621</v>
      </c>
      <c r="K160" s="27"/>
      <c r="L160" s="27"/>
      <c r="M160" s="27"/>
      <c r="N160" s="124"/>
    </row>
    <row r="161" spans="1:14" ht="15.75">
      <c r="A161" s="84"/>
      <c r="B161" s="85" t="s">
        <v>112</v>
      </c>
      <c r="C161" s="86"/>
      <c r="D161" s="86"/>
      <c r="E161" s="86"/>
      <c r="F161" s="86"/>
      <c r="G161" s="72"/>
      <c r="H161" s="72"/>
      <c r="I161" s="72"/>
      <c r="J161" s="87">
        <f>L33</f>
        <v>0.045539789149461496</v>
      </c>
      <c r="K161" s="27"/>
      <c r="L161" s="27"/>
      <c r="M161" s="27"/>
      <c r="N161" s="124"/>
    </row>
    <row r="162" spans="1:14" ht="15.75">
      <c r="A162" s="84"/>
      <c r="B162" s="85" t="s">
        <v>113</v>
      </c>
      <c r="C162" s="86"/>
      <c r="D162" s="86"/>
      <c r="E162" s="86"/>
      <c r="F162" s="86"/>
      <c r="G162" s="72"/>
      <c r="H162" s="72"/>
      <c r="I162" s="72"/>
      <c r="J162" s="87">
        <f>J160-J161</f>
        <v>0.016560210850538506</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17.29</v>
      </c>
      <c r="K166" s="27" t="s">
        <v>182</v>
      </c>
      <c r="L166" s="27"/>
      <c r="M166" s="27"/>
      <c r="N166" s="124"/>
    </row>
    <row r="167" spans="1:14" ht="15.75">
      <c r="A167" s="84"/>
      <c r="B167" s="85" t="s">
        <v>118</v>
      </c>
      <c r="C167" s="86"/>
      <c r="D167" s="86"/>
      <c r="E167" s="86"/>
      <c r="F167" s="86"/>
      <c r="G167" s="72"/>
      <c r="H167" s="72"/>
      <c r="I167" s="72"/>
      <c r="J167" s="87">
        <f>F56/'May 2002'!L56</f>
        <v>0.0466087601698818</v>
      </c>
      <c r="K167" s="27"/>
      <c r="L167" s="27"/>
      <c r="M167" s="27"/>
      <c r="N167" s="124"/>
    </row>
    <row r="168" spans="1:14" ht="15.75">
      <c r="A168" s="84"/>
      <c r="B168" s="85" t="s">
        <v>119</v>
      </c>
      <c r="C168" s="86"/>
      <c r="D168" s="86"/>
      <c r="E168" s="86"/>
      <c r="F168" s="86"/>
      <c r="G168" s="72"/>
      <c r="H168" s="72"/>
      <c r="I168" s="72"/>
      <c r="J168" s="87">
        <v>0.1109</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f>13+2</f>
        <v>15</v>
      </c>
      <c r="J171" s="96">
        <f>465+159</f>
        <v>624</v>
      </c>
      <c r="K171" s="27"/>
      <c r="L171" s="90"/>
      <c r="M171" s="97"/>
      <c r="N171" s="124"/>
    </row>
    <row r="172" spans="1:14" ht="15.75">
      <c r="A172" s="95"/>
      <c r="B172" s="85" t="s">
        <v>122</v>
      </c>
      <c r="C172" s="59"/>
      <c r="D172" s="59"/>
      <c r="E172" s="59"/>
      <c r="F172" s="27"/>
      <c r="G172" s="27"/>
      <c r="H172" s="27"/>
      <c r="I172" s="28">
        <v>1</v>
      </c>
      <c r="J172" s="96">
        <v>36</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0</v>
      </c>
      <c r="J176" s="96">
        <v>0</v>
      </c>
      <c r="K176" s="27"/>
      <c r="L176" s="90"/>
      <c r="M176" s="99"/>
      <c r="N176" s="124"/>
    </row>
    <row r="177" spans="1:14" ht="15.75">
      <c r="A177" s="95"/>
      <c r="B177" s="85" t="s">
        <v>127</v>
      </c>
      <c r="C177" s="59"/>
      <c r="D177" s="59"/>
      <c r="E177" s="59"/>
      <c r="F177" s="59"/>
      <c r="G177" s="27"/>
      <c r="H177" s="27"/>
      <c r="I177" s="27">
        <v>1</v>
      </c>
      <c r="J177" s="96">
        <v>1</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v>1</v>
      </c>
      <c r="J180" s="96">
        <v>53</v>
      </c>
      <c r="K180" s="27"/>
      <c r="L180" s="90"/>
      <c r="M180" s="99"/>
      <c r="N180" s="124"/>
    </row>
    <row r="181" spans="1:14" ht="15.75">
      <c r="A181" s="95"/>
      <c r="B181" s="85" t="s">
        <v>130</v>
      </c>
      <c r="C181" s="59"/>
      <c r="D181" s="100"/>
      <c r="E181" s="100"/>
      <c r="F181" s="101"/>
      <c r="G181" s="27"/>
      <c r="H181" s="27"/>
      <c r="I181" s="27"/>
      <c r="J181" s="96">
        <v>9</v>
      </c>
      <c r="K181" s="27"/>
      <c r="L181" s="90"/>
      <c r="M181" s="99"/>
      <c r="N181" s="124"/>
    </row>
    <row r="182" spans="1:14" ht="15.75">
      <c r="A182" s="95"/>
      <c r="B182" s="85" t="s">
        <v>131</v>
      </c>
      <c r="C182" s="59"/>
      <c r="D182" s="100"/>
      <c r="E182" s="100"/>
      <c r="F182" s="101"/>
      <c r="G182" s="27"/>
      <c r="H182" s="27"/>
      <c r="I182" s="27"/>
      <c r="J182" s="96">
        <v>18.875</v>
      </c>
      <c r="K182" s="27"/>
      <c r="L182" s="90"/>
      <c r="M182" s="99"/>
      <c r="N182" s="124"/>
    </row>
    <row r="183" spans="1:14" ht="15.75">
      <c r="A183" s="95"/>
      <c r="B183" s="85" t="s">
        <v>132</v>
      </c>
      <c r="C183" s="59"/>
      <c r="D183" s="102"/>
      <c r="E183" s="100"/>
      <c r="F183" s="101"/>
      <c r="G183" s="27"/>
      <c r="H183" s="27"/>
      <c r="I183" s="27"/>
      <c r="J183" s="103">
        <v>1.117</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2646</v>
      </c>
      <c r="I186" s="105">
        <f>H186/H191</f>
        <v>0.9862094670145359</v>
      </c>
      <c r="J186" s="58">
        <v>149348</v>
      </c>
      <c r="K186" s="106">
        <f>J186/J191</f>
        <v>0.9915417402504282</v>
      </c>
      <c r="L186" s="90"/>
      <c r="M186" s="99"/>
      <c r="N186" s="124"/>
    </row>
    <row r="187" spans="1:14" ht="15.75">
      <c r="A187" s="26"/>
      <c r="B187" s="59" t="s">
        <v>135</v>
      </c>
      <c r="C187" s="105"/>
      <c r="D187" s="59"/>
      <c r="E187" s="105"/>
      <c r="F187" s="27"/>
      <c r="G187" s="107"/>
      <c r="H187" s="59">
        <v>12</v>
      </c>
      <c r="I187" s="105">
        <f>H187/H191</f>
        <v>0.004472605292582929</v>
      </c>
      <c r="J187" s="58">
        <v>371</v>
      </c>
      <c r="K187" s="106">
        <f>J187/J191</f>
        <v>0.0024631195974027698</v>
      </c>
      <c r="L187" s="90"/>
      <c r="M187" s="99"/>
      <c r="N187" s="124"/>
    </row>
    <row r="188" spans="1:14" ht="15.75">
      <c r="A188" s="26"/>
      <c r="B188" s="59" t="s">
        <v>136</v>
      </c>
      <c r="C188" s="105"/>
      <c r="D188" s="59"/>
      <c r="E188" s="105"/>
      <c r="F188" s="27"/>
      <c r="G188" s="107"/>
      <c r="H188" s="59">
        <v>10</v>
      </c>
      <c r="I188" s="105">
        <f>H188/H191</f>
        <v>0.003727171077152441</v>
      </c>
      <c r="J188" s="58">
        <v>307</v>
      </c>
      <c r="K188" s="106">
        <f>J188/J191</f>
        <v>0.0020382148690098393</v>
      </c>
      <c r="L188" s="90"/>
      <c r="M188" s="99"/>
      <c r="N188" s="124"/>
    </row>
    <row r="189" spans="1:14" ht="15.75">
      <c r="A189" s="26"/>
      <c r="B189" s="59" t="s">
        <v>137</v>
      </c>
      <c r="C189" s="105"/>
      <c r="D189" s="59"/>
      <c r="E189" s="105"/>
      <c r="F189" s="27"/>
      <c r="G189" s="107"/>
      <c r="H189" s="59">
        <f>3+3+9</f>
        <v>15</v>
      </c>
      <c r="I189" s="105">
        <f>H189/H191</f>
        <v>0.005590756615728662</v>
      </c>
      <c r="J189" s="58">
        <f>224+81+291</f>
        <v>596</v>
      </c>
      <c r="K189" s="106">
        <f>J189/$J191</f>
        <v>0.003956925283159166</v>
      </c>
      <c r="L189" s="90"/>
      <c r="M189" s="99"/>
      <c r="N189" s="124"/>
    </row>
    <row r="190" spans="1:14" ht="15.75">
      <c r="A190" s="26"/>
      <c r="B190" s="30"/>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2683</v>
      </c>
      <c r="I191" s="109">
        <f>SUM(I186:I190)</f>
        <v>1</v>
      </c>
      <c r="J191" s="58">
        <f>SUM(J186:J190)</f>
        <v>150622</v>
      </c>
      <c r="K191" s="109">
        <f>SUM(K186:K190)</f>
        <v>0.9999999999999999</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5"/>
      <c r="K194" s="15"/>
      <c r="L194" s="15"/>
      <c r="M194" s="15"/>
      <c r="N194" s="124"/>
    </row>
    <row r="195" spans="1:14" ht="15.75">
      <c r="A195" s="117"/>
      <c r="B195" s="15"/>
      <c r="C195" s="15"/>
      <c r="D195" s="10"/>
      <c r="E195" s="10"/>
      <c r="F195" s="10"/>
      <c r="G195" s="15"/>
      <c r="H195" s="15"/>
      <c r="I195" s="15"/>
      <c r="J195" s="15"/>
      <c r="K195" s="15"/>
      <c r="L195" s="15"/>
      <c r="M195" s="15"/>
      <c r="N195" s="124"/>
    </row>
    <row r="196" spans="1:14" ht="15.75">
      <c r="A196" s="117"/>
      <c r="B196" s="16" t="s">
        <v>139</v>
      </c>
      <c r="C196" s="118"/>
      <c r="D196" s="119" t="s">
        <v>147</v>
      </c>
      <c r="E196" s="16"/>
      <c r="F196" s="16" t="s">
        <v>160</v>
      </c>
      <c r="G196" s="118"/>
      <c r="H196" s="118"/>
      <c r="I196" s="15"/>
      <c r="J196" s="15"/>
      <c r="K196" s="15"/>
      <c r="L196" s="15"/>
      <c r="M196" s="15"/>
      <c r="N196" s="124"/>
    </row>
    <row r="197" spans="1:14" ht="15.75">
      <c r="A197" s="117"/>
      <c r="B197" s="16" t="s">
        <v>140</v>
      </c>
      <c r="C197" s="118"/>
      <c r="D197" s="119" t="s">
        <v>148</v>
      </c>
      <c r="E197" s="16"/>
      <c r="F197" s="16" t="s">
        <v>161</v>
      </c>
      <c r="G197" s="118"/>
      <c r="H197" s="118"/>
      <c r="I197" s="15"/>
      <c r="J197" s="15"/>
      <c r="K197" s="15"/>
      <c r="L197" s="15"/>
      <c r="M197" s="15"/>
      <c r="N197" s="124"/>
    </row>
    <row r="198" spans="1:14" ht="15.75">
      <c r="A198" s="117"/>
      <c r="B198" s="16"/>
      <c r="C198" s="118"/>
      <c r="D198" s="119"/>
      <c r="E198" s="16"/>
      <c r="F198" s="16"/>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5.75">
      <c r="A200" s="117"/>
      <c r="B200" s="16" t="str">
        <f>B153</f>
        <v>PM2 INVESTOR REPORT QUARTER ENDING AUGUST 2002</v>
      </c>
      <c r="C200" s="118"/>
      <c r="D200" s="119"/>
      <c r="E200" s="16"/>
      <c r="F200" s="16"/>
      <c r="G200" s="118"/>
      <c r="H200" s="118"/>
      <c r="I200" s="15"/>
      <c r="J200" s="15"/>
      <c r="K200" s="15"/>
      <c r="L200" s="15"/>
      <c r="M200" s="15"/>
      <c r="N200" s="124"/>
    </row>
    <row r="201" spans="1:13" ht="15">
      <c r="A201" s="125"/>
      <c r="B201" s="125"/>
      <c r="C201" s="125"/>
      <c r="D201" s="125"/>
      <c r="E201" s="125"/>
      <c r="F201" s="125"/>
      <c r="G201" s="125"/>
      <c r="H201" s="125"/>
      <c r="I201" s="125"/>
      <c r="J201" s="125"/>
      <c r="K201" s="125"/>
      <c r="L201" s="125"/>
      <c r="M201"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1.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5.777343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37606</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25"/>
      <c r="J22" s="24"/>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206</v>
      </c>
      <c r="I25" s="33"/>
      <c r="J25" s="29"/>
      <c r="K25" s="30"/>
      <c r="L25" s="30"/>
      <c r="M25" s="27"/>
      <c r="N25" s="124"/>
    </row>
    <row r="26" spans="1:14" ht="15.75">
      <c r="A26" s="31"/>
      <c r="B26" s="32" t="s">
        <v>14</v>
      </c>
      <c r="C26" s="32"/>
      <c r="D26" s="33"/>
      <c r="E26" s="33"/>
      <c r="F26" s="33" t="s">
        <v>151</v>
      </c>
      <c r="G26" s="33"/>
      <c r="H26" s="33" t="s">
        <v>207</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0.793526</v>
      </c>
      <c r="D30" s="34"/>
      <c r="E30" s="35"/>
      <c r="F30" s="34">
        <f>166500*C30</f>
        <v>132122.079</v>
      </c>
      <c r="G30" s="34"/>
      <c r="H30" s="34">
        <v>18500</v>
      </c>
      <c r="I30" s="34"/>
      <c r="J30" s="34"/>
      <c r="K30" s="36"/>
      <c r="L30" s="34">
        <f>H30+F30</f>
        <v>150622.079</v>
      </c>
      <c r="M30" s="37"/>
      <c r="N30" s="124"/>
    </row>
    <row r="31" spans="1:14" ht="12.75" customHeight="1">
      <c r="A31" s="31"/>
      <c r="B31" s="32" t="s">
        <v>18</v>
      </c>
      <c r="C31" s="39">
        <v>0.752662</v>
      </c>
      <c r="D31" s="40"/>
      <c r="E31" s="41"/>
      <c r="F31" s="40">
        <f>166500*C31*1</f>
        <v>125318.22300000001</v>
      </c>
      <c r="G31" s="40"/>
      <c r="H31" s="40">
        <v>18500</v>
      </c>
      <c r="I31" s="40"/>
      <c r="J31" s="40"/>
      <c r="K31" s="42"/>
      <c r="L31" s="40">
        <f>H31+F31+D31</f>
        <v>143818.223</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v>0.043</v>
      </c>
      <c r="G33" s="45"/>
      <c r="H33" s="44">
        <v>0.04875</v>
      </c>
      <c r="I33" s="45"/>
      <c r="J33" s="44"/>
      <c r="K33" s="30"/>
      <c r="L33" s="45">
        <f>SUMPRODUCT(F33:H33,F30:H30)/L30</f>
        <v>0.04370623776212782</v>
      </c>
      <c r="M33" s="27"/>
      <c r="N33" s="124"/>
    </row>
    <row r="34" spans="1:14" ht="15.75">
      <c r="A34" s="26"/>
      <c r="B34" s="27" t="s">
        <v>21</v>
      </c>
      <c r="C34" s="27"/>
      <c r="D34" s="44"/>
      <c r="E34" s="27"/>
      <c r="F34" s="44">
        <v>0.0448594</v>
      </c>
      <c r="G34" s="45"/>
      <c r="H34" s="44">
        <v>0.0506094</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128"/>
      <c r="I38" s="46"/>
      <c r="J38" s="46"/>
      <c r="K38" s="46"/>
      <c r="L38" s="46"/>
      <c r="M38" s="27"/>
      <c r="N38" s="124"/>
    </row>
    <row r="39" spans="1:14" ht="15.75">
      <c r="A39" s="26"/>
      <c r="B39" s="27" t="s">
        <v>25</v>
      </c>
      <c r="C39" s="27"/>
      <c r="D39" s="27"/>
      <c r="E39" s="27"/>
      <c r="F39" s="27"/>
      <c r="G39" s="27"/>
      <c r="H39" s="1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0.14762418072270303</v>
      </c>
      <c r="M40" s="27"/>
      <c r="N40" s="124"/>
    </row>
    <row r="41" spans="1:14" ht="15.75">
      <c r="A41" s="26"/>
      <c r="B41" s="27" t="s">
        <v>27</v>
      </c>
      <c r="C41" s="27"/>
      <c r="D41" s="27"/>
      <c r="E41" s="27"/>
      <c r="F41" s="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37606</v>
      </c>
      <c r="M44" s="27"/>
      <c r="N44" s="124"/>
    </row>
    <row r="45" spans="1:14" ht="15.75">
      <c r="A45" s="26"/>
      <c r="B45" s="27" t="s">
        <v>30</v>
      </c>
      <c r="C45" s="27"/>
      <c r="D45" s="27"/>
      <c r="E45" s="27"/>
      <c r="F45" s="27"/>
      <c r="G45" s="27"/>
      <c r="H45" s="27"/>
      <c r="I45" s="27">
        <f>L45-J45+1</f>
        <v>91</v>
      </c>
      <c r="J45" s="50">
        <v>37424</v>
      </c>
      <c r="K45" s="51"/>
      <c r="L45" s="50">
        <v>37514</v>
      </c>
      <c r="M45" s="27"/>
      <c r="N45" s="124"/>
    </row>
    <row r="46" spans="1:14" ht="15.75">
      <c r="A46" s="26"/>
      <c r="B46" s="27" t="s">
        <v>31</v>
      </c>
      <c r="C46" s="27"/>
      <c r="D46" s="27"/>
      <c r="E46" s="27"/>
      <c r="F46" s="27"/>
      <c r="G46" s="27"/>
      <c r="H46" s="27"/>
      <c r="I46" s="27">
        <f>L46-J46+1</f>
        <v>91</v>
      </c>
      <c r="J46" s="50">
        <v>37515</v>
      </c>
      <c r="K46" s="51"/>
      <c r="L46" s="50">
        <v>37605</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37595</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9.5" thickBot="1">
      <c r="A51" s="129"/>
      <c r="B51" s="130" t="s">
        <v>205</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150622</v>
      </c>
      <c r="E56" s="37"/>
      <c r="F56" s="37">
        <f>6804+1942+2</f>
        <v>8748</v>
      </c>
      <c r="G56" s="37"/>
      <c r="H56" s="37">
        <v>1942</v>
      </c>
      <c r="I56" s="37"/>
      <c r="J56" s="37">
        <v>0</v>
      </c>
      <c r="K56" s="37"/>
      <c r="L56" s="58">
        <f>D56-F56+H56-J56</f>
        <v>143816</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150622</v>
      </c>
      <c r="E59" s="37"/>
      <c r="F59" s="37">
        <f>SUM(F56:F58)</f>
        <v>8748</v>
      </c>
      <c r="G59" s="37"/>
      <c r="H59" s="37">
        <f>SUM(H56:H58)</f>
        <v>1942</v>
      </c>
      <c r="I59" s="37"/>
      <c r="J59" s="37">
        <f>SUM(J56:J58)</f>
        <v>0</v>
      </c>
      <c r="K59" s="37"/>
      <c r="L59" s="59">
        <f>SUM(L56:L58)</f>
        <v>143816</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0</v>
      </c>
      <c r="E70" s="37"/>
      <c r="F70" s="37"/>
      <c r="G70" s="37"/>
      <c r="H70" s="37"/>
      <c r="I70" s="37"/>
      <c r="J70" s="37"/>
      <c r="K70" s="37"/>
      <c r="L70" s="59">
        <v>2</v>
      </c>
      <c r="M70" s="27"/>
      <c r="N70" s="124"/>
    </row>
    <row r="71" spans="1:14" ht="15.75">
      <c r="A71" s="26"/>
      <c r="B71" s="27" t="s">
        <v>44</v>
      </c>
      <c r="C71" s="59">
        <f>SUM(C59:C70)</f>
        <v>185000</v>
      </c>
      <c r="D71" s="59">
        <f>SUM(D59:D70)</f>
        <v>150622</v>
      </c>
      <c r="E71" s="37"/>
      <c r="F71" s="59"/>
      <c r="G71" s="37"/>
      <c r="H71" s="59"/>
      <c r="I71" s="37"/>
      <c r="J71" s="59"/>
      <c r="K71" s="37"/>
      <c r="L71" s="59">
        <f>SUM(L59:L70)</f>
        <v>143818</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37590</v>
      </c>
      <c r="E75" s="27"/>
      <c r="F75" s="27"/>
      <c r="G75" s="27"/>
      <c r="H75" s="27"/>
      <c r="I75" s="27"/>
      <c r="J75" s="37">
        <v>8746</v>
      </c>
      <c r="K75" s="27"/>
      <c r="L75" s="58"/>
      <c r="M75" s="27"/>
      <c r="N75" s="124"/>
    </row>
    <row r="76" spans="1:14" ht="15.75">
      <c r="A76" s="26"/>
      <c r="B76" s="27" t="s">
        <v>48</v>
      </c>
      <c r="C76" s="27"/>
      <c r="D76" s="27"/>
      <c r="E76" s="27"/>
      <c r="F76" s="27"/>
      <c r="G76" s="27"/>
      <c r="H76" s="27"/>
      <c r="I76" s="27"/>
      <c r="J76" s="37"/>
      <c r="K76" s="27"/>
      <c r="L76" s="58">
        <f>2109-4+341-5</f>
        <v>2441</v>
      </c>
      <c r="M76" s="27"/>
      <c r="N76" s="124"/>
    </row>
    <row r="77" spans="1:14" ht="15.75">
      <c r="A77" s="26"/>
      <c r="B77" s="27" t="s">
        <v>49</v>
      </c>
      <c r="C77" s="27"/>
      <c r="D77" s="27"/>
      <c r="E77" s="27"/>
      <c r="F77" s="27"/>
      <c r="G77" s="27"/>
      <c r="H77" s="27"/>
      <c r="I77" s="27"/>
      <c r="J77" s="37"/>
      <c r="K77" s="27"/>
      <c r="L77" s="58">
        <v>0</v>
      </c>
      <c r="M77" s="27"/>
      <c r="N77" s="124"/>
    </row>
    <row r="78" spans="1:14" ht="15.75">
      <c r="A78" s="26"/>
      <c r="B78" s="27" t="s">
        <v>50</v>
      </c>
      <c r="C78" s="27"/>
      <c r="D78" s="27"/>
      <c r="E78" s="27"/>
      <c r="F78" s="27"/>
      <c r="G78" s="27"/>
      <c r="H78" s="27"/>
      <c r="I78" s="27"/>
      <c r="J78" s="37">
        <f>SUM(J74:J77)</f>
        <v>8746</v>
      </c>
      <c r="K78" s="27"/>
      <c r="L78" s="59">
        <f>SUM(L74:L77)</f>
        <v>2441</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8746</v>
      </c>
      <c r="K80" s="27"/>
      <c r="L80" s="59">
        <f>L78+L79</f>
        <v>2441</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-113-9</f>
        <v>-122</v>
      </c>
      <c r="M84" s="27"/>
      <c r="N84" s="124"/>
    </row>
    <row r="85" spans="1:14" ht="15.75">
      <c r="A85" s="26">
        <v>4</v>
      </c>
      <c r="B85" s="27" t="s">
        <v>57</v>
      </c>
      <c r="C85" s="27"/>
      <c r="D85" s="27"/>
      <c r="E85" s="27"/>
      <c r="F85" s="27"/>
      <c r="G85" s="27"/>
      <c r="H85" s="27"/>
      <c r="I85" s="27"/>
      <c r="J85" s="27"/>
      <c r="K85" s="27"/>
      <c r="L85" s="58">
        <v>-176</v>
      </c>
      <c r="M85" s="27"/>
      <c r="N85" s="124"/>
    </row>
    <row r="86" spans="1:14" ht="15.75">
      <c r="A86" s="26">
        <v>5</v>
      </c>
      <c r="B86" s="27" t="s">
        <v>58</v>
      </c>
      <c r="C86" s="27"/>
      <c r="D86" s="27"/>
      <c r="E86" s="27"/>
      <c r="F86" s="27"/>
      <c r="G86" s="27"/>
      <c r="H86" s="27"/>
      <c r="I86" s="27"/>
      <c r="J86" s="27"/>
      <c r="K86" s="27"/>
      <c r="L86" s="58">
        <v>-1416</v>
      </c>
      <c r="M86" s="27"/>
      <c r="N86" s="124"/>
    </row>
    <row r="87" spans="1:14" ht="15.75">
      <c r="A87" s="26">
        <v>6</v>
      </c>
      <c r="B87" s="27" t="s">
        <v>59</v>
      </c>
      <c r="C87" s="27"/>
      <c r="D87" s="27"/>
      <c r="E87" s="27"/>
      <c r="F87" s="27"/>
      <c r="G87" s="27"/>
      <c r="H87" s="27"/>
      <c r="I87" s="27"/>
      <c r="J87" s="27"/>
      <c r="K87" s="27"/>
      <c r="L87" s="58">
        <v>-225</v>
      </c>
      <c r="M87" s="27"/>
      <c r="N87" s="124"/>
    </row>
    <row r="88" spans="1:14" ht="15.75">
      <c r="A88" s="26">
        <v>7</v>
      </c>
      <c r="B88" s="27" t="s">
        <v>60</v>
      </c>
      <c r="C88" s="27"/>
      <c r="D88" s="27"/>
      <c r="E88" s="27"/>
      <c r="F88" s="27"/>
      <c r="G88" s="27"/>
      <c r="H88" s="27"/>
      <c r="I88" s="27"/>
      <c r="J88" s="27"/>
      <c r="K88" s="27"/>
      <c r="L88" s="58">
        <v>-5</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-2</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-13-104</f>
        <v>-117</v>
      </c>
      <c r="M93" s="27"/>
      <c r="N93" s="124"/>
    </row>
    <row r="94" spans="1:14" ht="15.75">
      <c r="A94" s="26">
        <v>13</v>
      </c>
      <c r="B94" s="27" t="s">
        <v>66</v>
      </c>
      <c r="C94" s="27"/>
      <c r="D94" s="27"/>
      <c r="E94" s="27"/>
      <c r="F94" s="27"/>
      <c r="G94" s="27"/>
      <c r="H94" s="27"/>
      <c r="I94" s="27"/>
      <c r="J94" s="27"/>
      <c r="K94" s="27"/>
      <c r="L94" s="58">
        <f>-SUM(L80:L93)</f>
        <v>-374</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0</v>
      </c>
      <c r="K96" s="37"/>
      <c r="L96" s="58"/>
      <c r="M96" s="27"/>
      <c r="N96" s="124"/>
    </row>
    <row r="97" spans="1:14" ht="15.75">
      <c r="A97" s="26"/>
      <c r="B97" s="27" t="s">
        <v>69</v>
      </c>
      <c r="C97" s="27"/>
      <c r="D97" s="27"/>
      <c r="E97" s="27"/>
      <c r="F97" s="27"/>
      <c r="G97" s="27"/>
      <c r="H97" s="27"/>
      <c r="I97" s="27"/>
      <c r="J97" s="37">
        <f>-H141</f>
        <v>-1942</v>
      </c>
      <c r="K97" s="37"/>
      <c r="L97" s="58"/>
      <c r="M97" s="27"/>
      <c r="N97" s="124"/>
    </row>
    <row r="98" spans="1:14" ht="15.75">
      <c r="A98" s="26"/>
      <c r="B98" s="27" t="s">
        <v>70</v>
      </c>
      <c r="C98" s="27"/>
      <c r="D98" s="27"/>
      <c r="E98" s="27"/>
      <c r="F98" s="27"/>
      <c r="G98" s="27"/>
      <c r="H98" s="27"/>
      <c r="I98" s="27"/>
      <c r="J98" s="37">
        <v>-6804</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-8746</v>
      </c>
      <c r="K100" s="37"/>
      <c r="L100" s="37">
        <f>SUM(L81:L99)</f>
        <v>-2441</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6" t="str">
        <f>B51</f>
        <v>PM2 INVESTOR REPORT QUARTER ENDING NOVEMBER 2002</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v>0</v>
      </c>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30"/>
      <c r="D120" s="30"/>
      <c r="E120" s="30"/>
      <c r="F120" s="30"/>
      <c r="G120" s="30"/>
      <c r="H120" s="30"/>
      <c r="I120" s="30"/>
      <c r="J120" s="30"/>
      <c r="K120" s="30"/>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2</v>
      </c>
      <c r="M126" s="27"/>
      <c r="N126" s="124"/>
    </row>
    <row r="127" spans="1:14" ht="15.75">
      <c r="A127" s="26"/>
      <c r="B127" s="27" t="s">
        <v>90</v>
      </c>
      <c r="C127" s="27"/>
      <c r="D127" s="27"/>
      <c r="E127" s="27"/>
      <c r="F127" s="27"/>
      <c r="G127" s="27"/>
      <c r="H127" s="27"/>
      <c r="I127" s="27"/>
      <c r="J127" s="27"/>
      <c r="K127" s="27"/>
      <c r="L127" s="58">
        <f>L126+L125</f>
        <v>2</v>
      </c>
      <c r="M127" s="27"/>
      <c r="N127" s="124"/>
    </row>
    <row r="128" spans="1:14" ht="15.75">
      <c r="A128" s="26"/>
      <c r="B128" s="27" t="s">
        <v>91</v>
      </c>
      <c r="C128" s="27"/>
      <c r="D128" s="27"/>
      <c r="E128" s="27"/>
      <c r="F128" s="27"/>
      <c r="G128" s="27"/>
      <c r="H128" s="72"/>
      <c r="I128" s="27"/>
      <c r="J128" s="27"/>
      <c r="K128" s="27"/>
      <c r="L128" s="58">
        <v>-2</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143816</v>
      </c>
      <c r="M134" s="27"/>
      <c r="N134" s="124"/>
    </row>
    <row r="135" spans="1:14" ht="15.75">
      <c r="A135" s="26"/>
      <c r="B135" s="27" t="s">
        <v>95</v>
      </c>
      <c r="C135" s="73"/>
      <c r="D135" s="27"/>
      <c r="E135" s="27"/>
      <c r="F135" s="27"/>
      <c r="G135" s="27"/>
      <c r="H135" s="27"/>
      <c r="I135" s="27"/>
      <c r="J135" s="27"/>
      <c r="K135" s="27"/>
      <c r="L135" s="58">
        <f>L71</f>
        <v>143818</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14209</v>
      </c>
      <c r="I140" s="27"/>
      <c r="J140" s="58">
        <v>561</v>
      </c>
      <c r="K140" s="27"/>
      <c r="L140" s="58">
        <f>J140+H140</f>
        <v>14770</v>
      </c>
      <c r="M140" s="27"/>
      <c r="N140" s="124"/>
    </row>
    <row r="141" spans="1:14" ht="15.75">
      <c r="A141" s="26"/>
      <c r="B141" s="27" t="s">
        <v>99</v>
      </c>
      <c r="C141" s="27"/>
      <c r="D141" s="27"/>
      <c r="E141" s="27"/>
      <c r="F141" s="27"/>
      <c r="G141" s="27"/>
      <c r="H141" s="58">
        <v>1942</v>
      </c>
      <c r="I141" s="27"/>
      <c r="J141" s="58">
        <v>0</v>
      </c>
      <c r="K141" s="27"/>
      <c r="L141" s="58">
        <f>J141+H141</f>
        <v>1942</v>
      </c>
      <c r="M141" s="27"/>
      <c r="N141" s="124"/>
    </row>
    <row r="142" spans="1:14" ht="15.75">
      <c r="A142" s="26"/>
      <c r="B142" s="27" t="s">
        <v>100</v>
      </c>
      <c r="C142" s="27"/>
      <c r="D142" s="27"/>
      <c r="E142" s="27"/>
      <c r="F142" s="27"/>
      <c r="G142" s="27"/>
      <c r="H142" s="58">
        <f>H140+H141</f>
        <v>16151</v>
      </c>
      <c r="I142" s="27"/>
      <c r="J142" s="58">
        <f>J141+J140</f>
        <v>561</v>
      </c>
      <c r="K142" s="27"/>
      <c r="L142" s="58">
        <f>J142+H142</f>
        <v>16712</v>
      </c>
      <c r="M142" s="27"/>
      <c r="N142" s="124"/>
    </row>
    <row r="143" spans="1:14" ht="15.75">
      <c r="A143" s="26"/>
      <c r="B143" s="27" t="s">
        <v>101</v>
      </c>
      <c r="C143" s="27"/>
      <c r="D143" s="27"/>
      <c r="E143" s="27"/>
      <c r="F143" s="27"/>
      <c r="G143" s="27"/>
      <c r="H143" s="58">
        <f>H139-H142-J142</f>
        <v>3288</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1.5105932203389831</v>
      </c>
      <c r="M147" s="27" t="s">
        <v>189</v>
      </c>
      <c r="N147" s="124"/>
    </row>
    <row r="148" spans="1:14" ht="15.75">
      <c r="A148" s="26"/>
      <c r="B148" s="27" t="s">
        <v>104</v>
      </c>
      <c r="C148" s="27"/>
      <c r="D148" s="27"/>
      <c r="E148" s="27"/>
      <c r="F148" s="27"/>
      <c r="G148" s="27"/>
      <c r="H148" s="27"/>
      <c r="I148" s="27"/>
      <c r="J148" s="27"/>
      <c r="K148" s="27"/>
      <c r="L148" s="66">
        <v>1.36</v>
      </c>
      <c r="M148" s="27" t="s">
        <v>189</v>
      </c>
      <c r="N148" s="124"/>
    </row>
    <row r="149" spans="1:14" ht="15.75">
      <c r="A149" s="26"/>
      <c r="B149" s="27" t="s">
        <v>105</v>
      </c>
      <c r="C149" s="27"/>
      <c r="D149" s="27"/>
      <c r="E149" s="27"/>
      <c r="F149" s="27"/>
      <c r="G149" s="27"/>
      <c r="H149" s="27"/>
      <c r="I149" s="27"/>
      <c r="J149" s="27"/>
      <c r="K149" s="27"/>
      <c r="L149" s="66">
        <f>(L80+SUM(L82:L86))/-L87</f>
        <v>3.2133333333333334</v>
      </c>
      <c r="M149" s="27" t="s">
        <v>189</v>
      </c>
      <c r="N149" s="124"/>
    </row>
    <row r="150" spans="1:14" ht="15.75">
      <c r="A150" s="26"/>
      <c r="B150" s="27" t="s">
        <v>106</v>
      </c>
      <c r="C150" s="27"/>
      <c r="D150" s="27"/>
      <c r="E150" s="27"/>
      <c r="F150" s="27"/>
      <c r="G150" s="27"/>
      <c r="H150" s="27"/>
      <c r="I150" s="27"/>
      <c r="J150" s="27"/>
      <c r="K150" s="27"/>
      <c r="L150" s="75">
        <v>2.75</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6.5" thickBot="1">
      <c r="A153" s="129"/>
      <c r="B153" s="136" t="str">
        <f>B104</f>
        <v>PM2 INVESTOR REPORT QUARTER ENDING NOVEMBER 2002</v>
      </c>
      <c r="C153" s="131"/>
      <c r="D153" s="131"/>
      <c r="E153" s="131"/>
      <c r="F153" s="131"/>
      <c r="G153" s="131"/>
      <c r="H153" s="131"/>
      <c r="I153" s="131"/>
      <c r="J153" s="131"/>
      <c r="K153" s="131"/>
      <c r="L153" s="131"/>
      <c r="M153" s="134"/>
      <c r="N153" s="124"/>
    </row>
    <row r="154" spans="1:14" ht="15.75">
      <c r="A154" s="2"/>
      <c r="B154" s="76"/>
      <c r="C154" s="76"/>
      <c r="D154" s="76"/>
      <c r="E154" s="76"/>
      <c r="F154" s="76"/>
      <c r="G154" s="76"/>
      <c r="H154" s="76"/>
      <c r="I154" s="76"/>
      <c r="J154" s="76"/>
      <c r="K154" s="76"/>
      <c r="L154" s="76"/>
      <c r="M154" s="76"/>
      <c r="N154" s="124"/>
    </row>
    <row r="155" spans="1:14" ht="15.75">
      <c r="A155" s="77"/>
      <c r="B155" s="56" t="s">
        <v>107</v>
      </c>
      <c r="C155" s="78"/>
      <c r="D155" s="78"/>
      <c r="E155" s="78"/>
      <c r="F155" s="78"/>
      <c r="G155" s="20"/>
      <c r="H155" s="20"/>
      <c r="I155" s="20"/>
      <c r="J155" s="20">
        <v>37590</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0.061</v>
      </c>
      <c r="K160" s="27"/>
      <c r="L160" s="27"/>
      <c r="M160" s="27"/>
      <c r="N160" s="124"/>
    </row>
    <row r="161" spans="1:14" ht="15.75">
      <c r="A161" s="84"/>
      <c r="B161" s="85" t="s">
        <v>112</v>
      </c>
      <c r="C161" s="86"/>
      <c r="D161" s="86"/>
      <c r="E161" s="86"/>
      <c r="F161" s="86"/>
      <c r="G161" s="72"/>
      <c r="H161" s="72"/>
      <c r="I161" s="72"/>
      <c r="J161" s="87">
        <f>L33</f>
        <v>0.04370623776212782</v>
      </c>
      <c r="K161" s="27"/>
      <c r="L161" s="27"/>
      <c r="M161" s="27"/>
      <c r="N161" s="124"/>
    </row>
    <row r="162" spans="1:14" ht="15.75">
      <c r="A162" s="84"/>
      <c r="B162" s="85" t="s">
        <v>113</v>
      </c>
      <c r="C162" s="86"/>
      <c r="D162" s="86"/>
      <c r="E162" s="86"/>
      <c r="F162" s="86"/>
      <c r="G162" s="72"/>
      <c r="H162" s="72"/>
      <c r="I162" s="72"/>
      <c r="J162" s="87">
        <f>J160-J161</f>
        <v>0.017293762237872178</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17.12</v>
      </c>
      <c r="K166" s="27" t="s">
        <v>182</v>
      </c>
      <c r="L166" s="27"/>
      <c r="M166" s="27"/>
      <c r="N166" s="124"/>
    </row>
    <row r="167" spans="1:14" ht="15.75">
      <c r="A167" s="84"/>
      <c r="B167" s="85" t="s">
        <v>118</v>
      </c>
      <c r="C167" s="86"/>
      <c r="D167" s="86"/>
      <c r="E167" s="86"/>
      <c r="F167" s="86"/>
      <c r="G167" s="72"/>
      <c r="H167" s="72"/>
      <c r="I167" s="72"/>
      <c r="J167" s="87">
        <f>F56/'Aug 2002'!L56</f>
        <v>0.058079165062208706</v>
      </c>
      <c r="K167" s="27"/>
      <c r="L167" s="27"/>
      <c r="M167" s="27"/>
      <c r="N167" s="124"/>
    </row>
    <row r="168" spans="1:14" ht="15.75">
      <c r="A168" s="84"/>
      <c r="B168" s="85" t="s">
        <v>119</v>
      </c>
      <c r="C168" s="86"/>
      <c r="D168" s="86"/>
      <c r="E168" s="86"/>
      <c r="F168" s="86"/>
      <c r="G168" s="72"/>
      <c r="H168" s="72"/>
      <c r="I168" s="72"/>
      <c r="J168" s="87">
        <v>0.1207</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f>2+11</f>
        <v>13</v>
      </c>
      <c r="J171" s="96">
        <f>159+662</f>
        <v>821</v>
      </c>
      <c r="K171" s="27"/>
      <c r="L171" s="90"/>
      <c r="M171" s="97"/>
      <c r="N171" s="124"/>
    </row>
    <row r="172" spans="1:14" ht="15.75">
      <c r="A172" s="95"/>
      <c r="B172" s="85" t="s">
        <v>122</v>
      </c>
      <c r="C172" s="59"/>
      <c r="D172" s="59"/>
      <c r="E172" s="59"/>
      <c r="F172" s="27"/>
      <c r="G172" s="27"/>
      <c r="H172" s="27"/>
      <c r="I172" s="28">
        <v>1</v>
      </c>
      <c r="J172" s="96">
        <v>26</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1</v>
      </c>
      <c r="J176" s="96">
        <v>2</v>
      </c>
      <c r="K176" s="27"/>
      <c r="L176" s="90"/>
      <c r="M176" s="99"/>
      <c r="N176" s="124"/>
    </row>
    <row r="177" spans="1:14" ht="15.75">
      <c r="A177" s="95"/>
      <c r="B177" s="85" t="s">
        <v>127</v>
      </c>
      <c r="C177" s="59"/>
      <c r="D177" s="59"/>
      <c r="E177" s="59"/>
      <c r="F177" s="59"/>
      <c r="G177" s="27"/>
      <c r="H177" s="27"/>
      <c r="I177" s="27">
        <v>2</v>
      </c>
      <c r="J177" s="96">
        <f>'Aug 2002'!J177+J176</f>
        <v>3</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v>1</v>
      </c>
      <c r="J180" s="96">
        <v>43</v>
      </c>
      <c r="K180" s="27"/>
      <c r="L180" s="90"/>
      <c r="M180" s="99"/>
      <c r="N180" s="124"/>
    </row>
    <row r="181" spans="1:14" ht="15.75">
      <c r="A181" s="95"/>
      <c r="B181" s="85" t="s">
        <v>130</v>
      </c>
      <c r="C181" s="59"/>
      <c r="D181" s="100"/>
      <c r="E181" s="100"/>
      <c r="F181" s="101"/>
      <c r="G181" s="27"/>
      <c r="H181" s="27"/>
      <c r="I181" s="27"/>
      <c r="J181" s="96">
        <v>22</v>
      </c>
      <c r="K181" s="27"/>
      <c r="L181" s="90"/>
      <c r="M181" s="99"/>
      <c r="N181" s="124"/>
    </row>
    <row r="182" spans="1:14" ht="15.75">
      <c r="A182" s="95"/>
      <c r="B182" s="85" t="s">
        <v>131</v>
      </c>
      <c r="C182" s="59"/>
      <c r="D182" s="100"/>
      <c r="E182" s="100"/>
      <c r="F182" s="101"/>
      <c r="G182" s="27"/>
      <c r="H182" s="27"/>
      <c r="I182" s="27"/>
      <c r="J182" s="96">
        <v>10</v>
      </c>
      <c r="K182" s="27"/>
      <c r="L182" s="90"/>
      <c r="M182" s="99"/>
      <c r="N182" s="124"/>
    </row>
    <row r="183" spans="1:14" ht="15.75">
      <c r="A183" s="95"/>
      <c r="B183" s="85" t="s">
        <v>132</v>
      </c>
      <c r="C183" s="59"/>
      <c r="D183" s="102"/>
      <c r="E183" s="100"/>
      <c r="F183" s="101"/>
      <c r="G183" s="27"/>
      <c r="H183" s="27"/>
      <c r="I183" s="27"/>
      <c r="J183" s="103">
        <v>0.787</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2510</v>
      </c>
      <c r="I186" s="105">
        <f>H186/H191</f>
        <v>0.9862475442043221</v>
      </c>
      <c r="J186" s="58">
        <v>142063</v>
      </c>
      <c r="K186" s="106">
        <f>J186/J191</f>
        <v>0.9878108138176559</v>
      </c>
      <c r="L186" s="90"/>
      <c r="M186" s="99"/>
      <c r="N186" s="124"/>
    </row>
    <row r="187" spans="1:14" ht="15.75">
      <c r="A187" s="26"/>
      <c r="B187" s="59" t="s">
        <v>135</v>
      </c>
      <c r="C187" s="105"/>
      <c r="D187" s="59"/>
      <c r="E187" s="105"/>
      <c r="F187" s="27"/>
      <c r="G187" s="107"/>
      <c r="H187" s="59">
        <v>17</v>
      </c>
      <c r="I187" s="105">
        <f>H187/H191</f>
        <v>0.0066797642436149315</v>
      </c>
      <c r="J187" s="58">
        <v>890</v>
      </c>
      <c r="K187" s="106">
        <f>J187/J191</f>
        <v>0.006188463036101686</v>
      </c>
      <c r="L187" s="90"/>
      <c r="M187" s="99"/>
      <c r="N187" s="124"/>
    </row>
    <row r="188" spans="1:14" ht="15.75">
      <c r="A188" s="26"/>
      <c r="B188" s="59" t="s">
        <v>136</v>
      </c>
      <c r="C188" s="105"/>
      <c r="D188" s="59"/>
      <c r="E188" s="105"/>
      <c r="F188" s="27"/>
      <c r="G188" s="107"/>
      <c r="H188" s="59">
        <v>5</v>
      </c>
      <c r="I188" s="105">
        <f>H188/H191</f>
        <v>0.0019646365422396855</v>
      </c>
      <c r="J188" s="58">
        <v>173</v>
      </c>
      <c r="K188" s="106">
        <f>J188/J191</f>
        <v>0.001202925960950103</v>
      </c>
      <c r="L188" s="90"/>
      <c r="M188" s="99"/>
      <c r="N188" s="124"/>
    </row>
    <row r="189" spans="1:14" ht="15.75">
      <c r="A189" s="26"/>
      <c r="B189" s="59" t="s">
        <v>137</v>
      </c>
      <c r="C189" s="105"/>
      <c r="D189" s="59"/>
      <c r="E189" s="105"/>
      <c r="F189" s="27"/>
      <c r="G189" s="107"/>
      <c r="H189" s="59">
        <f>2+2+1+8</f>
        <v>13</v>
      </c>
      <c r="I189" s="105">
        <f>H189/H191</f>
        <v>0.005108055009823182</v>
      </c>
      <c r="J189" s="58">
        <f>188+93+125+284</f>
        <v>690</v>
      </c>
      <c r="K189" s="106">
        <f>J189/$J191</f>
        <v>0.004797797185292318</v>
      </c>
      <c r="L189" s="90"/>
      <c r="M189" s="99"/>
      <c r="N189" s="124"/>
    </row>
    <row r="190" spans="1:14" ht="15.75">
      <c r="A190" s="26"/>
      <c r="B190" s="30"/>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2545</v>
      </c>
      <c r="I191" s="109">
        <f>SUM(I186:I190)</f>
        <v>0.9999999999999999</v>
      </c>
      <c r="J191" s="58">
        <f>SUM(J186:J190)</f>
        <v>143816</v>
      </c>
      <c r="K191" s="109">
        <f>SUM(K186:K190)</f>
        <v>0.9999999999999999</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5"/>
      <c r="K194" s="15"/>
      <c r="L194" s="15"/>
      <c r="M194" s="15"/>
      <c r="N194" s="124"/>
    </row>
    <row r="195" spans="1:14" ht="15.75">
      <c r="A195" s="117"/>
      <c r="B195" s="15"/>
      <c r="C195" s="15"/>
      <c r="D195" s="10"/>
      <c r="E195" s="10"/>
      <c r="F195" s="10"/>
      <c r="G195" s="15"/>
      <c r="H195" s="15"/>
      <c r="I195" s="15"/>
      <c r="J195" s="15"/>
      <c r="K195" s="15"/>
      <c r="L195" s="15"/>
      <c r="M195" s="15"/>
      <c r="N195" s="124"/>
    </row>
    <row r="196" spans="1:14" ht="15.75">
      <c r="A196" s="117"/>
      <c r="B196" s="16" t="s">
        <v>139</v>
      </c>
      <c r="C196" s="118"/>
      <c r="D196" s="119" t="s">
        <v>147</v>
      </c>
      <c r="E196" s="16"/>
      <c r="F196" s="16" t="s">
        <v>160</v>
      </c>
      <c r="G196" s="118"/>
      <c r="H196" s="118"/>
      <c r="I196" s="15"/>
      <c r="J196" s="15"/>
      <c r="K196" s="15"/>
      <c r="L196" s="15"/>
      <c r="M196" s="15"/>
      <c r="N196" s="124"/>
    </row>
    <row r="197" spans="1:14" ht="15.75">
      <c r="A197" s="117"/>
      <c r="B197" s="16" t="s">
        <v>140</v>
      </c>
      <c r="C197" s="118"/>
      <c r="D197" s="119" t="s">
        <v>148</v>
      </c>
      <c r="E197" s="16"/>
      <c r="F197" s="16" t="s">
        <v>161</v>
      </c>
      <c r="G197" s="118"/>
      <c r="H197" s="118"/>
      <c r="I197" s="15"/>
      <c r="J197" s="15"/>
      <c r="K197" s="15"/>
      <c r="L197" s="15"/>
      <c r="M197" s="15"/>
      <c r="N197" s="124"/>
    </row>
    <row r="198" spans="1:14" ht="15.75">
      <c r="A198" s="117"/>
      <c r="B198" s="16"/>
      <c r="C198" s="118"/>
      <c r="D198" s="119"/>
      <c r="E198" s="16"/>
      <c r="F198" s="16"/>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5.75">
      <c r="A200" s="117"/>
      <c r="B200" s="16" t="str">
        <f>B153</f>
        <v>PM2 INVESTOR REPORT QUARTER ENDING NOVEMBER 2002</v>
      </c>
      <c r="C200" s="118"/>
      <c r="D200" s="119"/>
      <c r="E200" s="16"/>
      <c r="F200" s="16"/>
      <c r="G200" s="118"/>
      <c r="H200" s="118"/>
      <c r="I200" s="15"/>
      <c r="J200" s="15"/>
      <c r="K200" s="15"/>
      <c r="L200" s="15"/>
      <c r="M200" s="15"/>
      <c r="N200" s="124"/>
    </row>
    <row r="201" spans="1:13" ht="15">
      <c r="A201" s="125"/>
      <c r="B201" s="125"/>
      <c r="C201" s="125"/>
      <c r="D201" s="125"/>
      <c r="E201" s="125"/>
      <c r="F201" s="125"/>
      <c r="G201" s="125"/>
      <c r="H201" s="125"/>
      <c r="I201" s="125"/>
      <c r="J201" s="125"/>
      <c r="K201" s="125"/>
      <c r="L201" s="125"/>
      <c r="M201"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2.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6.445312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37704</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25"/>
      <c r="J22" s="24"/>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206</v>
      </c>
      <c r="I25" s="33"/>
      <c r="J25" s="29"/>
      <c r="K25" s="30"/>
      <c r="L25" s="30"/>
      <c r="M25" s="27"/>
      <c r="N25" s="124"/>
    </row>
    <row r="26" spans="1:14" ht="15.75">
      <c r="A26" s="31"/>
      <c r="B26" s="32" t="s">
        <v>14</v>
      </c>
      <c r="C26" s="32"/>
      <c r="D26" s="33"/>
      <c r="E26" s="33"/>
      <c r="F26" s="33" t="s">
        <v>151</v>
      </c>
      <c r="G26" s="33"/>
      <c r="H26" s="33" t="s">
        <v>207</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0.752662</v>
      </c>
      <c r="D30" s="34"/>
      <c r="E30" s="35"/>
      <c r="F30" s="34">
        <f>166500*C30</f>
        <v>125318.22300000001</v>
      </c>
      <c r="G30" s="34"/>
      <c r="H30" s="34">
        <v>18500</v>
      </c>
      <c r="I30" s="34"/>
      <c r="J30" s="34"/>
      <c r="K30" s="36"/>
      <c r="L30" s="34">
        <f>H30+F30</f>
        <v>143818.223</v>
      </c>
      <c r="M30" s="37"/>
      <c r="N30" s="124"/>
    </row>
    <row r="31" spans="1:14" ht="12.75" customHeight="1">
      <c r="A31" s="31"/>
      <c r="B31" s="32" t="s">
        <v>18</v>
      </c>
      <c r="C31" s="39">
        <v>0.722495</v>
      </c>
      <c r="D31" s="40"/>
      <c r="E31" s="41"/>
      <c r="F31" s="40">
        <f>166500*C31*1</f>
        <v>120295.4175</v>
      </c>
      <c r="G31" s="40"/>
      <c r="H31" s="40">
        <v>18500</v>
      </c>
      <c r="I31" s="40"/>
      <c r="J31" s="40"/>
      <c r="K31" s="42"/>
      <c r="L31" s="40">
        <f>H31+F31+D31</f>
        <v>138795.41749999998</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v>0.0430945</v>
      </c>
      <c r="G33" s="45"/>
      <c r="H33" s="44">
        <v>0.0488445</v>
      </c>
      <c r="I33" s="45"/>
      <c r="J33" s="44"/>
      <c r="K33" s="30"/>
      <c r="L33" s="45">
        <f>SUMPRODUCT(F33:H33,F30:H30)/L30</f>
        <v>0.04383414896645956</v>
      </c>
      <c r="M33" s="27"/>
      <c r="N33" s="124"/>
    </row>
    <row r="34" spans="1:14" ht="15.75">
      <c r="A34" s="26"/>
      <c r="B34" s="27" t="s">
        <v>21</v>
      </c>
      <c r="C34" s="27"/>
      <c r="D34" s="44"/>
      <c r="E34" s="27"/>
      <c r="F34" s="44">
        <v>0.043</v>
      </c>
      <c r="G34" s="45"/>
      <c r="H34" s="44">
        <v>0.04875</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128"/>
      <c r="I38" s="46"/>
      <c r="J38" s="46"/>
      <c r="K38" s="46"/>
      <c r="L38" s="46"/>
      <c r="M38" s="27"/>
      <c r="N38" s="124"/>
    </row>
    <row r="39" spans="1:14" ht="15.75">
      <c r="A39" s="26"/>
      <c r="B39" s="27" t="s">
        <v>25</v>
      </c>
      <c r="C39" s="27"/>
      <c r="D39" s="27"/>
      <c r="E39" s="27"/>
      <c r="F39" s="27"/>
      <c r="G39" s="27"/>
      <c r="H39" s="1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0.1537880692753737</v>
      </c>
      <c r="M40" s="27"/>
      <c r="N40" s="124"/>
    </row>
    <row r="41" spans="1:14" ht="15.75">
      <c r="A41" s="26"/>
      <c r="B41" s="27" t="s">
        <v>27</v>
      </c>
      <c r="C41" s="27"/>
      <c r="D41" s="27"/>
      <c r="E41" s="27"/>
      <c r="F41" s="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37697</v>
      </c>
      <c r="M44" s="27"/>
      <c r="N44" s="124"/>
    </row>
    <row r="45" spans="1:14" ht="15.75">
      <c r="A45" s="26"/>
      <c r="B45" s="27" t="s">
        <v>30</v>
      </c>
      <c r="C45" s="27"/>
      <c r="D45" s="27"/>
      <c r="E45" s="27"/>
      <c r="F45" s="27"/>
      <c r="G45" s="27"/>
      <c r="H45" s="27"/>
      <c r="I45" s="27">
        <f>L45-J45+1</f>
        <v>91</v>
      </c>
      <c r="J45" s="50">
        <v>37515</v>
      </c>
      <c r="K45" s="51"/>
      <c r="L45" s="50">
        <v>37605</v>
      </c>
      <c r="M45" s="27"/>
      <c r="N45" s="124"/>
    </row>
    <row r="46" spans="1:14" ht="15.75">
      <c r="A46" s="26"/>
      <c r="B46" s="27" t="s">
        <v>31</v>
      </c>
      <c r="C46" s="27"/>
      <c r="D46" s="27"/>
      <c r="E46" s="27"/>
      <c r="F46" s="27"/>
      <c r="G46" s="27"/>
      <c r="H46" s="27"/>
      <c r="I46" s="27">
        <f>L46-J46+1</f>
        <v>91</v>
      </c>
      <c r="J46" s="50">
        <v>37606</v>
      </c>
      <c r="K46" s="51"/>
      <c r="L46" s="50">
        <v>37696</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37683</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6.5" thickBot="1">
      <c r="A51" s="129"/>
      <c r="B51" s="136" t="s">
        <v>208</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143816</v>
      </c>
      <c r="E56" s="37"/>
      <c r="F56" s="37">
        <f>5023+1986+3+277-2</f>
        <v>7287</v>
      </c>
      <c r="G56" s="37"/>
      <c r="H56" s="37">
        <f>277+1986+3</f>
        <v>2266</v>
      </c>
      <c r="I56" s="37"/>
      <c r="J56" s="37">
        <v>0</v>
      </c>
      <c r="K56" s="37"/>
      <c r="L56" s="58">
        <f>D56-F56+H56-J56</f>
        <v>138795</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143816</v>
      </c>
      <c r="E59" s="37"/>
      <c r="F59" s="37">
        <f>SUM(F56:F58)</f>
        <v>7287</v>
      </c>
      <c r="G59" s="37"/>
      <c r="H59" s="37">
        <f>SUM(H56:H58)</f>
        <v>2266</v>
      </c>
      <c r="I59" s="37"/>
      <c r="J59" s="37">
        <f>SUM(J56:J58)</f>
        <v>0</v>
      </c>
      <c r="K59" s="37"/>
      <c r="L59" s="59">
        <f>SUM(L56:L58)</f>
        <v>138795</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2</v>
      </c>
      <c r="E70" s="37"/>
      <c r="F70" s="37"/>
      <c r="G70" s="37"/>
      <c r="H70" s="37"/>
      <c r="I70" s="37"/>
      <c r="J70" s="37"/>
      <c r="K70" s="37"/>
      <c r="L70" s="59">
        <v>0</v>
      </c>
      <c r="M70" s="27"/>
      <c r="N70" s="124"/>
    </row>
    <row r="71" spans="1:14" ht="15.75">
      <c r="A71" s="26"/>
      <c r="B71" s="27" t="s">
        <v>44</v>
      </c>
      <c r="C71" s="59">
        <f>SUM(C59:C70)</f>
        <v>185000</v>
      </c>
      <c r="D71" s="59">
        <f>SUM(D59:D70)</f>
        <v>143818</v>
      </c>
      <c r="E71" s="37"/>
      <c r="F71" s="59"/>
      <c r="G71" s="37"/>
      <c r="H71" s="59"/>
      <c r="I71" s="37"/>
      <c r="J71" s="59"/>
      <c r="K71" s="37"/>
      <c r="L71" s="59">
        <f>SUM(L59:L70)</f>
        <v>138795</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37680</v>
      </c>
      <c r="E75" s="27"/>
      <c r="F75" s="27"/>
      <c r="G75" s="27"/>
      <c r="H75" s="27"/>
      <c r="I75" s="27"/>
      <c r="J75" s="37">
        <f>7287+2</f>
        <v>7289</v>
      </c>
      <c r="K75" s="27"/>
      <c r="L75" s="58"/>
      <c r="M75" s="27"/>
      <c r="N75" s="124"/>
    </row>
    <row r="76" spans="1:14" ht="15.75">
      <c r="A76" s="26"/>
      <c r="B76" s="27" t="s">
        <v>48</v>
      </c>
      <c r="C76" s="27"/>
      <c r="D76" s="27"/>
      <c r="E76" s="27"/>
      <c r="F76" s="27"/>
      <c r="G76" s="27"/>
      <c r="H76" s="27"/>
      <c r="I76" s="27"/>
      <c r="J76" s="37"/>
      <c r="K76" s="27"/>
      <c r="L76" s="58">
        <f>1967-4+323-14</f>
        <v>2272</v>
      </c>
      <c r="M76" s="27"/>
      <c r="N76" s="124"/>
    </row>
    <row r="77" spans="1:14" ht="15.75">
      <c r="A77" s="26"/>
      <c r="B77" s="27" t="s">
        <v>49</v>
      </c>
      <c r="C77" s="27"/>
      <c r="D77" s="27"/>
      <c r="E77" s="27"/>
      <c r="F77" s="27"/>
      <c r="G77" s="27"/>
      <c r="H77" s="27"/>
      <c r="I77" s="27"/>
      <c r="J77" s="37"/>
      <c r="K77" s="27"/>
      <c r="L77" s="58">
        <v>0</v>
      </c>
      <c r="M77" s="27"/>
      <c r="N77" s="124"/>
    </row>
    <row r="78" spans="1:14" ht="15.75">
      <c r="A78" s="26"/>
      <c r="B78" s="27" t="s">
        <v>50</v>
      </c>
      <c r="C78" s="27"/>
      <c r="D78" s="27"/>
      <c r="E78" s="27"/>
      <c r="F78" s="27"/>
      <c r="G78" s="27"/>
      <c r="H78" s="27"/>
      <c r="I78" s="27"/>
      <c r="J78" s="37">
        <f>SUM(J74:J77)</f>
        <v>7289</v>
      </c>
      <c r="K78" s="27"/>
      <c r="L78" s="59">
        <f>SUM(L74:L77)</f>
        <v>2272</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7289</v>
      </c>
      <c r="K80" s="27"/>
      <c r="L80" s="59">
        <f>L78+L79</f>
        <v>2272</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-107-9</f>
        <v>-116</v>
      </c>
      <c r="M84" s="27"/>
      <c r="N84" s="124"/>
    </row>
    <row r="85" spans="1:14" ht="15.75">
      <c r="A85" s="26">
        <v>4</v>
      </c>
      <c r="B85" s="27" t="s">
        <v>57</v>
      </c>
      <c r="C85" s="27"/>
      <c r="D85" s="27"/>
      <c r="E85" s="27"/>
      <c r="F85" s="27"/>
      <c r="G85" s="27"/>
      <c r="H85" s="27"/>
      <c r="I85" s="27"/>
      <c r="J85" s="27"/>
      <c r="K85" s="27"/>
      <c r="L85" s="58">
        <v>-169</v>
      </c>
      <c r="M85" s="27"/>
      <c r="N85" s="124"/>
    </row>
    <row r="86" spans="1:14" ht="15.75">
      <c r="A86" s="26">
        <v>5</v>
      </c>
      <c r="B86" s="27" t="s">
        <v>58</v>
      </c>
      <c r="C86" s="27"/>
      <c r="D86" s="27"/>
      <c r="E86" s="27"/>
      <c r="F86" s="27"/>
      <c r="G86" s="27"/>
      <c r="H86" s="27"/>
      <c r="I86" s="27"/>
      <c r="J86" s="27"/>
      <c r="K86" s="27"/>
      <c r="L86" s="58">
        <v>-1346</v>
      </c>
      <c r="M86" s="27"/>
      <c r="N86" s="124"/>
    </row>
    <row r="87" spans="1:14" ht="15.75">
      <c r="A87" s="26">
        <v>6</v>
      </c>
      <c r="B87" s="27" t="s">
        <v>59</v>
      </c>
      <c r="C87" s="27"/>
      <c r="D87" s="27"/>
      <c r="E87" s="27"/>
      <c r="F87" s="27"/>
      <c r="G87" s="27"/>
      <c r="H87" s="27"/>
      <c r="I87" s="27"/>
      <c r="J87" s="27"/>
      <c r="K87" s="27"/>
      <c r="L87" s="58">
        <v>-225</v>
      </c>
      <c r="M87" s="27"/>
      <c r="N87" s="124"/>
    </row>
    <row r="88" spans="1:14" ht="15.75">
      <c r="A88" s="26">
        <v>7</v>
      </c>
      <c r="B88" s="27" t="s">
        <v>60</v>
      </c>
      <c r="C88" s="27"/>
      <c r="D88" s="27"/>
      <c r="E88" s="27"/>
      <c r="F88" s="27"/>
      <c r="G88" s="27"/>
      <c r="H88" s="27"/>
      <c r="I88" s="27"/>
      <c r="J88" s="27"/>
      <c r="K88" s="27"/>
      <c r="L88" s="58">
        <v>-5</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-10-104</f>
        <v>-114</v>
      </c>
      <c r="M93" s="27"/>
      <c r="N93" s="124"/>
    </row>
    <row r="94" spans="1:14" ht="15.75">
      <c r="A94" s="26">
        <v>13</v>
      </c>
      <c r="B94" s="27" t="s">
        <v>66</v>
      </c>
      <c r="C94" s="27"/>
      <c r="D94" s="27"/>
      <c r="E94" s="27"/>
      <c r="F94" s="27"/>
      <c r="G94" s="27"/>
      <c r="H94" s="27"/>
      <c r="I94" s="27"/>
      <c r="J94" s="27"/>
      <c r="K94" s="27"/>
      <c r="L94" s="58">
        <f>-SUM(L80:L93)</f>
        <v>-293</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-3</v>
      </c>
      <c r="K96" s="37"/>
      <c r="L96" s="58"/>
      <c r="M96" s="27"/>
      <c r="N96" s="124"/>
    </row>
    <row r="97" spans="1:14" ht="15.75">
      <c r="A97" s="26"/>
      <c r="B97" s="27" t="s">
        <v>69</v>
      </c>
      <c r="C97" s="27"/>
      <c r="D97" s="27"/>
      <c r="E97" s="27"/>
      <c r="F97" s="27"/>
      <c r="G97" s="27"/>
      <c r="H97" s="27"/>
      <c r="I97" s="27"/>
      <c r="J97" s="37">
        <f>-H141</f>
        <v>-2263</v>
      </c>
      <c r="K97" s="37"/>
      <c r="L97" s="58"/>
      <c r="M97" s="27"/>
      <c r="N97" s="124"/>
    </row>
    <row r="98" spans="1:14" ht="15.75">
      <c r="A98" s="26"/>
      <c r="B98" s="27" t="s">
        <v>70</v>
      </c>
      <c r="C98" s="27"/>
      <c r="D98" s="27"/>
      <c r="E98" s="27"/>
      <c r="F98" s="27"/>
      <c r="G98" s="27"/>
      <c r="H98" s="27"/>
      <c r="I98" s="27"/>
      <c r="J98" s="37">
        <v>-5023</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-7289</v>
      </c>
      <c r="K100" s="37"/>
      <c r="L100" s="37">
        <f>SUM(L81:L99)</f>
        <v>-2272</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6" t="str">
        <f>B51</f>
        <v>PM2 INVESTOR REPORT QUARTER ENDING FEBRUARY 2003</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v>0</v>
      </c>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30"/>
      <c r="D120" s="30"/>
      <c r="E120" s="30"/>
      <c r="F120" s="30"/>
      <c r="G120" s="30"/>
      <c r="H120" s="30"/>
      <c r="I120" s="30"/>
      <c r="J120" s="30"/>
      <c r="K120" s="30"/>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138795</v>
      </c>
      <c r="M134" s="27"/>
      <c r="N134" s="124"/>
    </row>
    <row r="135" spans="1:14" ht="15.75">
      <c r="A135" s="26"/>
      <c r="B135" s="27" t="s">
        <v>95</v>
      </c>
      <c r="C135" s="73"/>
      <c r="D135" s="27"/>
      <c r="E135" s="27"/>
      <c r="F135" s="27"/>
      <c r="G135" s="27"/>
      <c r="H135" s="27"/>
      <c r="I135" s="27"/>
      <c r="J135" s="27"/>
      <c r="K135" s="27"/>
      <c r="L135" s="58">
        <f>L71</f>
        <v>138795</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16151</v>
      </c>
      <c r="I140" s="27"/>
      <c r="J140" s="58">
        <v>561</v>
      </c>
      <c r="K140" s="27"/>
      <c r="L140" s="58">
        <f>J140+H140</f>
        <v>16712</v>
      </c>
      <c r="M140" s="27"/>
      <c r="N140" s="124"/>
    </row>
    <row r="141" spans="1:14" ht="15.75">
      <c r="A141" s="26"/>
      <c r="B141" s="27" t="s">
        <v>99</v>
      </c>
      <c r="C141" s="27"/>
      <c r="D141" s="27"/>
      <c r="E141" s="27"/>
      <c r="F141" s="27"/>
      <c r="G141" s="27"/>
      <c r="H141" s="58">
        <v>2263</v>
      </c>
      <c r="I141" s="27"/>
      <c r="J141" s="58">
        <v>3</v>
      </c>
      <c r="K141" s="27"/>
      <c r="L141" s="58">
        <f>J141+H141</f>
        <v>2266</v>
      </c>
      <c r="M141" s="27"/>
      <c r="N141" s="124"/>
    </row>
    <row r="142" spans="1:14" ht="15.75">
      <c r="A142" s="26"/>
      <c r="B142" s="27" t="s">
        <v>100</v>
      </c>
      <c r="C142" s="27"/>
      <c r="D142" s="27"/>
      <c r="E142" s="27"/>
      <c r="F142" s="27"/>
      <c r="G142" s="27"/>
      <c r="H142" s="58">
        <f>H140+H141</f>
        <v>18414</v>
      </c>
      <c r="I142" s="27"/>
      <c r="J142" s="58">
        <f>J141+J140</f>
        <v>564</v>
      </c>
      <c r="K142" s="27"/>
      <c r="L142" s="58">
        <f>J142+H142</f>
        <v>18978</v>
      </c>
      <c r="M142" s="27"/>
      <c r="N142" s="124"/>
    </row>
    <row r="143" spans="1:14" ht="15.75">
      <c r="A143" s="26"/>
      <c r="B143" s="27" t="s">
        <v>101</v>
      </c>
      <c r="C143" s="27"/>
      <c r="D143" s="27"/>
      <c r="E143" s="27"/>
      <c r="F143" s="27"/>
      <c r="G143" s="27"/>
      <c r="H143" s="58">
        <f>H139-H142-J142</f>
        <v>1022</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1.473254086181278</v>
      </c>
      <c r="M147" s="27" t="s">
        <v>189</v>
      </c>
      <c r="N147" s="124"/>
    </row>
    <row r="148" spans="1:14" ht="15.75">
      <c r="A148" s="26"/>
      <c r="B148" s="27" t="s">
        <v>104</v>
      </c>
      <c r="C148" s="27"/>
      <c r="D148" s="27"/>
      <c r="E148" s="27"/>
      <c r="F148" s="27"/>
      <c r="G148" s="27"/>
      <c r="H148" s="27"/>
      <c r="I148" s="27"/>
      <c r="J148" s="27"/>
      <c r="K148" s="27"/>
      <c r="L148" s="66">
        <v>1.37</v>
      </c>
      <c r="M148" s="27" t="s">
        <v>189</v>
      </c>
      <c r="N148" s="124"/>
    </row>
    <row r="149" spans="1:14" ht="15.75">
      <c r="A149" s="26"/>
      <c r="B149" s="27" t="s">
        <v>105</v>
      </c>
      <c r="C149" s="27"/>
      <c r="D149" s="27"/>
      <c r="E149" s="27"/>
      <c r="F149" s="27"/>
      <c r="G149" s="27"/>
      <c r="H149" s="27"/>
      <c r="I149" s="27"/>
      <c r="J149" s="27"/>
      <c r="K149" s="27"/>
      <c r="L149" s="66">
        <f>(L80+SUM(L82:L86))/-L87</f>
        <v>2.831111111111111</v>
      </c>
      <c r="M149" s="27" t="s">
        <v>189</v>
      </c>
      <c r="N149" s="124"/>
    </row>
    <row r="150" spans="1:14" ht="15.75">
      <c r="A150" s="26"/>
      <c r="B150" s="27" t="s">
        <v>106</v>
      </c>
      <c r="C150" s="27"/>
      <c r="D150" s="27"/>
      <c r="E150" s="27"/>
      <c r="F150" s="27"/>
      <c r="G150" s="27"/>
      <c r="H150" s="27"/>
      <c r="I150" s="27"/>
      <c r="J150" s="27"/>
      <c r="K150" s="27"/>
      <c r="L150" s="75">
        <v>2.75</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6.5" thickBot="1">
      <c r="A153" s="129"/>
      <c r="B153" s="136" t="str">
        <f>B104</f>
        <v>PM2 INVESTOR REPORT QUARTER ENDING FEBRUARY 2003</v>
      </c>
      <c r="C153" s="131"/>
      <c r="D153" s="131"/>
      <c r="E153" s="131"/>
      <c r="F153" s="131"/>
      <c r="G153" s="131"/>
      <c r="H153" s="131"/>
      <c r="I153" s="131"/>
      <c r="J153" s="131"/>
      <c r="K153" s="131"/>
      <c r="L153" s="131"/>
      <c r="M153" s="134"/>
      <c r="N153" s="124"/>
    </row>
    <row r="154" spans="1:14" ht="15.75">
      <c r="A154" s="2"/>
      <c r="B154" s="76"/>
      <c r="C154" s="76"/>
      <c r="D154" s="76"/>
      <c r="E154" s="76"/>
      <c r="F154" s="76"/>
      <c r="G154" s="76"/>
      <c r="H154" s="76"/>
      <c r="I154" s="76"/>
      <c r="J154" s="76"/>
      <c r="K154" s="76"/>
      <c r="L154" s="76"/>
      <c r="M154" s="76"/>
      <c r="N154" s="124"/>
    </row>
    <row r="155" spans="1:14" ht="15.75">
      <c r="A155" s="77"/>
      <c r="B155" s="56" t="s">
        <v>107</v>
      </c>
      <c r="C155" s="78"/>
      <c r="D155" s="78"/>
      <c r="E155" s="78"/>
      <c r="F155" s="78"/>
      <c r="G155" s="20"/>
      <c r="H155" s="20"/>
      <c r="I155" s="20"/>
      <c r="J155" s="20">
        <v>37680</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0.0604</v>
      </c>
      <c r="K160" s="27"/>
      <c r="L160" s="27"/>
      <c r="M160" s="27"/>
      <c r="N160" s="124"/>
    </row>
    <row r="161" spans="1:14" ht="15.75">
      <c r="A161" s="84"/>
      <c r="B161" s="85" t="s">
        <v>112</v>
      </c>
      <c r="C161" s="86"/>
      <c r="D161" s="86"/>
      <c r="E161" s="86"/>
      <c r="F161" s="86"/>
      <c r="G161" s="72"/>
      <c r="H161" s="72"/>
      <c r="I161" s="72"/>
      <c r="J161" s="87">
        <f>L33</f>
        <v>0.04383414896645956</v>
      </c>
      <c r="K161" s="27"/>
      <c r="L161" s="27"/>
      <c r="M161" s="27"/>
      <c r="N161" s="124"/>
    </row>
    <row r="162" spans="1:14" ht="15.75">
      <c r="A162" s="84"/>
      <c r="B162" s="85" t="s">
        <v>113</v>
      </c>
      <c r="C162" s="86"/>
      <c r="D162" s="86"/>
      <c r="E162" s="86"/>
      <c r="F162" s="86"/>
      <c r="G162" s="72"/>
      <c r="H162" s="72"/>
      <c r="I162" s="72"/>
      <c r="J162" s="87">
        <f>J160-J161</f>
        <v>0.01656585103354044</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16.92</v>
      </c>
      <c r="K166" s="27" t="s">
        <v>182</v>
      </c>
      <c r="L166" s="27"/>
      <c r="M166" s="27"/>
      <c r="N166" s="124"/>
    </row>
    <row r="167" spans="1:14" ht="15.75">
      <c r="A167" s="84"/>
      <c r="B167" s="85" t="s">
        <v>118</v>
      </c>
      <c r="C167" s="86"/>
      <c r="D167" s="86"/>
      <c r="E167" s="86"/>
      <c r="F167" s="86"/>
      <c r="G167" s="72"/>
      <c r="H167" s="72"/>
      <c r="I167" s="72"/>
      <c r="J167" s="87">
        <f>F56/'Nov 2002'!L56</f>
        <v>0.0506689102742393</v>
      </c>
      <c r="K167" s="27"/>
      <c r="L167" s="27"/>
      <c r="M167" s="27"/>
      <c r="N167" s="124"/>
    </row>
    <row r="168" spans="1:14" ht="15.75">
      <c r="A168" s="84"/>
      <c r="B168" s="85" t="s">
        <v>119</v>
      </c>
      <c r="C168" s="86"/>
      <c r="D168" s="86"/>
      <c r="E168" s="86"/>
      <c r="F168" s="86"/>
      <c r="G168" s="72"/>
      <c r="H168" s="72"/>
      <c r="I168" s="72"/>
      <c r="J168" s="87">
        <v>0.1265</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f>2+12</f>
        <v>14</v>
      </c>
      <c r="J171" s="96">
        <f>161+667</f>
        <v>828</v>
      </c>
      <c r="K171" s="27"/>
      <c r="L171" s="90"/>
      <c r="M171" s="97"/>
      <c r="N171" s="124"/>
    </row>
    <row r="172" spans="1:14" ht="15.75">
      <c r="A172" s="95"/>
      <c r="B172" s="85" t="s">
        <v>122</v>
      </c>
      <c r="C172" s="59"/>
      <c r="D172" s="59"/>
      <c r="E172" s="59"/>
      <c r="F172" s="27"/>
      <c r="G172" s="27"/>
      <c r="H172" s="27"/>
      <c r="I172" s="28">
        <v>1</v>
      </c>
      <c r="J172" s="96">
        <v>28</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0</v>
      </c>
      <c r="J176" s="96">
        <v>0</v>
      </c>
      <c r="K176" s="27"/>
      <c r="L176" s="90"/>
      <c r="M176" s="99"/>
      <c r="N176" s="124"/>
    </row>
    <row r="177" spans="1:14" ht="15.75">
      <c r="A177" s="95"/>
      <c r="B177" s="85" t="s">
        <v>127</v>
      </c>
      <c r="C177" s="59"/>
      <c r="D177" s="59"/>
      <c r="E177" s="59"/>
      <c r="F177" s="59"/>
      <c r="G177" s="27"/>
      <c r="H177" s="27"/>
      <c r="I177" s="27">
        <f>'Nov 2002'!I177+I176</f>
        <v>2</v>
      </c>
      <c r="J177" s="96">
        <f>'Nov 2002'!J177+J176</f>
        <v>3</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c r="J180" s="96">
        <v>0</v>
      </c>
      <c r="K180" s="27"/>
      <c r="L180" s="90"/>
      <c r="M180" s="99"/>
      <c r="N180" s="124"/>
    </row>
    <row r="181" spans="1:14" ht="15.75">
      <c r="A181" s="95"/>
      <c r="B181" s="85" t="s">
        <v>130</v>
      </c>
      <c r="C181" s="59"/>
      <c r="D181" s="100"/>
      <c r="E181" s="100"/>
      <c r="F181" s="101"/>
      <c r="G181" s="27"/>
      <c r="H181" s="27"/>
      <c r="I181" s="27"/>
      <c r="J181" s="96">
        <v>0</v>
      </c>
      <c r="K181" s="27"/>
      <c r="L181" s="90"/>
      <c r="M181" s="99"/>
      <c r="N181" s="124"/>
    </row>
    <row r="182" spans="1:14" ht="15.75">
      <c r="A182" s="95"/>
      <c r="B182" s="85" t="s">
        <v>131</v>
      </c>
      <c r="C182" s="59"/>
      <c r="D182" s="100"/>
      <c r="E182" s="100"/>
      <c r="F182" s="101"/>
      <c r="G182" s="27"/>
      <c r="H182" s="27"/>
      <c r="I182" s="27"/>
      <c r="J182" s="96">
        <v>0</v>
      </c>
      <c r="K182" s="27"/>
      <c r="L182" s="90"/>
      <c r="M182" s="99"/>
      <c r="N182" s="124"/>
    </row>
    <row r="183" spans="1:14" ht="15.75">
      <c r="A183" s="95"/>
      <c r="B183" s="85" t="s">
        <v>132</v>
      </c>
      <c r="C183" s="59"/>
      <c r="D183" s="102"/>
      <c r="E183" s="100"/>
      <c r="F183" s="101"/>
      <c r="G183" s="27"/>
      <c r="H183" s="27"/>
      <c r="I183" s="27"/>
      <c r="J183" s="103">
        <v>0</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2376</v>
      </c>
      <c r="I186" s="105">
        <f>H186/H191</f>
        <v>0.9850746268656716</v>
      </c>
      <c r="J186" s="58">
        <v>137126</v>
      </c>
      <c r="K186" s="106">
        <f>J186/J191</f>
        <v>0.9879750711480961</v>
      </c>
      <c r="L186" s="90"/>
      <c r="M186" s="99"/>
      <c r="N186" s="124"/>
    </row>
    <row r="187" spans="1:14" ht="15.75">
      <c r="A187" s="26"/>
      <c r="B187" s="59" t="s">
        <v>135</v>
      </c>
      <c r="C187" s="105"/>
      <c r="D187" s="59"/>
      <c r="E187" s="105"/>
      <c r="F187" s="27"/>
      <c r="G187" s="107"/>
      <c r="H187" s="59">
        <v>18</v>
      </c>
      <c r="I187" s="105">
        <f>H187/H191</f>
        <v>0.007462686567164179</v>
      </c>
      <c r="J187" s="58">
        <v>736</v>
      </c>
      <c r="K187" s="106">
        <f>J187/J191</f>
        <v>0.005302784682445333</v>
      </c>
      <c r="L187" s="90"/>
      <c r="M187" s="99"/>
      <c r="N187" s="124"/>
    </row>
    <row r="188" spans="1:14" ht="15.75">
      <c r="A188" s="26"/>
      <c r="B188" s="59" t="s">
        <v>136</v>
      </c>
      <c r="C188" s="105"/>
      <c r="D188" s="59"/>
      <c r="E188" s="105"/>
      <c r="F188" s="27"/>
      <c r="G188" s="107"/>
      <c r="H188" s="59">
        <v>5</v>
      </c>
      <c r="I188" s="105">
        <f>H188/H191</f>
        <v>0.0020729684908789387</v>
      </c>
      <c r="J188" s="58">
        <v>131</v>
      </c>
      <c r="K188" s="106">
        <f>J188/J191</f>
        <v>0.0009438380345113297</v>
      </c>
      <c r="L188" s="90"/>
      <c r="M188" s="99"/>
      <c r="N188" s="124"/>
    </row>
    <row r="189" spans="1:14" ht="15.75">
      <c r="A189" s="26"/>
      <c r="B189" s="59" t="s">
        <v>137</v>
      </c>
      <c r="C189" s="105"/>
      <c r="D189" s="59"/>
      <c r="E189" s="105"/>
      <c r="F189" s="27"/>
      <c r="G189" s="107"/>
      <c r="H189" s="59">
        <f>3+1+9</f>
        <v>13</v>
      </c>
      <c r="I189" s="105">
        <f>H189/H191</f>
        <v>0.00538971807628524</v>
      </c>
      <c r="J189" s="58">
        <f>206+44+552</f>
        <v>802</v>
      </c>
      <c r="K189" s="106">
        <f>J189/$J191</f>
        <v>0.005778306134947224</v>
      </c>
      <c r="L189" s="90"/>
      <c r="M189" s="99"/>
      <c r="N189" s="124"/>
    </row>
    <row r="190" spans="1:14" ht="15.75">
      <c r="A190" s="26"/>
      <c r="B190" s="30"/>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2412</v>
      </c>
      <c r="I191" s="109">
        <f>SUM(I186:I190)</f>
        <v>0.9999999999999999</v>
      </c>
      <c r="J191" s="58">
        <f>SUM(J186:J190)</f>
        <v>138795</v>
      </c>
      <c r="K191" s="109">
        <f>SUM(K186:K190)</f>
        <v>1</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5"/>
      <c r="K194" s="15"/>
      <c r="L194" s="15"/>
      <c r="M194" s="15"/>
      <c r="N194" s="124"/>
    </row>
    <row r="195" spans="1:14" ht="15.75">
      <c r="A195" s="117"/>
      <c r="B195" s="15"/>
      <c r="C195" s="15"/>
      <c r="D195" s="10"/>
      <c r="E195" s="10"/>
      <c r="F195" s="10"/>
      <c r="G195" s="15"/>
      <c r="H195" s="15"/>
      <c r="I195" s="15"/>
      <c r="J195" s="15"/>
      <c r="K195" s="15"/>
      <c r="L195" s="15"/>
      <c r="M195" s="15"/>
      <c r="N195" s="124"/>
    </row>
    <row r="196" spans="1:14" ht="15.75">
      <c r="A196" s="117"/>
      <c r="B196" s="16" t="s">
        <v>139</v>
      </c>
      <c r="C196" s="118"/>
      <c r="D196" s="119" t="s">
        <v>147</v>
      </c>
      <c r="E196" s="16"/>
      <c r="F196" s="16" t="s">
        <v>160</v>
      </c>
      <c r="G196" s="118"/>
      <c r="H196" s="118"/>
      <c r="I196" s="15"/>
      <c r="J196" s="15"/>
      <c r="K196" s="15"/>
      <c r="L196" s="15"/>
      <c r="M196" s="15"/>
      <c r="N196" s="124"/>
    </row>
    <row r="197" spans="1:14" ht="15.75">
      <c r="A197" s="117"/>
      <c r="B197" s="16" t="s">
        <v>140</v>
      </c>
      <c r="C197" s="118"/>
      <c r="D197" s="119" t="s">
        <v>148</v>
      </c>
      <c r="E197" s="16"/>
      <c r="F197" s="16" t="s">
        <v>161</v>
      </c>
      <c r="G197" s="118"/>
      <c r="H197" s="118"/>
      <c r="I197" s="15"/>
      <c r="J197" s="15"/>
      <c r="K197" s="15"/>
      <c r="L197" s="15"/>
      <c r="M197" s="15"/>
      <c r="N197" s="124"/>
    </row>
    <row r="198" spans="1:14" ht="15.75">
      <c r="A198" s="117"/>
      <c r="B198" s="16"/>
      <c r="C198" s="118"/>
      <c r="D198" s="119"/>
      <c r="E198" s="16"/>
      <c r="F198" s="16"/>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5.75">
      <c r="A200" s="117"/>
      <c r="B200" s="16" t="str">
        <f>B153</f>
        <v>PM2 INVESTOR REPORT QUARTER ENDING FEBRUARY 2003</v>
      </c>
      <c r="C200" s="118"/>
      <c r="D200" s="119"/>
      <c r="E200" s="16"/>
      <c r="F200" s="16"/>
      <c r="G200" s="118"/>
      <c r="H200" s="118"/>
      <c r="I200" s="15"/>
      <c r="J200" s="15"/>
      <c r="K200" s="15"/>
      <c r="L200" s="15"/>
      <c r="M200" s="15"/>
      <c r="N200" s="124"/>
    </row>
    <row r="201" spans="1:13" ht="15">
      <c r="A201" s="125"/>
      <c r="B201" s="125"/>
      <c r="C201" s="125"/>
      <c r="D201" s="125"/>
      <c r="E201" s="125"/>
      <c r="F201" s="125"/>
      <c r="G201" s="125"/>
      <c r="H201" s="125"/>
      <c r="I201" s="125"/>
      <c r="J201" s="125"/>
      <c r="K201" s="125"/>
      <c r="L201" s="125"/>
      <c r="M201"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3.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6.105468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37792</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25"/>
      <c r="J22" s="24"/>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206</v>
      </c>
      <c r="I25" s="33"/>
      <c r="J25" s="29"/>
      <c r="K25" s="30"/>
      <c r="L25" s="30"/>
      <c r="M25" s="27"/>
      <c r="N25" s="124"/>
    </row>
    <row r="26" spans="1:14" ht="15.75">
      <c r="A26" s="31"/>
      <c r="B26" s="32" t="s">
        <v>14</v>
      </c>
      <c r="C26" s="32"/>
      <c r="D26" s="33"/>
      <c r="E26" s="33"/>
      <c r="F26" s="33" t="s">
        <v>151</v>
      </c>
      <c r="G26" s="33"/>
      <c r="H26" s="33" t="s">
        <v>207</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0.722495</v>
      </c>
      <c r="D30" s="34"/>
      <c r="E30" s="35"/>
      <c r="F30" s="34">
        <f>166500*C30</f>
        <v>120295.4175</v>
      </c>
      <c r="G30" s="34"/>
      <c r="H30" s="34">
        <v>18500</v>
      </c>
      <c r="I30" s="34"/>
      <c r="J30" s="34"/>
      <c r="K30" s="36"/>
      <c r="L30" s="34">
        <f>H30+F30</f>
        <v>138795.41749999998</v>
      </c>
      <c r="M30" s="37"/>
      <c r="N30" s="124"/>
    </row>
    <row r="31" spans="1:14" ht="12.75" customHeight="1">
      <c r="A31" s="31"/>
      <c r="B31" s="32" t="s">
        <v>18</v>
      </c>
      <c r="C31" s="39">
        <v>0.668125</v>
      </c>
      <c r="D31" s="40"/>
      <c r="E31" s="41"/>
      <c r="F31" s="40">
        <f>166500*C31*1</f>
        <v>111242.8125</v>
      </c>
      <c r="G31" s="40"/>
      <c r="H31" s="40">
        <v>18500</v>
      </c>
      <c r="I31" s="40"/>
      <c r="J31" s="40"/>
      <c r="K31" s="42"/>
      <c r="L31" s="40">
        <f>H31+F31+D31</f>
        <v>129742.8125</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v>0.0394375</v>
      </c>
      <c r="G33" s="45"/>
      <c r="H33" s="44">
        <v>0.0451875</v>
      </c>
      <c r="I33" s="45"/>
      <c r="J33" s="44"/>
      <c r="K33" s="30"/>
      <c r="L33" s="45">
        <f>SUMPRODUCT(F33:H33,F30:H30)/L30</f>
        <v>0.040203915793230356</v>
      </c>
      <c r="M33" s="27"/>
      <c r="N33" s="124"/>
    </row>
    <row r="34" spans="1:14" ht="15.75">
      <c r="A34" s="26"/>
      <c r="B34" s="27" t="s">
        <v>21</v>
      </c>
      <c r="C34" s="27"/>
      <c r="D34" s="44"/>
      <c r="E34" s="27"/>
      <c r="F34" s="44">
        <v>0.0430945</v>
      </c>
      <c r="G34" s="45"/>
      <c r="H34" s="44">
        <v>0.0488445</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128"/>
      <c r="I38" s="46"/>
      <c r="J38" s="46"/>
      <c r="K38" s="46"/>
      <c r="L38" s="46"/>
      <c r="M38" s="27"/>
      <c r="N38" s="124"/>
    </row>
    <row r="39" spans="1:14" ht="15.75">
      <c r="A39" s="26"/>
      <c r="B39" s="27" t="s">
        <v>25</v>
      </c>
      <c r="C39" s="27"/>
      <c r="D39" s="27"/>
      <c r="E39" s="27"/>
      <c r="F39" s="27"/>
      <c r="G39" s="27"/>
      <c r="H39" s="1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0.16630287911859473</v>
      </c>
      <c r="M40" s="27"/>
      <c r="N40" s="124"/>
    </row>
    <row r="41" spans="1:14" ht="15.75">
      <c r="A41" s="26"/>
      <c r="B41" s="27" t="s">
        <v>27</v>
      </c>
      <c r="C41" s="27"/>
      <c r="D41" s="27"/>
      <c r="E41" s="27"/>
      <c r="F41" s="1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37788</v>
      </c>
      <c r="M44" s="27"/>
      <c r="N44" s="124"/>
    </row>
    <row r="45" spans="1:14" ht="15.75">
      <c r="A45" s="26"/>
      <c r="B45" s="27" t="s">
        <v>30</v>
      </c>
      <c r="C45" s="27"/>
      <c r="D45" s="27"/>
      <c r="E45" s="27"/>
      <c r="F45" s="27"/>
      <c r="G45" s="27"/>
      <c r="H45" s="27"/>
      <c r="I45" s="27">
        <f>L45-J45+1</f>
        <v>91</v>
      </c>
      <c r="J45" s="50">
        <v>37606</v>
      </c>
      <c r="K45" s="51"/>
      <c r="L45" s="50">
        <v>37696</v>
      </c>
      <c r="M45" s="27"/>
      <c r="N45" s="124"/>
    </row>
    <row r="46" spans="1:14" ht="15.75">
      <c r="A46" s="26"/>
      <c r="B46" s="27" t="s">
        <v>31</v>
      </c>
      <c r="C46" s="27"/>
      <c r="D46" s="27"/>
      <c r="E46" s="27"/>
      <c r="F46" s="27"/>
      <c r="G46" s="27"/>
      <c r="H46" s="27"/>
      <c r="I46" s="27">
        <f>L46-J46+1</f>
        <v>91</v>
      </c>
      <c r="J46" s="50">
        <v>37697</v>
      </c>
      <c r="K46" s="51"/>
      <c r="L46" s="50">
        <v>37787</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37775</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6.5" thickBot="1">
      <c r="A51" s="129"/>
      <c r="B51" s="136" t="s">
        <v>209</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138795</v>
      </c>
      <c r="E56" s="37"/>
      <c r="F56" s="37">
        <f>9052+1022</f>
        <v>10074</v>
      </c>
      <c r="G56" s="37"/>
      <c r="H56" s="37">
        <v>1022</v>
      </c>
      <c r="I56" s="37"/>
      <c r="J56" s="37">
        <v>0</v>
      </c>
      <c r="K56" s="37"/>
      <c r="L56" s="58">
        <f>D56-F56+H56-J56</f>
        <v>129743</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138795</v>
      </c>
      <c r="E59" s="37"/>
      <c r="F59" s="37">
        <f>SUM(F56:F58)</f>
        <v>10074</v>
      </c>
      <c r="G59" s="37"/>
      <c r="H59" s="37">
        <f>SUM(H56:H58)</f>
        <v>1022</v>
      </c>
      <c r="I59" s="37"/>
      <c r="J59" s="37">
        <f>SUM(J56:J58)</f>
        <v>0</v>
      </c>
      <c r="K59" s="37"/>
      <c r="L59" s="59">
        <f>SUM(L56:L58)</f>
        <v>129743</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0</v>
      </c>
      <c r="E70" s="37"/>
      <c r="F70" s="37"/>
      <c r="G70" s="37"/>
      <c r="H70" s="37"/>
      <c r="I70" s="37"/>
      <c r="J70" s="37"/>
      <c r="K70" s="37"/>
      <c r="L70" s="59">
        <v>0</v>
      </c>
      <c r="M70" s="27"/>
      <c r="N70" s="124"/>
    </row>
    <row r="71" spans="1:14" ht="15.75">
      <c r="A71" s="26"/>
      <c r="B71" s="27" t="s">
        <v>44</v>
      </c>
      <c r="C71" s="59">
        <f>SUM(C59:C70)</f>
        <v>185000</v>
      </c>
      <c r="D71" s="59">
        <f>SUM(D59:D70)</f>
        <v>138795</v>
      </c>
      <c r="E71" s="37"/>
      <c r="F71" s="59"/>
      <c r="G71" s="37"/>
      <c r="H71" s="59"/>
      <c r="I71" s="37"/>
      <c r="J71" s="59"/>
      <c r="K71" s="37"/>
      <c r="L71" s="59">
        <f>SUM(L59:L70)</f>
        <v>129743</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37771</v>
      </c>
      <c r="E75" s="27"/>
      <c r="F75" s="27"/>
      <c r="G75" s="27"/>
      <c r="H75" s="27"/>
      <c r="I75" s="27"/>
      <c r="J75" s="37">
        <v>10074</v>
      </c>
      <c r="K75" s="27"/>
      <c r="L75" s="58"/>
      <c r="M75" s="27"/>
      <c r="N75" s="124"/>
    </row>
    <row r="76" spans="1:14" ht="15.75">
      <c r="A76" s="26"/>
      <c r="B76" s="27" t="s">
        <v>48</v>
      </c>
      <c r="C76" s="27"/>
      <c r="D76" s="27"/>
      <c r="E76" s="27"/>
      <c r="F76" s="27"/>
      <c r="G76" s="27"/>
      <c r="H76" s="27"/>
      <c r="I76" s="27"/>
      <c r="J76" s="37"/>
      <c r="K76" s="27"/>
      <c r="L76" s="58">
        <f>1799-4+320-4</f>
        <v>2111</v>
      </c>
      <c r="M76" s="27"/>
      <c r="N76" s="124"/>
    </row>
    <row r="77" spans="1:14" ht="15.75">
      <c r="A77" s="26"/>
      <c r="B77" s="27" t="s">
        <v>49</v>
      </c>
      <c r="C77" s="27"/>
      <c r="D77" s="27"/>
      <c r="E77" s="27"/>
      <c r="F77" s="27"/>
      <c r="G77" s="27"/>
      <c r="H77" s="27"/>
      <c r="I77" s="27"/>
      <c r="J77" s="37"/>
      <c r="K77" s="27"/>
      <c r="L77" s="58">
        <v>0</v>
      </c>
      <c r="M77" s="27"/>
      <c r="N77" s="124"/>
    </row>
    <row r="78" spans="1:14" ht="15.75">
      <c r="A78" s="26"/>
      <c r="B78" s="27" t="s">
        <v>50</v>
      </c>
      <c r="C78" s="27"/>
      <c r="D78" s="27"/>
      <c r="E78" s="27"/>
      <c r="F78" s="27"/>
      <c r="G78" s="27"/>
      <c r="H78" s="27"/>
      <c r="I78" s="27"/>
      <c r="J78" s="37">
        <f>SUM(J74:J77)</f>
        <v>10074</v>
      </c>
      <c r="K78" s="27"/>
      <c r="L78" s="59">
        <f>SUM(L74:L77)</f>
        <v>2111</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10074</v>
      </c>
      <c r="K80" s="27"/>
      <c r="L80" s="59">
        <f>L78+L79</f>
        <v>2111</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-105-9</f>
        <v>-114</v>
      </c>
      <c r="M84" s="27"/>
      <c r="N84" s="124"/>
    </row>
    <row r="85" spans="1:14" ht="15.75">
      <c r="A85" s="26">
        <v>4</v>
      </c>
      <c r="B85" s="27" t="s">
        <v>57</v>
      </c>
      <c r="C85" s="27"/>
      <c r="D85" s="27"/>
      <c r="E85" s="27"/>
      <c r="F85" s="27"/>
      <c r="G85" s="27"/>
      <c r="H85" s="27"/>
      <c r="I85" s="27"/>
      <c r="J85" s="27"/>
      <c r="K85" s="27"/>
      <c r="L85" s="58">
        <v>-194</v>
      </c>
      <c r="M85" s="27"/>
      <c r="N85" s="124"/>
    </row>
    <row r="86" spans="1:14" ht="15.75">
      <c r="A86" s="26">
        <v>5</v>
      </c>
      <c r="B86" s="27" t="s">
        <v>58</v>
      </c>
      <c r="C86" s="27"/>
      <c r="D86" s="27"/>
      <c r="E86" s="27"/>
      <c r="F86" s="27"/>
      <c r="G86" s="27"/>
      <c r="H86" s="27"/>
      <c r="I86" s="27"/>
      <c r="J86" s="27"/>
      <c r="K86" s="27"/>
      <c r="L86" s="58">
        <v>-1183</v>
      </c>
      <c r="M86" s="27"/>
      <c r="N86" s="124"/>
    </row>
    <row r="87" spans="1:14" ht="15.75">
      <c r="A87" s="26">
        <v>6</v>
      </c>
      <c r="B87" s="27" t="s">
        <v>59</v>
      </c>
      <c r="C87" s="27"/>
      <c r="D87" s="27"/>
      <c r="E87" s="27"/>
      <c r="F87" s="27"/>
      <c r="G87" s="27"/>
      <c r="H87" s="27"/>
      <c r="I87" s="27"/>
      <c r="J87" s="27"/>
      <c r="K87" s="27"/>
      <c r="L87" s="58">
        <v>-208</v>
      </c>
      <c r="M87" s="27"/>
      <c r="N87" s="124"/>
    </row>
    <row r="88" spans="1:14" ht="15.75">
      <c r="A88" s="26">
        <v>7</v>
      </c>
      <c r="B88" s="27" t="s">
        <v>60</v>
      </c>
      <c r="C88" s="27"/>
      <c r="D88" s="27"/>
      <c r="E88" s="27"/>
      <c r="F88" s="27"/>
      <c r="G88" s="27"/>
      <c r="H88" s="27"/>
      <c r="I88" s="27"/>
      <c r="J88" s="27"/>
      <c r="K88" s="27"/>
      <c r="L88" s="58">
        <v>-5</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-8-104</f>
        <v>-112</v>
      </c>
      <c r="M93" s="27"/>
      <c r="N93" s="124"/>
    </row>
    <row r="94" spans="1:14" ht="15.75">
      <c r="A94" s="26">
        <v>13</v>
      </c>
      <c r="B94" s="27" t="s">
        <v>66</v>
      </c>
      <c r="C94" s="27"/>
      <c r="D94" s="27"/>
      <c r="E94" s="27"/>
      <c r="F94" s="27"/>
      <c r="G94" s="27"/>
      <c r="H94" s="27"/>
      <c r="I94" s="27"/>
      <c r="J94" s="27"/>
      <c r="K94" s="27"/>
      <c r="L94" s="58">
        <f>-SUM(L80:L93)</f>
        <v>-291</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-2</v>
      </c>
      <c r="K96" s="37"/>
      <c r="L96" s="58"/>
      <c r="M96" s="27"/>
      <c r="N96" s="124"/>
    </row>
    <row r="97" spans="1:14" ht="15.75">
      <c r="A97" s="26"/>
      <c r="B97" s="27" t="s">
        <v>69</v>
      </c>
      <c r="C97" s="27"/>
      <c r="D97" s="27"/>
      <c r="E97" s="27"/>
      <c r="F97" s="27"/>
      <c r="G97" s="27"/>
      <c r="H97" s="27"/>
      <c r="I97" s="27"/>
      <c r="J97" s="37">
        <f>-H141</f>
        <v>-1020</v>
      </c>
      <c r="K97" s="37"/>
      <c r="L97" s="58"/>
      <c r="M97" s="27"/>
      <c r="N97" s="124"/>
    </row>
    <row r="98" spans="1:14" ht="15.75">
      <c r="A98" s="26"/>
      <c r="B98" s="27" t="s">
        <v>70</v>
      </c>
      <c r="C98" s="27"/>
      <c r="D98" s="27"/>
      <c r="E98" s="27"/>
      <c r="F98" s="27"/>
      <c r="G98" s="27"/>
      <c r="H98" s="27"/>
      <c r="I98" s="27"/>
      <c r="J98" s="37">
        <v>-9052</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-10074</v>
      </c>
      <c r="K100" s="37"/>
      <c r="L100" s="37">
        <f>SUM(L81:L99)</f>
        <v>-2111</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6" t="str">
        <f>B51</f>
        <v>PM2 INVESTOR REPORT QUARTER ENDING MAY 2003</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v>0</v>
      </c>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30"/>
      <c r="D120" s="30"/>
      <c r="E120" s="30"/>
      <c r="F120" s="30"/>
      <c r="G120" s="30"/>
      <c r="H120" s="30"/>
      <c r="I120" s="30"/>
      <c r="J120" s="30"/>
      <c r="K120" s="30"/>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129743</v>
      </c>
      <c r="M134" s="27"/>
      <c r="N134" s="124"/>
    </row>
    <row r="135" spans="1:14" ht="15.75">
      <c r="A135" s="26"/>
      <c r="B135" s="27" t="s">
        <v>95</v>
      </c>
      <c r="C135" s="73"/>
      <c r="D135" s="27"/>
      <c r="E135" s="27"/>
      <c r="F135" s="27"/>
      <c r="G135" s="27"/>
      <c r="H135" s="27"/>
      <c r="I135" s="27"/>
      <c r="J135" s="27"/>
      <c r="K135" s="27"/>
      <c r="L135" s="58">
        <f>L71</f>
        <v>129743</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18414</v>
      </c>
      <c r="I140" s="27"/>
      <c r="J140" s="58">
        <v>564</v>
      </c>
      <c r="K140" s="27"/>
      <c r="L140" s="58">
        <f>J140+H140</f>
        <v>18978</v>
      </c>
      <c r="M140" s="27"/>
      <c r="N140" s="124"/>
    </row>
    <row r="141" spans="1:14" ht="15.75">
      <c r="A141" s="26"/>
      <c r="B141" s="27" t="s">
        <v>99</v>
      </c>
      <c r="C141" s="27"/>
      <c r="D141" s="27"/>
      <c r="E141" s="27"/>
      <c r="F141" s="27"/>
      <c r="G141" s="27"/>
      <c r="H141" s="58">
        <v>1020</v>
      </c>
      <c r="I141" s="27"/>
      <c r="J141" s="58">
        <v>2</v>
      </c>
      <c r="K141" s="27"/>
      <c r="L141" s="58">
        <f>J141+H141</f>
        <v>1022</v>
      </c>
      <c r="M141" s="27"/>
      <c r="N141" s="124"/>
    </row>
    <row r="142" spans="1:14" ht="15.75">
      <c r="A142" s="26"/>
      <c r="B142" s="27" t="s">
        <v>100</v>
      </c>
      <c r="C142" s="27"/>
      <c r="D142" s="27"/>
      <c r="E142" s="27"/>
      <c r="F142" s="27"/>
      <c r="G142" s="27"/>
      <c r="H142" s="58">
        <f>H140+H141</f>
        <v>19434</v>
      </c>
      <c r="I142" s="27"/>
      <c r="J142" s="58">
        <f>J141+J140</f>
        <v>566</v>
      </c>
      <c r="K142" s="27"/>
      <c r="L142" s="58">
        <f>J142+H142</f>
        <v>20000</v>
      </c>
      <c r="M142" s="27"/>
      <c r="N142" s="124"/>
    </row>
    <row r="143" spans="1:14" ht="15.75">
      <c r="A143" s="26"/>
      <c r="B143" s="27" t="s">
        <v>101</v>
      </c>
      <c r="C143" s="27"/>
      <c r="D143" s="27"/>
      <c r="E143" s="27"/>
      <c r="F143" s="27"/>
      <c r="G143" s="27"/>
      <c r="H143" s="58">
        <f>H139-H142-J142</f>
        <v>0</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1.5207100591715976</v>
      </c>
      <c r="M147" s="27" t="s">
        <v>189</v>
      </c>
      <c r="N147" s="124"/>
    </row>
    <row r="148" spans="1:14" ht="15.75">
      <c r="A148" s="26"/>
      <c r="B148" s="27" t="s">
        <v>104</v>
      </c>
      <c r="C148" s="27"/>
      <c r="D148" s="27"/>
      <c r="E148" s="27"/>
      <c r="F148" s="27"/>
      <c r="G148" s="27"/>
      <c r="H148" s="27"/>
      <c r="I148" s="27"/>
      <c r="J148" s="27"/>
      <c r="K148" s="27"/>
      <c r="L148" s="66">
        <v>1.38</v>
      </c>
      <c r="M148" s="27" t="s">
        <v>189</v>
      </c>
      <c r="N148" s="124"/>
    </row>
    <row r="149" spans="1:14" ht="15.75">
      <c r="A149" s="26"/>
      <c r="B149" s="27" t="s">
        <v>105</v>
      </c>
      <c r="C149" s="27"/>
      <c r="D149" s="27"/>
      <c r="E149" s="27"/>
      <c r="F149" s="27"/>
      <c r="G149" s="27"/>
      <c r="H149" s="27"/>
      <c r="I149" s="27"/>
      <c r="J149" s="27"/>
      <c r="K149" s="27"/>
      <c r="L149" s="66">
        <f>(L80+SUM(L82:L86))/-L87</f>
        <v>2.9615384615384617</v>
      </c>
      <c r="M149" s="27" t="s">
        <v>189</v>
      </c>
      <c r="N149" s="124"/>
    </row>
    <row r="150" spans="1:14" ht="15.75">
      <c r="A150" s="26"/>
      <c r="B150" s="27" t="s">
        <v>106</v>
      </c>
      <c r="C150" s="27"/>
      <c r="D150" s="27"/>
      <c r="E150" s="27"/>
      <c r="F150" s="27"/>
      <c r="G150" s="27"/>
      <c r="H150" s="27"/>
      <c r="I150" s="27"/>
      <c r="J150" s="27"/>
      <c r="K150" s="27"/>
      <c r="L150" s="75">
        <v>2.76</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6.5" thickBot="1">
      <c r="A153" s="129"/>
      <c r="B153" s="136" t="str">
        <f>B104</f>
        <v>PM2 INVESTOR REPORT QUARTER ENDING MAY 2003</v>
      </c>
      <c r="C153" s="131"/>
      <c r="D153" s="131"/>
      <c r="E153" s="131"/>
      <c r="F153" s="131"/>
      <c r="G153" s="131"/>
      <c r="H153" s="131"/>
      <c r="I153" s="131"/>
      <c r="J153" s="131"/>
      <c r="K153" s="131"/>
      <c r="L153" s="131"/>
      <c r="M153" s="134"/>
      <c r="N153" s="124"/>
    </row>
    <row r="154" spans="1:14" ht="15.75">
      <c r="A154" s="2"/>
      <c r="B154" s="76"/>
      <c r="C154" s="76"/>
      <c r="D154" s="76"/>
      <c r="E154" s="76"/>
      <c r="F154" s="76"/>
      <c r="G154" s="76"/>
      <c r="H154" s="76"/>
      <c r="I154" s="76"/>
      <c r="J154" s="76"/>
      <c r="K154" s="76"/>
      <c r="L154" s="76"/>
      <c r="M154" s="76"/>
      <c r="N154" s="124"/>
    </row>
    <row r="155" spans="1:14" ht="15.75">
      <c r="A155" s="77"/>
      <c r="B155" s="56" t="s">
        <v>107</v>
      </c>
      <c r="C155" s="78"/>
      <c r="D155" s="78"/>
      <c r="E155" s="78"/>
      <c r="F155" s="78"/>
      <c r="G155" s="20"/>
      <c r="H155" s="20"/>
      <c r="I155" s="20"/>
      <c r="J155" s="20">
        <v>37771</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0.05862</v>
      </c>
      <c r="K160" s="27"/>
      <c r="L160" s="27"/>
      <c r="M160" s="27"/>
      <c r="N160" s="124"/>
    </row>
    <row r="161" spans="1:14" ht="15.75">
      <c r="A161" s="84"/>
      <c r="B161" s="85" t="s">
        <v>112</v>
      </c>
      <c r="C161" s="86"/>
      <c r="D161" s="86"/>
      <c r="E161" s="86"/>
      <c r="F161" s="86"/>
      <c r="G161" s="72"/>
      <c r="H161" s="72"/>
      <c r="I161" s="72"/>
      <c r="J161" s="87">
        <f>L33</f>
        <v>0.040203915793230356</v>
      </c>
      <c r="K161" s="27"/>
      <c r="L161" s="27"/>
      <c r="M161" s="27"/>
      <c r="N161" s="124"/>
    </row>
    <row r="162" spans="1:14" ht="15.75">
      <c r="A162" s="84"/>
      <c r="B162" s="85" t="s">
        <v>113</v>
      </c>
      <c r="C162" s="86"/>
      <c r="D162" s="86"/>
      <c r="E162" s="86"/>
      <c r="F162" s="86"/>
      <c r="G162" s="72"/>
      <c r="H162" s="72"/>
      <c r="I162" s="72"/>
      <c r="J162" s="87">
        <f>J160-J161</f>
        <v>0.018416084206769642</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16.67</v>
      </c>
      <c r="K166" s="27" t="s">
        <v>182</v>
      </c>
      <c r="L166" s="27"/>
      <c r="M166" s="27"/>
      <c r="N166" s="124"/>
    </row>
    <row r="167" spans="1:14" ht="15.75">
      <c r="A167" s="84"/>
      <c r="B167" s="85" t="s">
        <v>118</v>
      </c>
      <c r="C167" s="86"/>
      <c r="D167" s="86"/>
      <c r="E167" s="86"/>
      <c r="F167" s="86"/>
      <c r="G167" s="72"/>
      <c r="H167" s="72"/>
      <c r="I167" s="72"/>
      <c r="J167" s="87">
        <f>F56/'Feb 2003'!L56</f>
        <v>0.0725818653409705</v>
      </c>
      <c r="K167" s="27"/>
      <c r="L167" s="27"/>
      <c r="M167" s="27"/>
      <c r="N167" s="124"/>
    </row>
    <row r="168" spans="1:14" ht="15.75">
      <c r="A168" s="84"/>
      <c r="B168" s="85" t="s">
        <v>119</v>
      </c>
      <c r="C168" s="86"/>
      <c r="D168" s="86"/>
      <c r="E168" s="86"/>
      <c r="F168" s="86"/>
      <c r="G168" s="72"/>
      <c r="H168" s="72"/>
      <c r="I168" s="72"/>
      <c r="J168" s="87">
        <v>0.1376</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f>2+9</f>
        <v>11</v>
      </c>
      <c r="J171" s="96">
        <f>161+426</f>
        <v>587</v>
      </c>
      <c r="K171" s="27"/>
      <c r="L171" s="90"/>
      <c r="M171" s="97"/>
      <c r="N171" s="124"/>
    </row>
    <row r="172" spans="1:14" ht="15.75">
      <c r="A172" s="95"/>
      <c r="B172" s="85" t="s">
        <v>122</v>
      </c>
      <c r="C172" s="59"/>
      <c r="D172" s="59"/>
      <c r="E172" s="59"/>
      <c r="F172" s="27"/>
      <c r="G172" s="27"/>
      <c r="H172" s="27"/>
      <c r="I172" s="28">
        <v>2</v>
      </c>
      <c r="J172" s="96">
        <v>187</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0</v>
      </c>
      <c r="J176" s="96">
        <v>0</v>
      </c>
      <c r="K176" s="27"/>
      <c r="L176" s="90"/>
      <c r="M176" s="99"/>
      <c r="N176" s="124"/>
    </row>
    <row r="177" spans="1:14" ht="15.75">
      <c r="A177" s="95"/>
      <c r="B177" s="85" t="s">
        <v>127</v>
      </c>
      <c r="C177" s="59"/>
      <c r="D177" s="59"/>
      <c r="E177" s="59"/>
      <c r="F177" s="59"/>
      <c r="G177" s="27"/>
      <c r="H177" s="27"/>
      <c r="I177" s="27">
        <f>'Feb 2003'!I177+I176</f>
        <v>2</v>
      </c>
      <c r="J177" s="96">
        <f>'Feb 2003'!J177+J176</f>
        <v>3</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c r="J180" s="96">
        <v>0</v>
      </c>
      <c r="K180" s="27"/>
      <c r="L180" s="90"/>
      <c r="M180" s="99"/>
      <c r="N180" s="124"/>
    </row>
    <row r="181" spans="1:14" ht="15.75">
      <c r="A181" s="95"/>
      <c r="B181" s="85" t="s">
        <v>130</v>
      </c>
      <c r="C181" s="59"/>
      <c r="D181" s="100"/>
      <c r="E181" s="100"/>
      <c r="F181" s="101"/>
      <c r="G181" s="27"/>
      <c r="H181" s="27"/>
      <c r="I181" s="27"/>
      <c r="J181" s="96">
        <v>0</v>
      </c>
      <c r="K181" s="27"/>
      <c r="L181" s="90"/>
      <c r="M181" s="99"/>
      <c r="N181" s="124"/>
    </row>
    <row r="182" spans="1:14" ht="15.75">
      <c r="A182" s="95"/>
      <c r="B182" s="85" t="s">
        <v>131</v>
      </c>
      <c r="C182" s="59"/>
      <c r="D182" s="100"/>
      <c r="E182" s="100"/>
      <c r="F182" s="101"/>
      <c r="G182" s="27"/>
      <c r="H182" s="27"/>
      <c r="I182" s="27"/>
      <c r="J182" s="96">
        <v>0</v>
      </c>
      <c r="K182" s="27"/>
      <c r="L182" s="90"/>
      <c r="M182" s="99"/>
      <c r="N182" s="124"/>
    </row>
    <row r="183" spans="1:14" ht="15.75">
      <c r="A183" s="95"/>
      <c r="B183" s="85" t="s">
        <v>132</v>
      </c>
      <c r="C183" s="59"/>
      <c r="D183" s="102"/>
      <c r="E183" s="100"/>
      <c r="F183" s="101"/>
      <c r="G183" s="27"/>
      <c r="H183" s="27"/>
      <c r="I183" s="27"/>
      <c r="J183" s="103">
        <v>0</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2232</v>
      </c>
      <c r="I186" s="105">
        <f>H186/H191</f>
        <v>0.9854304635761589</v>
      </c>
      <c r="J186" s="58">
        <v>128410</v>
      </c>
      <c r="K186" s="106">
        <f>J186/J191</f>
        <v>0.9897258426273479</v>
      </c>
      <c r="L186" s="90"/>
      <c r="M186" s="99"/>
      <c r="N186" s="124"/>
    </row>
    <row r="187" spans="1:14" ht="15.75">
      <c r="A187" s="26"/>
      <c r="B187" s="59" t="s">
        <v>135</v>
      </c>
      <c r="C187" s="105"/>
      <c r="D187" s="59"/>
      <c r="E187" s="105"/>
      <c r="F187" s="27"/>
      <c r="G187" s="107"/>
      <c r="H187" s="59">
        <v>13</v>
      </c>
      <c r="I187" s="105">
        <f>H187/H191</f>
        <v>0.005739514348785872</v>
      </c>
      <c r="J187" s="58">
        <v>437</v>
      </c>
      <c r="K187" s="106">
        <f>J187/J191</f>
        <v>0.0033681971281687645</v>
      </c>
      <c r="L187" s="90"/>
      <c r="M187" s="99"/>
      <c r="N187" s="124"/>
    </row>
    <row r="188" spans="1:14" ht="15.75">
      <c r="A188" s="26"/>
      <c r="B188" s="59" t="s">
        <v>136</v>
      </c>
      <c r="C188" s="105"/>
      <c r="D188" s="59"/>
      <c r="E188" s="105"/>
      <c r="F188" s="27"/>
      <c r="G188" s="107"/>
      <c r="H188" s="59">
        <v>3</v>
      </c>
      <c r="I188" s="105">
        <f>H188/H191</f>
        <v>0.0013245033112582781</v>
      </c>
      <c r="J188" s="58">
        <v>90</v>
      </c>
      <c r="K188" s="106">
        <f>J188/J191</f>
        <v>0.0006936790424146197</v>
      </c>
      <c r="L188" s="90"/>
      <c r="M188" s="99"/>
      <c r="N188" s="124"/>
    </row>
    <row r="189" spans="1:14" ht="15.75">
      <c r="A189" s="26"/>
      <c r="B189" s="59" t="s">
        <v>137</v>
      </c>
      <c r="C189" s="105"/>
      <c r="D189" s="59"/>
      <c r="E189" s="105"/>
      <c r="F189" s="27"/>
      <c r="G189" s="107"/>
      <c r="H189" s="59">
        <f>3+5+1+8</f>
        <v>17</v>
      </c>
      <c r="I189" s="105">
        <f>H189/H191</f>
        <v>0.0075055187637969095</v>
      </c>
      <c r="J189" s="58">
        <f>159+213+42+392</f>
        <v>806</v>
      </c>
      <c r="K189" s="106">
        <f>J189/$J191</f>
        <v>0.006212281202068705</v>
      </c>
      <c r="L189" s="90"/>
      <c r="M189" s="99"/>
      <c r="N189" s="124"/>
    </row>
    <row r="190" spans="1:14" ht="15.75">
      <c r="A190" s="26"/>
      <c r="B190" s="30"/>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2265</v>
      </c>
      <c r="I191" s="109">
        <f>SUM(I186:I190)</f>
        <v>1</v>
      </c>
      <c r="J191" s="58">
        <f>SUM(J186:J190)</f>
        <v>129743</v>
      </c>
      <c r="K191" s="109">
        <f>SUM(K186:K190)</f>
        <v>0.9999999999999999</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5"/>
      <c r="K194" s="15"/>
      <c r="L194" s="15"/>
      <c r="M194" s="15"/>
      <c r="N194" s="124"/>
    </row>
    <row r="195" spans="1:14" ht="15.75">
      <c r="A195" s="117"/>
      <c r="B195" s="15"/>
      <c r="C195" s="15"/>
      <c r="D195" s="10"/>
      <c r="E195" s="10"/>
      <c r="F195" s="10"/>
      <c r="G195" s="15"/>
      <c r="H195" s="15"/>
      <c r="I195" s="15"/>
      <c r="J195" s="15"/>
      <c r="K195" s="15"/>
      <c r="L195" s="15"/>
      <c r="M195" s="15"/>
      <c r="N195" s="124"/>
    </row>
    <row r="196" spans="1:14" ht="15.75">
      <c r="A196" s="117"/>
      <c r="B196" s="16" t="s">
        <v>139</v>
      </c>
      <c r="C196" s="118"/>
      <c r="D196" s="119" t="s">
        <v>147</v>
      </c>
      <c r="E196" s="16"/>
      <c r="F196" s="16" t="s">
        <v>160</v>
      </c>
      <c r="G196" s="118"/>
      <c r="H196" s="118"/>
      <c r="I196" s="15"/>
      <c r="J196" s="15"/>
      <c r="K196" s="15"/>
      <c r="L196" s="15"/>
      <c r="M196" s="15"/>
      <c r="N196" s="124"/>
    </row>
    <row r="197" spans="1:14" ht="15.75">
      <c r="A197" s="117"/>
      <c r="B197" s="16" t="s">
        <v>140</v>
      </c>
      <c r="C197" s="118"/>
      <c r="D197" s="119" t="s">
        <v>148</v>
      </c>
      <c r="E197" s="16"/>
      <c r="F197" s="16" t="s">
        <v>161</v>
      </c>
      <c r="G197" s="118"/>
      <c r="H197" s="118"/>
      <c r="I197" s="15"/>
      <c r="J197" s="15"/>
      <c r="K197" s="15"/>
      <c r="L197" s="15"/>
      <c r="M197" s="15"/>
      <c r="N197" s="124"/>
    </row>
    <row r="198" spans="1:14" ht="15.75">
      <c r="A198" s="117"/>
      <c r="B198" s="16"/>
      <c r="C198" s="118"/>
      <c r="D198" s="119"/>
      <c r="E198" s="16"/>
      <c r="F198" s="16"/>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5.75">
      <c r="A200" s="117"/>
      <c r="B200" s="16" t="str">
        <f>B153</f>
        <v>PM2 INVESTOR REPORT QUARTER ENDING MAY 2003</v>
      </c>
      <c r="C200" s="118"/>
      <c r="D200" s="119"/>
      <c r="E200" s="16"/>
      <c r="F200" s="16"/>
      <c r="G200" s="118"/>
      <c r="H200" s="118"/>
      <c r="I200" s="15"/>
      <c r="J200" s="15"/>
      <c r="K200" s="15"/>
      <c r="L200" s="15"/>
      <c r="M200" s="15"/>
      <c r="N200" s="124"/>
    </row>
    <row r="201" spans="1:13" ht="15">
      <c r="A201" s="125"/>
      <c r="B201" s="125"/>
      <c r="C201" s="125"/>
      <c r="D201" s="125"/>
      <c r="E201" s="125"/>
      <c r="F201" s="125"/>
      <c r="G201" s="125"/>
      <c r="H201" s="125"/>
      <c r="I201" s="125"/>
      <c r="J201" s="125"/>
      <c r="K201" s="125"/>
      <c r="L201" s="125"/>
      <c r="M201"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4.xml><?xml version="1.0" encoding="utf-8"?>
<worksheet xmlns="http://schemas.openxmlformats.org/spreadsheetml/2006/main" xmlns:r="http://schemas.openxmlformats.org/officeDocument/2006/relationships">
  <dimension ref="A1:N203"/>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6.105468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37"/>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37880</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37"/>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145"/>
      <c r="J22" s="24"/>
      <c r="K22" s="137"/>
      <c r="L22" s="137"/>
      <c r="M22" s="10"/>
      <c r="N22" s="124"/>
    </row>
    <row r="23" spans="1:14" ht="15.75">
      <c r="A23" s="8"/>
      <c r="B23" s="10" t="s">
        <v>11</v>
      </c>
      <c r="C23" s="144" t="s">
        <v>142</v>
      </c>
      <c r="D23" s="24"/>
      <c r="E23" s="24"/>
      <c r="F23" s="24" t="s">
        <v>150</v>
      </c>
      <c r="G23" s="24"/>
      <c r="H23" s="24" t="s">
        <v>163</v>
      </c>
      <c r="I23" s="24"/>
      <c r="J23" s="24"/>
      <c r="K23" s="137"/>
      <c r="L23" s="137"/>
      <c r="M23" s="10"/>
      <c r="N23" s="124"/>
    </row>
    <row r="24" spans="1:14" ht="15.75">
      <c r="A24" s="26"/>
      <c r="B24" s="27" t="s">
        <v>12</v>
      </c>
      <c r="C24" s="28"/>
      <c r="D24" s="29"/>
      <c r="E24" s="29"/>
      <c r="F24" s="29" t="s">
        <v>151</v>
      </c>
      <c r="G24" s="29"/>
      <c r="H24" s="29" t="s">
        <v>164</v>
      </c>
      <c r="I24" s="29"/>
      <c r="J24" s="29"/>
      <c r="K24" s="138"/>
      <c r="L24" s="138"/>
      <c r="M24" s="27"/>
      <c r="N24" s="124"/>
    </row>
    <row r="25" spans="1:14" ht="15.75">
      <c r="A25" s="31"/>
      <c r="B25" s="32" t="s">
        <v>13</v>
      </c>
      <c r="C25" s="32"/>
      <c r="D25" s="33"/>
      <c r="E25" s="33"/>
      <c r="F25" s="33" t="s">
        <v>150</v>
      </c>
      <c r="G25" s="33"/>
      <c r="H25" s="33" t="s">
        <v>206</v>
      </c>
      <c r="I25" s="33"/>
      <c r="J25" s="29"/>
      <c r="K25" s="138"/>
      <c r="L25" s="138"/>
      <c r="M25" s="27"/>
      <c r="N25" s="124"/>
    </row>
    <row r="26" spans="1:14" ht="15.75">
      <c r="A26" s="31"/>
      <c r="B26" s="32" t="s">
        <v>14</v>
      </c>
      <c r="C26" s="32"/>
      <c r="D26" s="33"/>
      <c r="E26" s="33"/>
      <c r="F26" s="33" t="s">
        <v>151</v>
      </c>
      <c r="G26" s="33"/>
      <c r="H26" s="33" t="s">
        <v>207</v>
      </c>
      <c r="I26" s="33"/>
      <c r="J26" s="29"/>
      <c r="K26" s="138"/>
      <c r="L26" s="138"/>
      <c r="M26" s="27"/>
      <c r="N26" s="124"/>
    </row>
    <row r="27" spans="1:14" ht="15.75">
      <c r="A27" s="26"/>
      <c r="B27" s="27" t="s">
        <v>15</v>
      </c>
      <c r="C27" s="27"/>
      <c r="D27" s="28"/>
      <c r="E27" s="29"/>
      <c r="F27" s="28" t="s">
        <v>152</v>
      </c>
      <c r="G27" s="29"/>
      <c r="H27" s="28" t="s">
        <v>165</v>
      </c>
      <c r="I27" s="29"/>
      <c r="J27" s="28"/>
      <c r="K27" s="138"/>
      <c r="L27" s="138"/>
      <c r="M27" s="27"/>
      <c r="N27" s="124"/>
    </row>
    <row r="28" spans="1:14" ht="15.75">
      <c r="A28" s="26"/>
      <c r="B28" s="27"/>
      <c r="C28" s="27"/>
      <c r="D28" s="27"/>
      <c r="E28" s="29"/>
      <c r="F28" s="29"/>
      <c r="G28" s="29"/>
      <c r="H28" s="29"/>
      <c r="I28" s="29"/>
      <c r="J28" s="29"/>
      <c r="K28" s="138"/>
      <c r="L28" s="138"/>
      <c r="M28" s="27"/>
      <c r="N28" s="124"/>
    </row>
    <row r="29" spans="1:14" ht="15.75">
      <c r="A29" s="26"/>
      <c r="B29" s="27" t="s">
        <v>16</v>
      </c>
      <c r="C29" s="27"/>
      <c r="D29" s="34"/>
      <c r="E29" s="35"/>
      <c r="F29" s="34">
        <v>166500</v>
      </c>
      <c r="G29" s="34"/>
      <c r="H29" s="34">
        <v>18500</v>
      </c>
      <c r="I29" s="34"/>
      <c r="J29" s="34"/>
      <c r="K29" s="139"/>
      <c r="L29" s="34">
        <f>H29+F29</f>
        <v>185000</v>
      </c>
      <c r="M29" s="37"/>
      <c r="N29" s="124"/>
    </row>
    <row r="30" spans="1:14" ht="15.75">
      <c r="A30" s="26"/>
      <c r="B30" s="27" t="s">
        <v>17</v>
      </c>
      <c r="C30" s="38">
        <v>0.668125</v>
      </c>
      <c r="D30" s="34"/>
      <c r="E30" s="35"/>
      <c r="F30" s="34">
        <f>166500*C30</f>
        <v>111242.8125</v>
      </c>
      <c r="G30" s="34"/>
      <c r="H30" s="34">
        <v>18500</v>
      </c>
      <c r="I30" s="34"/>
      <c r="J30" s="34"/>
      <c r="K30" s="139"/>
      <c r="L30" s="34">
        <f>H30+F30</f>
        <v>129742.8125</v>
      </c>
      <c r="M30" s="37"/>
      <c r="N30" s="124"/>
    </row>
    <row r="31" spans="1:14" ht="12.75" customHeight="1">
      <c r="A31" s="31"/>
      <c r="B31" s="32" t="s">
        <v>18</v>
      </c>
      <c r="C31" s="39">
        <v>0.626776</v>
      </c>
      <c r="D31" s="40"/>
      <c r="E31" s="41"/>
      <c r="F31" s="40">
        <f>166500*C31*1</f>
        <v>104358.204</v>
      </c>
      <c r="G31" s="40"/>
      <c r="H31" s="40">
        <v>18500</v>
      </c>
      <c r="I31" s="40"/>
      <c r="J31" s="40"/>
      <c r="K31" s="42"/>
      <c r="L31" s="40">
        <f>H31+F31+D31</f>
        <v>122858.204</v>
      </c>
      <c r="M31" s="37"/>
      <c r="N31" s="124"/>
    </row>
    <row r="32" spans="1:14" ht="15.75">
      <c r="A32" s="26"/>
      <c r="B32" s="27" t="s">
        <v>19</v>
      </c>
      <c r="C32" s="43"/>
      <c r="D32" s="28"/>
      <c r="E32" s="27"/>
      <c r="F32" s="28" t="s">
        <v>153</v>
      </c>
      <c r="G32" s="28"/>
      <c r="H32" s="28" t="s">
        <v>166</v>
      </c>
      <c r="I32" s="28"/>
      <c r="J32" s="28"/>
      <c r="K32" s="138"/>
      <c r="L32" s="138"/>
      <c r="M32" s="27"/>
      <c r="N32" s="124"/>
    </row>
    <row r="33" spans="1:14" ht="15.75">
      <c r="A33" s="26"/>
      <c r="B33" s="27" t="s">
        <v>20</v>
      </c>
      <c r="C33" s="27"/>
      <c r="D33" s="44"/>
      <c r="E33" s="27"/>
      <c r="F33" s="44">
        <v>0.0393625</v>
      </c>
      <c r="G33" s="45"/>
      <c r="H33" s="44">
        <v>0.0451125</v>
      </c>
      <c r="I33" s="45"/>
      <c r="J33" s="44"/>
      <c r="K33" s="138"/>
      <c r="L33" s="45">
        <f>SUMPRODUCT(F33:H33,F30:H30)/L30</f>
        <v>0.04018239127528741</v>
      </c>
      <c r="M33" s="27"/>
      <c r="N33" s="124"/>
    </row>
    <row r="34" spans="1:14" ht="15.75">
      <c r="A34" s="26"/>
      <c r="B34" s="27" t="s">
        <v>21</v>
      </c>
      <c r="C34" s="27"/>
      <c r="D34" s="44"/>
      <c r="E34" s="27"/>
      <c r="F34" s="44">
        <v>0.0394375</v>
      </c>
      <c r="G34" s="45"/>
      <c r="H34" s="44">
        <v>0.0451875</v>
      </c>
      <c r="I34" s="45"/>
      <c r="J34" s="44"/>
      <c r="K34" s="138"/>
      <c r="L34" s="138"/>
      <c r="M34" s="27"/>
      <c r="N34" s="124"/>
    </row>
    <row r="35" spans="1:14" ht="15.75">
      <c r="A35" s="26"/>
      <c r="B35" s="27" t="s">
        <v>22</v>
      </c>
      <c r="C35" s="27"/>
      <c r="D35" s="28"/>
      <c r="E35" s="27"/>
      <c r="F35" s="28" t="s">
        <v>155</v>
      </c>
      <c r="G35" s="28"/>
      <c r="H35" s="28" t="s">
        <v>155</v>
      </c>
      <c r="I35" s="28"/>
      <c r="J35" s="28"/>
      <c r="K35" s="138"/>
      <c r="L35" s="138"/>
      <c r="M35" s="27"/>
      <c r="N35" s="124"/>
    </row>
    <row r="36" spans="1:14" ht="15.75">
      <c r="A36" s="26"/>
      <c r="B36" s="27" t="s">
        <v>23</v>
      </c>
      <c r="C36" s="27"/>
      <c r="D36" s="28"/>
      <c r="E36" s="27"/>
      <c r="F36" s="28" t="s">
        <v>156</v>
      </c>
      <c r="G36" s="28"/>
      <c r="H36" s="28" t="s">
        <v>156</v>
      </c>
      <c r="I36" s="28"/>
      <c r="J36" s="28"/>
      <c r="K36" s="138"/>
      <c r="L36" s="138"/>
      <c r="M36" s="27"/>
      <c r="N36" s="124"/>
    </row>
    <row r="37" spans="1:14" ht="15.75">
      <c r="A37" s="26"/>
      <c r="B37" s="27" t="s">
        <v>24</v>
      </c>
      <c r="C37" s="27"/>
      <c r="D37" s="28"/>
      <c r="E37" s="27"/>
      <c r="F37" s="28" t="s">
        <v>157</v>
      </c>
      <c r="G37" s="28"/>
      <c r="H37" s="28" t="s">
        <v>167</v>
      </c>
      <c r="I37" s="28"/>
      <c r="J37" s="28"/>
      <c r="K37" s="138"/>
      <c r="L37" s="138"/>
      <c r="M37" s="27"/>
      <c r="N37" s="124"/>
    </row>
    <row r="38" spans="1:14" ht="15.75">
      <c r="A38" s="26"/>
      <c r="B38" s="27"/>
      <c r="C38" s="27"/>
      <c r="D38" s="46"/>
      <c r="E38" s="46"/>
      <c r="F38" s="27"/>
      <c r="G38" s="46"/>
      <c r="H38" s="128"/>
      <c r="I38" s="46"/>
      <c r="J38" s="46"/>
      <c r="K38" s="46"/>
      <c r="L38" s="46"/>
      <c r="M38" s="27"/>
      <c r="N38" s="124"/>
    </row>
    <row r="39" spans="1:14" ht="15.75">
      <c r="A39" s="26"/>
      <c r="B39" s="27" t="s">
        <v>25</v>
      </c>
      <c r="C39" s="27"/>
      <c r="D39" s="27"/>
      <c r="E39" s="27"/>
      <c r="F39" s="27"/>
      <c r="G39" s="27"/>
      <c r="H39" s="1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0.1772740358774285</v>
      </c>
      <c r="M40" s="27"/>
      <c r="N40" s="124"/>
    </row>
    <row r="41" spans="1:14" ht="15.75">
      <c r="A41" s="26"/>
      <c r="B41" s="27" t="s">
        <v>27</v>
      </c>
      <c r="C41" s="27"/>
      <c r="D41" s="27"/>
      <c r="E41" s="27"/>
      <c r="F41" s="1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37879</v>
      </c>
      <c r="M44" s="27"/>
      <c r="N44" s="124"/>
    </row>
    <row r="45" spans="1:14" ht="15.75">
      <c r="A45" s="26"/>
      <c r="B45" s="27" t="s">
        <v>30</v>
      </c>
      <c r="C45" s="27"/>
      <c r="D45" s="27"/>
      <c r="E45" s="27"/>
      <c r="F45" s="27"/>
      <c r="G45" s="27"/>
      <c r="H45" s="27"/>
      <c r="I45" s="27">
        <f>L45-J45+1</f>
        <v>91</v>
      </c>
      <c r="J45" s="50">
        <v>37697</v>
      </c>
      <c r="K45" s="51"/>
      <c r="L45" s="50">
        <v>37787</v>
      </c>
      <c r="M45" s="27"/>
      <c r="N45" s="124"/>
    </row>
    <row r="46" spans="1:14" ht="15.75">
      <c r="A46" s="26"/>
      <c r="B46" s="27" t="s">
        <v>31</v>
      </c>
      <c r="C46" s="27"/>
      <c r="D46" s="27"/>
      <c r="E46" s="27"/>
      <c r="F46" s="27"/>
      <c r="G46" s="27"/>
      <c r="H46" s="27"/>
      <c r="I46" s="27">
        <f>L46-J46+1</f>
        <v>91</v>
      </c>
      <c r="J46" s="50">
        <v>37788</v>
      </c>
      <c r="K46" s="51"/>
      <c r="L46" s="50">
        <v>37878</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37867</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6.5" thickBot="1">
      <c r="A51" s="129"/>
      <c r="B51" s="136" t="s">
        <v>211</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129743</v>
      </c>
      <c r="E56" s="37"/>
      <c r="F56" s="37">
        <v>6885</v>
      </c>
      <c r="G56" s="37"/>
      <c r="H56" s="37">
        <v>0</v>
      </c>
      <c r="I56" s="37"/>
      <c r="J56" s="37">
        <v>0</v>
      </c>
      <c r="K56" s="37"/>
      <c r="L56" s="58">
        <f>D56-F56+H56-J56</f>
        <v>122858</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129743</v>
      </c>
      <c r="E59" s="37"/>
      <c r="F59" s="37">
        <f>SUM(F56:F58)</f>
        <v>6885</v>
      </c>
      <c r="G59" s="37"/>
      <c r="H59" s="37">
        <f>SUM(H56:H58)</f>
        <v>0</v>
      </c>
      <c r="I59" s="37"/>
      <c r="J59" s="37">
        <f>SUM(J56:J58)</f>
        <v>0</v>
      </c>
      <c r="K59" s="37"/>
      <c r="L59" s="59">
        <f>SUM(L56:L58)</f>
        <v>122858</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0</v>
      </c>
      <c r="E70" s="37"/>
      <c r="F70" s="37"/>
      <c r="G70" s="37"/>
      <c r="H70" s="37"/>
      <c r="I70" s="37"/>
      <c r="J70" s="37"/>
      <c r="K70" s="37"/>
      <c r="L70" s="59">
        <v>0</v>
      </c>
      <c r="M70" s="27"/>
      <c r="N70" s="124"/>
    </row>
    <row r="71" spans="1:14" ht="15.75">
      <c r="A71" s="26"/>
      <c r="B71" s="27" t="s">
        <v>44</v>
      </c>
      <c r="C71" s="59">
        <f>SUM(C59:C70)</f>
        <v>185000</v>
      </c>
      <c r="D71" s="59">
        <f>SUM(D59:D70)</f>
        <v>129743</v>
      </c>
      <c r="E71" s="37"/>
      <c r="F71" s="59"/>
      <c r="G71" s="37"/>
      <c r="H71" s="59"/>
      <c r="I71" s="37"/>
      <c r="J71" s="59"/>
      <c r="K71" s="37"/>
      <c r="L71" s="59">
        <f>SUM(L59:L70)</f>
        <v>122858</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37864</v>
      </c>
      <c r="E75" s="27"/>
      <c r="F75" s="27"/>
      <c r="G75" s="27"/>
      <c r="H75" s="27"/>
      <c r="I75" s="27"/>
      <c r="J75" s="37">
        <v>6885</v>
      </c>
      <c r="K75" s="27"/>
      <c r="L75" s="58"/>
      <c r="M75" s="27"/>
      <c r="N75" s="124"/>
    </row>
    <row r="76" spans="1:14" ht="15.75">
      <c r="A76" s="26"/>
      <c r="B76" s="27" t="s">
        <v>48</v>
      </c>
      <c r="C76" s="27"/>
      <c r="D76" s="27"/>
      <c r="E76" s="27"/>
      <c r="F76" s="27"/>
      <c r="G76" s="27"/>
      <c r="H76" s="27"/>
      <c r="I76" s="27"/>
      <c r="J76" s="37"/>
      <c r="K76" s="27"/>
      <c r="L76" s="58">
        <f>1709-4+282-5</f>
        <v>1982</v>
      </c>
      <c r="M76" s="27"/>
      <c r="N76" s="124"/>
    </row>
    <row r="77" spans="1:14" ht="15.75">
      <c r="A77" s="26"/>
      <c r="B77" s="27" t="s">
        <v>49</v>
      </c>
      <c r="C77" s="27"/>
      <c r="D77" s="27"/>
      <c r="E77" s="27"/>
      <c r="F77" s="27"/>
      <c r="G77" s="27"/>
      <c r="H77" s="27"/>
      <c r="I77" s="27"/>
      <c r="J77" s="37"/>
      <c r="K77" s="27"/>
      <c r="L77" s="58">
        <v>2</v>
      </c>
      <c r="M77" s="27"/>
      <c r="N77" s="124"/>
    </row>
    <row r="78" spans="1:14" ht="15.75">
      <c r="A78" s="26"/>
      <c r="B78" s="27" t="s">
        <v>50</v>
      </c>
      <c r="C78" s="27"/>
      <c r="D78" s="27"/>
      <c r="E78" s="27"/>
      <c r="F78" s="27"/>
      <c r="G78" s="27"/>
      <c r="H78" s="27"/>
      <c r="I78" s="27"/>
      <c r="J78" s="37">
        <f>SUM(J74:J77)</f>
        <v>6885</v>
      </c>
      <c r="K78" s="27"/>
      <c r="L78" s="59">
        <f>SUM(L74:L77)</f>
        <v>1984</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6885</v>
      </c>
      <c r="K80" s="27"/>
      <c r="L80" s="59">
        <f>L78+L79</f>
        <v>1984</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-99-9</f>
        <v>-108</v>
      </c>
      <c r="M84" s="27"/>
      <c r="N84" s="124"/>
    </row>
    <row r="85" spans="1:14" ht="15.75">
      <c r="A85" s="26">
        <v>4</v>
      </c>
      <c r="B85" s="27" t="s">
        <v>57</v>
      </c>
      <c r="C85" s="27"/>
      <c r="D85" s="27"/>
      <c r="E85" s="27"/>
      <c r="F85" s="27"/>
      <c r="G85" s="27"/>
      <c r="H85" s="27"/>
      <c r="I85" s="27"/>
      <c r="J85" s="27"/>
      <c r="K85" s="27"/>
      <c r="L85" s="58">
        <v>-182</v>
      </c>
      <c r="M85" s="27"/>
      <c r="N85" s="124"/>
    </row>
    <row r="86" spans="1:14" ht="15.75">
      <c r="A86" s="26">
        <v>5</v>
      </c>
      <c r="B86" s="27" t="s">
        <v>58</v>
      </c>
      <c r="C86" s="27"/>
      <c r="D86" s="27"/>
      <c r="E86" s="27"/>
      <c r="F86" s="27"/>
      <c r="G86" s="27"/>
      <c r="H86" s="27"/>
      <c r="I86" s="27"/>
      <c r="J86" s="27"/>
      <c r="K86" s="27"/>
      <c r="L86" s="58">
        <v>-1092</v>
      </c>
      <c r="M86" s="27"/>
      <c r="N86" s="124"/>
    </row>
    <row r="87" spans="1:14" ht="15.75">
      <c r="A87" s="26">
        <v>6</v>
      </c>
      <c r="B87" s="27" t="s">
        <v>59</v>
      </c>
      <c r="C87" s="27"/>
      <c r="D87" s="27"/>
      <c r="E87" s="27"/>
      <c r="F87" s="27"/>
      <c r="G87" s="27"/>
      <c r="H87" s="27"/>
      <c r="I87" s="27"/>
      <c r="J87" s="27"/>
      <c r="K87" s="27"/>
      <c r="L87" s="58">
        <v>-208</v>
      </c>
      <c r="M87" s="27"/>
      <c r="N87" s="124"/>
    </row>
    <row r="88" spans="1:14" ht="15.75">
      <c r="A88" s="26">
        <v>7</v>
      </c>
      <c r="B88" s="27" t="s">
        <v>60</v>
      </c>
      <c r="C88" s="27"/>
      <c r="D88" s="27"/>
      <c r="E88" s="27"/>
      <c r="F88" s="27"/>
      <c r="G88" s="27"/>
      <c r="H88" s="27"/>
      <c r="I88" s="27"/>
      <c r="J88" s="27"/>
      <c r="K88" s="27"/>
      <c r="L88" s="58">
        <v>-5</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-6-104</f>
        <v>-110</v>
      </c>
      <c r="M93" s="27"/>
      <c r="N93" s="124"/>
    </row>
    <row r="94" spans="1:14" ht="15.75">
      <c r="A94" s="26">
        <v>13</v>
      </c>
      <c r="B94" s="27" t="s">
        <v>66</v>
      </c>
      <c r="C94" s="27"/>
      <c r="D94" s="27"/>
      <c r="E94" s="27"/>
      <c r="F94" s="27"/>
      <c r="G94" s="27"/>
      <c r="H94" s="27"/>
      <c r="I94" s="27"/>
      <c r="J94" s="27"/>
      <c r="K94" s="27"/>
      <c r="L94" s="58">
        <f>-SUM(L80:L93)</f>
        <v>-275</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0</v>
      </c>
      <c r="K96" s="37"/>
      <c r="L96" s="58"/>
      <c r="M96" s="27"/>
      <c r="N96" s="124"/>
    </row>
    <row r="97" spans="1:14" ht="15.75">
      <c r="A97" s="26"/>
      <c r="B97" s="27" t="s">
        <v>69</v>
      </c>
      <c r="C97" s="27"/>
      <c r="D97" s="27"/>
      <c r="E97" s="27"/>
      <c r="F97" s="27"/>
      <c r="G97" s="27"/>
      <c r="H97" s="27"/>
      <c r="I97" s="27"/>
      <c r="J97" s="37">
        <f>-H141</f>
        <v>0</v>
      </c>
      <c r="K97" s="37"/>
      <c r="L97" s="58"/>
      <c r="M97" s="27"/>
      <c r="N97" s="124"/>
    </row>
    <row r="98" spans="1:14" ht="15.75">
      <c r="A98" s="26"/>
      <c r="B98" s="27" t="s">
        <v>70</v>
      </c>
      <c r="C98" s="27"/>
      <c r="D98" s="27"/>
      <c r="E98" s="27"/>
      <c r="F98" s="27"/>
      <c r="G98" s="27"/>
      <c r="H98" s="27"/>
      <c r="I98" s="27"/>
      <c r="J98" s="37">
        <v>-6885</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-6885</v>
      </c>
      <c r="K100" s="37"/>
      <c r="L100" s="37">
        <f>SUM(L81:L99)</f>
        <v>-1984</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6" t="str">
        <f>B51</f>
        <v>PM2 INVESTOR REPORT QUARTER ENDING AUGUST 2003</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v>0</v>
      </c>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138"/>
      <c r="D120" s="138"/>
      <c r="E120" s="138"/>
      <c r="F120" s="138"/>
      <c r="G120" s="138"/>
      <c r="H120" s="138"/>
      <c r="I120" s="138"/>
      <c r="J120" s="138"/>
      <c r="K120" s="138"/>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122858</v>
      </c>
      <c r="M134" s="27"/>
      <c r="N134" s="124"/>
    </row>
    <row r="135" spans="1:14" ht="15.75">
      <c r="A135" s="26"/>
      <c r="B135" s="27" t="s">
        <v>95</v>
      </c>
      <c r="C135" s="73"/>
      <c r="D135" s="27"/>
      <c r="E135" s="27"/>
      <c r="F135" s="27"/>
      <c r="G135" s="27"/>
      <c r="H135" s="27"/>
      <c r="I135" s="27"/>
      <c r="J135" s="27"/>
      <c r="K135" s="27"/>
      <c r="L135" s="58">
        <f>L71</f>
        <v>122858</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19434</v>
      </c>
      <c r="I140" s="27"/>
      <c r="J140" s="58">
        <v>566</v>
      </c>
      <c r="K140" s="27"/>
      <c r="L140" s="58">
        <f>J140+H140</f>
        <v>20000</v>
      </c>
      <c r="M140" s="27"/>
      <c r="N140" s="124"/>
    </row>
    <row r="141" spans="1:14" ht="15.75">
      <c r="A141" s="26"/>
      <c r="B141" s="27" t="s">
        <v>99</v>
      </c>
      <c r="C141" s="27"/>
      <c r="D141" s="27"/>
      <c r="E141" s="27"/>
      <c r="F141" s="27"/>
      <c r="G141" s="27"/>
      <c r="H141" s="58">
        <v>0</v>
      </c>
      <c r="I141" s="27"/>
      <c r="J141" s="58">
        <v>0</v>
      </c>
      <c r="K141" s="27"/>
      <c r="L141" s="58">
        <f>J141+H141</f>
        <v>0</v>
      </c>
      <c r="M141" s="27"/>
      <c r="N141" s="124"/>
    </row>
    <row r="142" spans="1:14" ht="15.75">
      <c r="A142" s="26"/>
      <c r="B142" s="27" t="s">
        <v>100</v>
      </c>
      <c r="C142" s="27"/>
      <c r="D142" s="27"/>
      <c r="E142" s="27"/>
      <c r="F142" s="27"/>
      <c r="G142" s="27"/>
      <c r="H142" s="58">
        <f>H140+H141</f>
        <v>19434</v>
      </c>
      <c r="I142" s="27"/>
      <c r="J142" s="58">
        <f>J141+J140</f>
        <v>566</v>
      </c>
      <c r="K142" s="27"/>
      <c r="L142" s="58">
        <f>J142+H142</f>
        <v>20000</v>
      </c>
      <c r="M142" s="27"/>
      <c r="N142" s="124"/>
    </row>
    <row r="143" spans="1:14" ht="15.75">
      <c r="A143" s="26"/>
      <c r="B143" s="27" t="s">
        <v>101</v>
      </c>
      <c r="C143" s="27"/>
      <c r="D143" s="27"/>
      <c r="E143" s="27"/>
      <c r="F143" s="27"/>
      <c r="G143" s="27"/>
      <c r="H143" s="58">
        <f>H139-H142-J142</f>
        <v>0</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1.5476190476190477</v>
      </c>
      <c r="M147" s="27" t="s">
        <v>189</v>
      </c>
      <c r="N147" s="124"/>
    </row>
    <row r="148" spans="1:14" ht="15.75">
      <c r="A148" s="26"/>
      <c r="B148" s="27" t="s">
        <v>104</v>
      </c>
      <c r="C148" s="27"/>
      <c r="D148" s="27"/>
      <c r="E148" s="27"/>
      <c r="F148" s="27"/>
      <c r="G148" s="27"/>
      <c r="H148" s="27"/>
      <c r="I148" s="27"/>
      <c r="J148" s="27"/>
      <c r="K148" s="27"/>
      <c r="L148" s="66">
        <v>1.38</v>
      </c>
      <c r="M148" s="27" t="s">
        <v>189</v>
      </c>
      <c r="N148" s="124"/>
    </row>
    <row r="149" spans="1:14" ht="15.75">
      <c r="A149" s="26"/>
      <c r="B149" s="27" t="s">
        <v>105</v>
      </c>
      <c r="C149" s="27"/>
      <c r="D149" s="27"/>
      <c r="E149" s="27"/>
      <c r="F149" s="27"/>
      <c r="G149" s="27"/>
      <c r="H149" s="27"/>
      <c r="I149" s="27"/>
      <c r="J149" s="27"/>
      <c r="K149" s="27"/>
      <c r="L149" s="66">
        <f>(L80+SUM(L82:L86))/-L87</f>
        <v>2.875</v>
      </c>
      <c r="M149" s="27" t="s">
        <v>189</v>
      </c>
      <c r="N149" s="124"/>
    </row>
    <row r="150" spans="1:14" ht="15.75">
      <c r="A150" s="26"/>
      <c r="B150" s="27" t="s">
        <v>106</v>
      </c>
      <c r="C150" s="27"/>
      <c r="D150" s="27"/>
      <c r="E150" s="27"/>
      <c r="F150" s="27"/>
      <c r="G150" s="27"/>
      <c r="H150" s="27"/>
      <c r="I150" s="27"/>
      <c r="J150" s="27"/>
      <c r="K150" s="27"/>
      <c r="L150" s="75">
        <v>2.77</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6.5" thickBot="1">
      <c r="A153" s="129"/>
      <c r="B153" s="136" t="str">
        <f>B104</f>
        <v>PM2 INVESTOR REPORT QUARTER ENDING AUGUST 2003</v>
      </c>
      <c r="C153" s="131"/>
      <c r="D153" s="131"/>
      <c r="E153" s="131"/>
      <c r="F153" s="131"/>
      <c r="G153" s="131"/>
      <c r="H153" s="131"/>
      <c r="I153" s="131"/>
      <c r="J153" s="131"/>
      <c r="K153" s="131"/>
      <c r="L153" s="131"/>
      <c r="M153" s="134"/>
      <c r="N153" s="124"/>
    </row>
    <row r="154" spans="1:14" ht="15.75">
      <c r="A154" s="2"/>
      <c r="B154" s="140"/>
      <c r="C154" s="140"/>
      <c r="D154" s="140"/>
      <c r="E154" s="140"/>
      <c r="F154" s="140"/>
      <c r="G154" s="140"/>
      <c r="H154" s="140"/>
      <c r="I154" s="140"/>
      <c r="J154" s="140"/>
      <c r="K154" s="140"/>
      <c r="L154" s="140"/>
      <c r="M154" s="140"/>
      <c r="N154" s="124"/>
    </row>
    <row r="155" spans="1:14" ht="15.75">
      <c r="A155" s="77"/>
      <c r="B155" s="56" t="s">
        <v>107</v>
      </c>
      <c r="C155" s="78"/>
      <c r="D155" s="78"/>
      <c r="E155" s="78"/>
      <c r="F155" s="78"/>
      <c r="G155" s="20"/>
      <c r="H155" s="20"/>
      <c r="I155" s="20"/>
      <c r="J155" s="20">
        <v>37864</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0.05786</v>
      </c>
      <c r="K160" s="27"/>
      <c r="L160" s="27"/>
      <c r="M160" s="27"/>
      <c r="N160" s="124"/>
    </row>
    <row r="161" spans="1:14" ht="15.75">
      <c r="A161" s="84"/>
      <c r="B161" s="85" t="s">
        <v>112</v>
      </c>
      <c r="C161" s="86"/>
      <c r="D161" s="86"/>
      <c r="E161" s="86"/>
      <c r="F161" s="86"/>
      <c r="G161" s="72"/>
      <c r="H161" s="72"/>
      <c r="I161" s="72"/>
      <c r="J161" s="87">
        <f>L33</f>
        <v>0.04018239127528741</v>
      </c>
      <c r="K161" s="27"/>
      <c r="L161" s="27"/>
      <c r="M161" s="27"/>
      <c r="N161" s="124"/>
    </row>
    <row r="162" spans="1:14" ht="15.75">
      <c r="A162" s="84"/>
      <c r="B162" s="85" t="s">
        <v>113</v>
      </c>
      <c r="C162" s="86"/>
      <c r="D162" s="86"/>
      <c r="E162" s="86"/>
      <c r="F162" s="86"/>
      <c r="G162" s="72"/>
      <c r="H162" s="72"/>
      <c r="I162" s="72"/>
      <c r="J162" s="87">
        <f>J160-J161</f>
        <v>0.017677608724712593</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16.48</v>
      </c>
      <c r="K166" s="27" t="s">
        <v>182</v>
      </c>
      <c r="L166" s="27"/>
      <c r="M166" s="27"/>
      <c r="N166" s="124"/>
    </row>
    <row r="167" spans="1:14" ht="15.75">
      <c r="A167" s="84"/>
      <c r="B167" s="85" t="s">
        <v>118</v>
      </c>
      <c r="C167" s="86"/>
      <c r="D167" s="86"/>
      <c r="E167" s="86"/>
      <c r="F167" s="86"/>
      <c r="G167" s="72"/>
      <c r="H167" s="72"/>
      <c r="I167" s="72"/>
      <c r="J167" s="87">
        <f>F56/'May 2003'!L56</f>
        <v>0.05306644674471841</v>
      </c>
      <c r="K167" s="27"/>
      <c r="L167" s="27"/>
      <c r="M167" s="27"/>
      <c r="N167" s="124"/>
    </row>
    <row r="168" spans="1:14" ht="15.75">
      <c r="A168" s="84"/>
      <c r="B168" s="85" t="s">
        <v>119</v>
      </c>
      <c r="C168" s="86"/>
      <c r="D168" s="86"/>
      <c r="E168" s="86"/>
      <c r="F168" s="86"/>
      <c r="G168" s="72"/>
      <c r="H168" s="72"/>
      <c r="I168" s="72"/>
      <c r="J168" s="87">
        <v>0.1419</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v>9</v>
      </c>
      <c r="J171" s="96">
        <v>505</v>
      </c>
      <c r="K171" s="27"/>
      <c r="L171" s="90"/>
      <c r="M171" s="97"/>
      <c r="N171" s="124"/>
    </row>
    <row r="172" spans="1:14" ht="15.75">
      <c r="A172" s="95"/>
      <c r="B172" s="85" t="s">
        <v>122</v>
      </c>
      <c r="C172" s="59"/>
      <c r="D172" s="59"/>
      <c r="E172" s="59"/>
      <c r="F172" s="27"/>
      <c r="G172" s="27"/>
      <c r="H172" s="27"/>
      <c r="I172" s="28">
        <v>1</v>
      </c>
      <c r="J172" s="96">
        <v>161</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0</v>
      </c>
      <c r="J176" s="96">
        <f>+L126</f>
        <v>0</v>
      </c>
      <c r="K176" s="27"/>
      <c r="L176" s="90"/>
      <c r="M176" s="99"/>
      <c r="N176" s="124"/>
    </row>
    <row r="177" spans="1:14" ht="15.75">
      <c r="A177" s="95"/>
      <c r="B177" s="85" t="s">
        <v>127</v>
      </c>
      <c r="C177" s="59"/>
      <c r="D177" s="59"/>
      <c r="E177" s="59"/>
      <c r="F177" s="59"/>
      <c r="G177" s="27"/>
      <c r="H177" s="27"/>
      <c r="I177" s="27">
        <f>'May 2003'!I177+I176</f>
        <v>2</v>
      </c>
      <c r="J177" s="96">
        <f>'May 2003'!J177+J176</f>
        <v>3</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v>1</v>
      </c>
      <c r="J180" s="96">
        <v>55</v>
      </c>
      <c r="K180" s="27"/>
      <c r="L180" s="90"/>
      <c r="M180" s="99"/>
      <c r="N180" s="124"/>
    </row>
    <row r="181" spans="1:14" ht="15.75">
      <c r="A181" s="95"/>
      <c r="B181" s="85" t="s">
        <v>130</v>
      </c>
      <c r="C181" s="59"/>
      <c r="D181" s="100"/>
      <c r="E181" s="100"/>
      <c r="F181" s="101"/>
      <c r="G181" s="27"/>
      <c r="H181" s="27"/>
      <c r="I181" s="27"/>
      <c r="J181" s="96">
        <v>12.644</v>
      </c>
      <c r="K181" s="27"/>
      <c r="L181" s="90"/>
      <c r="M181" s="99"/>
      <c r="N181" s="124"/>
    </row>
    <row r="182" spans="1:14" ht="15.75">
      <c r="A182" s="95"/>
      <c r="B182" s="85" t="s">
        <v>131</v>
      </c>
      <c r="C182" s="59"/>
      <c r="D182" s="100"/>
      <c r="E182" s="100"/>
      <c r="F182" s="101"/>
      <c r="G182" s="27"/>
      <c r="H182" s="27"/>
      <c r="I182" s="27"/>
      <c r="J182" s="96">
        <v>8</v>
      </c>
      <c r="K182" s="27"/>
      <c r="L182" s="90"/>
      <c r="M182" s="99"/>
      <c r="N182" s="124"/>
    </row>
    <row r="183" spans="1:14" ht="15.75">
      <c r="A183" s="95"/>
      <c r="B183" s="85" t="s">
        <v>132</v>
      </c>
      <c r="C183" s="59"/>
      <c r="D183" s="102"/>
      <c r="E183" s="100"/>
      <c r="F183" s="101"/>
      <c r="G183" s="27"/>
      <c r="H183" s="27"/>
      <c r="I183" s="27"/>
      <c r="J183" s="103">
        <v>1.1957</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2111</v>
      </c>
      <c r="I186" s="105">
        <f>H186/H191</f>
        <v>0.9818604651162791</v>
      </c>
      <c r="J186" s="58">
        <v>121258</v>
      </c>
      <c r="K186" s="106">
        <f>J186/J191</f>
        <v>0.9869768350453368</v>
      </c>
      <c r="L186" s="90"/>
      <c r="M186" s="99"/>
      <c r="N186" s="124"/>
    </row>
    <row r="187" spans="1:14" ht="15.75">
      <c r="A187" s="26"/>
      <c r="B187" s="59" t="s">
        <v>135</v>
      </c>
      <c r="C187" s="105"/>
      <c r="D187" s="59"/>
      <c r="E187" s="105"/>
      <c r="F187" s="27"/>
      <c r="G187" s="107"/>
      <c r="H187" s="59">
        <v>12</v>
      </c>
      <c r="I187" s="105">
        <f>H187/H191</f>
        <v>0.005581395348837209</v>
      </c>
      <c r="J187" s="58">
        <v>416</v>
      </c>
      <c r="K187" s="106">
        <f>J187/J191</f>
        <v>0.003386022888212408</v>
      </c>
      <c r="L187" s="90"/>
      <c r="M187" s="99"/>
      <c r="N187" s="124"/>
    </row>
    <row r="188" spans="1:14" ht="15.75">
      <c r="A188" s="26"/>
      <c r="B188" s="59" t="s">
        <v>136</v>
      </c>
      <c r="C188" s="105"/>
      <c r="D188" s="59"/>
      <c r="E188" s="105"/>
      <c r="F188" s="27"/>
      <c r="G188" s="107"/>
      <c r="H188" s="59">
        <v>6</v>
      </c>
      <c r="I188" s="105">
        <f>H188/H191</f>
        <v>0.0027906976744186047</v>
      </c>
      <c r="J188" s="58">
        <v>311</v>
      </c>
      <c r="K188" s="106">
        <f>J188/J191</f>
        <v>0.0025313776880626416</v>
      </c>
      <c r="L188" s="90"/>
      <c r="M188" s="99"/>
      <c r="N188" s="124"/>
    </row>
    <row r="189" spans="1:14" ht="15.75">
      <c r="A189" s="26"/>
      <c r="B189" s="59" t="s">
        <v>137</v>
      </c>
      <c r="C189" s="105"/>
      <c r="D189" s="59"/>
      <c r="E189" s="105"/>
      <c r="F189" s="27"/>
      <c r="G189" s="107"/>
      <c r="H189" s="59">
        <v>21</v>
      </c>
      <c r="I189" s="105">
        <f>H189/H191</f>
        <v>0.009767441860465116</v>
      </c>
      <c r="J189" s="58">
        <v>873</v>
      </c>
      <c r="K189" s="106">
        <f>J189/J191</f>
        <v>0.0071057643783880575</v>
      </c>
      <c r="L189" s="90"/>
      <c r="M189" s="99"/>
      <c r="N189" s="124"/>
    </row>
    <row r="190" spans="1:14" ht="15.75">
      <c r="A190" s="26"/>
      <c r="B190" s="138"/>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2150</v>
      </c>
      <c r="I191" s="109">
        <f>SUM(I186:I190)</f>
        <v>1</v>
      </c>
      <c r="J191" s="58">
        <f>SUM(J186:J190)</f>
        <v>122858</v>
      </c>
      <c r="K191" s="109">
        <f>SUM(K186:K190)</f>
        <v>1</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37"/>
      <c r="K194" s="137"/>
      <c r="L194" s="137"/>
      <c r="M194" s="137"/>
      <c r="N194" s="124"/>
    </row>
    <row r="195" spans="1:14" ht="15.75">
      <c r="A195" s="141"/>
      <c r="B195" s="137"/>
      <c r="C195" s="137"/>
      <c r="D195" s="10"/>
      <c r="E195" s="10"/>
      <c r="F195" s="10"/>
      <c r="G195" s="137"/>
      <c r="H195" s="137"/>
      <c r="I195" s="137"/>
      <c r="J195" s="137"/>
      <c r="K195" s="137"/>
      <c r="L195" s="137"/>
      <c r="M195" s="137"/>
      <c r="N195" s="124"/>
    </row>
    <row r="196" spans="1:14" ht="15.75">
      <c r="A196" s="141"/>
      <c r="B196" s="16" t="s">
        <v>139</v>
      </c>
      <c r="C196" s="118"/>
      <c r="D196" s="119" t="s">
        <v>147</v>
      </c>
      <c r="E196" s="16"/>
      <c r="F196" s="16" t="s">
        <v>160</v>
      </c>
      <c r="G196" s="118"/>
      <c r="H196" s="118"/>
      <c r="I196" s="137"/>
      <c r="J196" s="137"/>
      <c r="K196" s="137"/>
      <c r="L196" s="137"/>
      <c r="M196" s="137"/>
      <c r="N196" s="124"/>
    </row>
    <row r="197" spans="1:14" ht="15.75">
      <c r="A197" s="141"/>
      <c r="B197" s="16" t="s">
        <v>140</v>
      </c>
      <c r="C197" s="118"/>
      <c r="D197" s="119" t="s">
        <v>148</v>
      </c>
      <c r="E197" s="16"/>
      <c r="F197" s="16" t="s">
        <v>161</v>
      </c>
      <c r="G197" s="118"/>
      <c r="H197" s="118"/>
      <c r="I197" s="137"/>
      <c r="J197" s="137"/>
      <c r="K197" s="137"/>
      <c r="L197" s="137"/>
      <c r="M197" s="137"/>
      <c r="N197" s="124"/>
    </row>
    <row r="198" spans="1:14" ht="15.75">
      <c r="A198" s="141"/>
      <c r="B198" s="16"/>
      <c r="C198" s="118"/>
      <c r="D198" s="119"/>
      <c r="E198" s="16"/>
      <c r="F198" s="16"/>
      <c r="G198" s="118"/>
      <c r="H198" s="118"/>
      <c r="I198" s="137"/>
      <c r="J198" s="137"/>
      <c r="K198" s="137"/>
      <c r="L198" s="137"/>
      <c r="M198" s="137"/>
      <c r="N198" s="124"/>
    </row>
    <row r="199" spans="1:14" ht="15.75">
      <c r="A199" s="141"/>
      <c r="B199" s="16"/>
      <c r="C199" s="118"/>
      <c r="D199" s="119"/>
      <c r="E199" s="16"/>
      <c r="F199" s="16"/>
      <c r="G199" s="118"/>
      <c r="H199" s="118"/>
      <c r="I199" s="137"/>
      <c r="J199" s="137"/>
      <c r="K199" s="137"/>
      <c r="L199" s="137"/>
      <c r="M199" s="137"/>
      <c r="N199" s="124"/>
    </row>
    <row r="200" spans="1:14" ht="15.75">
      <c r="A200" s="141"/>
      <c r="B200" s="16" t="str">
        <f>B153</f>
        <v>PM2 INVESTOR REPORT QUARTER ENDING AUGUST 2003</v>
      </c>
      <c r="C200" s="118"/>
      <c r="D200" s="119"/>
      <c r="E200" s="16"/>
      <c r="F200" s="16"/>
      <c r="G200" s="118"/>
      <c r="H200" s="118"/>
      <c r="I200" s="137"/>
      <c r="J200" s="137"/>
      <c r="K200" s="137"/>
      <c r="L200" s="137"/>
      <c r="M200" s="137"/>
      <c r="N200" s="124"/>
    </row>
    <row r="201" spans="1:13" ht="15">
      <c r="A201" s="125"/>
      <c r="B201" s="125"/>
      <c r="C201" s="125"/>
      <c r="D201" s="125"/>
      <c r="E201" s="125"/>
      <c r="F201" s="125"/>
      <c r="G201" s="125"/>
      <c r="H201" s="125"/>
      <c r="I201" s="125"/>
      <c r="J201" s="125"/>
      <c r="K201" s="125"/>
      <c r="L201" s="125"/>
      <c r="M201" s="125"/>
    </row>
    <row r="203" spans="8:10" ht="15">
      <c r="H203" s="142"/>
      <c r="J203" s="142"/>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5.xml><?xml version="1.0" encoding="utf-8"?>
<worksheet xmlns="http://schemas.openxmlformats.org/spreadsheetml/2006/main" xmlns:r="http://schemas.openxmlformats.org/officeDocument/2006/relationships">
  <dimension ref="A1:N203"/>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6.105468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37"/>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37971</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37"/>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145"/>
      <c r="J22" s="24"/>
      <c r="K22" s="137"/>
      <c r="L22" s="137"/>
      <c r="M22" s="10"/>
      <c r="N22" s="124"/>
    </row>
    <row r="23" spans="1:14" ht="15.75">
      <c r="A23" s="8"/>
      <c r="B23" s="10" t="s">
        <v>11</v>
      </c>
      <c r="C23" s="144" t="s">
        <v>142</v>
      </c>
      <c r="D23" s="24"/>
      <c r="E23" s="24"/>
      <c r="F23" s="24" t="s">
        <v>150</v>
      </c>
      <c r="G23" s="24"/>
      <c r="H23" s="24" t="s">
        <v>163</v>
      </c>
      <c r="I23" s="24"/>
      <c r="J23" s="24"/>
      <c r="K23" s="137"/>
      <c r="L23" s="137"/>
      <c r="M23" s="10"/>
      <c r="N23" s="124"/>
    </row>
    <row r="24" spans="1:14" ht="15.75">
      <c r="A24" s="26"/>
      <c r="B24" s="27" t="s">
        <v>12</v>
      </c>
      <c r="C24" s="28"/>
      <c r="D24" s="29"/>
      <c r="E24" s="29"/>
      <c r="F24" s="29" t="s">
        <v>151</v>
      </c>
      <c r="G24" s="29"/>
      <c r="H24" s="29" t="s">
        <v>164</v>
      </c>
      <c r="I24" s="29"/>
      <c r="J24" s="29"/>
      <c r="K24" s="138"/>
      <c r="L24" s="138"/>
      <c r="M24" s="27"/>
      <c r="N24" s="124"/>
    </row>
    <row r="25" spans="1:14" ht="15.75">
      <c r="A25" s="31"/>
      <c r="B25" s="32" t="s">
        <v>13</v>
      </c>
      <c r="C25" s="32"/>
      <c r="D25" s="33"/>
      <c r="E25" s="33"/>
      <c r="F25" s="33" t="s">
        <v>150</v>
      </c>
      <c r="G25" s="33"/>
      <c r="H25" s="33" t="s">
        <v>206</v>
      </c>
      <c r="I25" s="33"/>
      <c r="J25" s="29"/>
      <c r="K25" s="138"/>
      <c r="L25" s="138"/>
      <c r="M25" s="27"/>
      <c r="N25" s="124"/>
    </row>
    <row r="26" spans="1:14" ht="15.75">
      <c r="A26" s="31"/>
      <c r="B26" s="32" t="s">
        <v>14</v>
      </c>
      <c r="C26" s="32"/>
      <c r="D26" s="33"/>
      <c r="E26" s="33"/>
      <c r="F26" s="33" t="s">
        <v>151</v>
      </c>
      <c r="G26" s="33"/>
      <c r="H26" s="33" t="s">
        <v>207</v>
      </c>
      <c r="I26" s="33"/>
      <c r="J26" s="29"/>
      <c r="K26" s="138"/>
      <c r="L26" s="138"/>
      <c r="M26" s="27"/>
      <c r="N26" s="124"/>
    </row>
    <row r="27" spans="1:14" ht="15.75">
      <c r="A27" s="26"/>
      <c r="B27" s="27" t="s">
        <v>15</v>
      </c>
      <c r="C27" s="27"/>
      <c r="D27" s="28"/>
      <c r="E27" s="29"/>
      <c r="F27" s="28" t="s">
        <v>152</v>
      </c>
      <c r="G27" s="29"/>
      <c r="H27" s="28" t="s">
        <v>165</v>
      </c>
      <c r="I27" s="29"/>
      <c r="J27" s="28"/>
      <c r="K27" s="138"/>
      <c r="L27" s="138"/>
      <c r="M27" s="27"/>
      <c r="N27" s="124"/>
    </row>
    <row r="28" spans="1:14" ht="15.75">
      <c r="A28" s="26"/>
      <c r="B28" s="27"/>
      <c r="C28" s="27"/>
      <c r="D28" s="27"/>
      <c r="E28" s="29"/>
      <c r="F28" s="29"/>
      <c r="G28" s="29"/>
      <c r="H28" s="29"/>
      <c r="I28" s="29"/>
      <c r="J28" s="29"/>
      <c r="K28" s="138"/>
      <c r="L28" s="138"/>
      <c r="M28" s="27"/>
      <c r="N28" s="124"/>
    </row>
    <row r="29" spans="1:14" ht="15.75">
      <c r="A29" s="26"/>
      <c r="B29" s="27" t="s">
        <v>16</v>
      </c>
      <c r="C29" s="27"/>
      <c r="D29" s="34"/>
      <c r="E29" s="35"/>
      <c r="F29" s="34">
        <v>166500</v>
      </c>
      <c r="G29" s="34"/>
      <c r="H29" s="34">
        <v>18500</v>
      </c>
      <c r="I29" s="34"/>
      <c r="J29" s="34"/>
      <c r="K29" s="139"/>
      <c r="L29" s="34">
        <f>H29+F29</f>
        <v>185000</v>
      </c>
      <c r="M29" s="37"/>
      <c r="N29" s="124"/>
    </row>
    <row r="30" spans="1:14" ht="15.75">
      <c r="A30" s="26"/>
      <c r="B30" s="27" t="s">
        <v>17</v>
      </c>
      <c r="C30" s="38">
        <v>0.626776</v>
      </c>
      <c r="D30" s="34"/>
      <c r="E30" s="35"/>
      <c r="F30" s="34">
        <f>166500*C30</f>
        <v>104358.204</v>
      </c>
      <c r="G30" s="34"/>
      <c r="H30" s="34">
        <v>18500</v>
      </c>
      <c r="I30" s="34"/>
      <c r="J30" s="34"/>
      <c r="K30" s="139"/>
      <c r="L30" s="34">
        <f>H30+F30</f>
        <v>122858.204</v>
      </c>
      <c r="M30" s="37"/>
      <c r="N30" s="124"/>
    </row>
    <row r="31" spans="1:14" ht="12.75" customHeight="1">
      <c r="A31" s="31"/>
      <c r="B31" s="32" t="s">
        <v>18</v>
      </c>
      <c r="C31" s="39">
        <v>0.584139</v>
      </c>
      <c r="D31" s="40"/>
      <c r="E31" s="41"/>
      <c r="F31" s="40">
        <f>166500*C31*1</f>
        <v>97259.14349999999</v>
      </c>
      <c r="G31" s="40"/>
      <c r="H31" s="40">
        <v>18500</v>
      </c>
      <c r="I31" s="40"/>
      <c r="J31" s="40"/>
      <c r="K31" s="42"/>
      <c r="L31" s="40">
        <f>H31+F31+D31</f>
        <v>115759.14349999999</v>
      </c>
      <c r="M31" s="37"/>
      <c r="N31" s="124"/>
    </row>
    <row r="32" spans="1:14" ht="15.75">
      <c r="A32" s="26"/>
      <c r="B32" s="27" t="s">
        <v>19</v>
      </c>
      <c r="C32" s="43"/>
      <c r="D32" s="28"/>
      <c r="E32" s="27"/>
      <c r="F32" s="28" t="s">
        <v>153</v>
      </c>
      <c r="G32" s="28"/>
      <c r="H32" s="28" t="s">
        <v>166</v>
      </c>
      <c r="I32" s="28"/>
      <c r="J32" s="28"/>
      <c r="K32" s="138"/>
      <c r="L32" s="138"/>
      <c r="M32" s="27"/>
      <c r="N32" s="124"/>
    </row>
    <row r="33" spans="1:14" ht="15.75">
      <c r="A33" s="26"/>
      <c r="B33" s="27" t="s">
        <v>20</v>
      </c>
      <c r="C33" s="27"/>
      <c r="D33" s="44"/>
      <c r="E33" s="27"/>
      <c r="F33" s="44">
        <v>0.0398906</v>
      </c>
      <c r="G33" s="45"/>
      <c r="H33" s="44">
        <v>0.0456406</v>
      </c>
      <c r="I33" s="45"/>
      <c r="J33" s="44"/>
      <c r="K33" s="138"/>
      <c r="L33" s="45">
        <f>SUMPRODUCT(F33:H33,F30:H30)/L30</f>
        <v>0.04075643554485299</v>
      </c>
      <c r="M33" s="27"/>
      <c r="N33" s="124"/>
    </row>
    <row r="34" spans="1:14" ht="15.75">
      <c r="A34" s="26"/>
      <c r="B34" s="27" t="s">
        <v>21</v>
      </c>
      <c r="C34" s="27"/>
      <c r="D34" s="44"/>
      <c r="E34" s="27"/>
      <c r="F34" s="44">
        <v>0.0393625</v>
      </c>
      <c r="G34" s="45"/>
      <c r="H34" s="44">
        <v>0.0451125</v>
      </c>
      <c r="I34" s="45"/>
      <c r="J34" s="44"/>
      <c r="K34" s="138"/>
      <c r="L34" s="138"/>
      <c r="M34" s="27"/>
      <c r="N34" s="124"/>
    </row>
    <row r="35" spans="1:14" ht="15.75">
      <c r="A35" s="26"/>
      <c r="B35" s="27" t="s">
        <v>22</v>
      </c>
      <c r="C35" s="27"/>
      <c r="D35" s="28"/>
      <c r="E35" s="27"/>
      <c r="F35" s="28" t="s">
        <v>155</v>
      </c>
      <c r="G35" s="28"/>
      <c r="H35" s="28" t="s">
        <v>155</v>
      </c>
      <c r="I35" s="28"/>
      <c r="J35" s="28"/>
      <c r="K35" s="138"/>
      <c r="L35" s="138"/>
      <c r="M35" s="27"/>
      <c r="N35" s="124"/>
    </row>
    <row r="36" spans="1:14" ht="15.75">
      <c r="A36" s="26"/>
      <c r="B36" s="27" t="s">
        <v>23</v>
      </c>
      <c r="C36" s="27"/>
      <c r="D36" s="28"/>
      <c r="E36" s="27"/>
      <c r="F36" s="28" t="s">
        <v>156</v>
      </c>
      <c r="G36" s="28"/>
      <c r="H36" s="28" t="s">
        <v>156</v>
      </c>
      <c r="I36" s="28"/>
      <c r="J36" s="28"/>
      <c r="K36" s="138"/>
      <c r="L36" s="138"/>
      <c r="M36" s="27"/>
      <c r="N36" s="124"/>
    </row>
    <row r="37" spans="1:14" ht="15.75">
      <c r="A37" s="26"/>
      <c r="B37" s="27" t="s">
        <v>24</v>
      </c>
      <c r="C37" s="27"/>
      <c r="D37" s="28"/>
      <c r="E37" s="27"/>
      <c r="F37" s="28" t="s">
        <v>157</v>
      </c>
      <c r="G37" s="28"/>
      <c r="H37" s="28" t="s">
        <v>167</v>
      </c>
      <c r="I37" s="28"/>
      <c r="J37" s="28"/>
      <c r="K37" s="138"/>
      <c r="L37" s="138"/>
      <c r="M37" s="27"/>
      <c r="N37" s="124"/>
    </row>
    <row r="38" spans="1:14" ht="15.75">
      <c r="A38" s="26"/>
      <c r="B38" s="27"/>
      <c r="C38" s="27"/>
      <c r="D38" s="46"/>
      <c r="E38" s="46"/>
      <c r="F38" s="27"/>
      <c r="G38" s="46"/>
      <c r="H38" s="128"/>
      <c r="I38" s="46"/>
      <c r="J38" s="46"/>
      <c r="K38" s="46"/>
      <c r="L38" s="46"/>
      <c r="M38" s="27"/>
      <c r="N38" s="124"/>
    </row>
    <row r="39" spans="1:14" ht="15.75">
      <c r="A39" s="26"/>
      <c r="B39" s="27" t="s">
        <v>25</v>
      </c>
      <c r="C39" s="27"/>
      <c r="D39" s="27"/>
      <c r="E39" s="27"/>
      <c r="F39" s="27"/>
      <c r="G39" s="27"/>
      <c r="H39" s="1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0.19021347848904305</v>
      </c>
      <c r="M40" s="27"/>
      <c r="N40" s="124"/>
    </row>
    <row r="41" spans="1:14" ht="15.75">
      <c r="A41" s="26"/>
      <c r="B41" s="27" t="s">
        <v>27</v>
      </c>
      <c r="C41" s="27"/>
      <c r="D41" s="27"/>
      <c r="E41" s="27"/>
      <c r="F41" s="1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37970</v>
      </c>
      <c r="M44" s="27"/>
      <c r="N44" s="124"/>
    </row>
    <row r="45" spans="1:14" ht="15.75">
      <c r="A45" s="26"/>
      <c r="B45" s="27" t="s">
        <v>30</v>
      </c>
      <c r="C45" s="27"/>
      <c r="D45" s="27"/>
      <c r="E45" s="27"/>
      <c r="F45" s="27"/>
      <c r="G45" s="27"/>
      <c r="H45" s="27"/>
      <c r="I45" s="27">
        <f>L45-J45+1</f>
        <v>91</v>
      </c>
      <c r="J45" s="50">
        <v>37788</v>
      </c>
      <c r="K45" s="51"/>
      <c r="L45" s="50">
        <v>37878</v>
      </c>
      <c r="M45" s="27"/>
      <c r="N45" s="124"/>
    </row>
    <row r="46" spans="1:14" ht="15.75">
      <c r="A46" s="26"/>
      <c r="B46" s="27" t="s">
        <v>31</v>
      </c>
      <c r="C46" s="27"/>
      <c r="D46" s="27"/>
      <c r="E46" s="27"/>
      <c r="F46" s="27"/>
      <c r="G46" s="27"/>
      <c r="H46" s="27"/>
      <c r="I46" s="27">
        <f>L46-J46+1</f>
        <v>91</v>
      </c>
      <c r="J46" s="50">
        <v>37879</v>
      </c>
      <c r="K46" s="51"/>
      <c r="L46" s="50">
        <v>37969</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37958</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6.5" thickBot="1">
      <c r="A51" s="129"/>
      <c r="B51" s="136" t="s">
        <v>212</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122858</v>
      </c>
      <c r="E56" s="37"/>
      <c r="F56" s="37">
        <f>7099+4</f>
        <v>7103</v>
      </c>
      <c r="G56" s="37"/>
      <c r="H56" s="37">
        <v>0</v>
      </c>
      <c r="I56" s="37"/>
      <c r="J56" s="37">
        <v>0</v>
      </c>
      <c r="K56" s="37"/>
      <c r="L56" s="58">
        <f>D56-F56+H56-J56</f>
        <v>115755</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122858</v>
      </c>
      <c r="E59" s="37"/>
      <c r="F59" s="37">
        <f>SUM(F56:F58)</f>
        <v>7103</v>
      </c>
      <c r="G59" s="37"/>
      <c r="H59" s="37">
        <f>SUM(H56:H58)</f>
        <v>0</v>
      </c>
      <c r="I59" s="37"/>
      <c r="J59" s="37">
        <f>SUM(J56:J58)</f>
        <v>0</v>
      </c>
      <c r="K59" s="37"/>
      <c r="L59" s="59">
        <f>SUM(L56:L58)</f>
        <v>115755</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0</v>
      </c>
      <c r="E70" s="37"/>
      <c r="F70" s="37"/>
      <c r="G70" s="37"/>
      <c r="H70" s="37"/>
      <c r="I70" s="37"/>
      <c r="J70" s="37"/>
      <c r="K70" s="37"/>
      <c r="L70" s="59">
        <v>4</v>
      </c>
      <c r="M70" s="27"/>
      <c r="N70" s="124"/>
    </row>
    <row r="71" spans="1:14" ht="15.75">
      <c r="A71" s="26"/>
      <c r="B71" s="27" t="s">
        <v>44</v>
      </c>
      <c r="C71" s="59">
        <f>SUM(C59:C70)</f>
        <v>185000</v>
      </c>
      <c r="D71" s="59">
        <f>SUM(D59:D70)</f>
        <v>122858</v>
      </c>
      <c r="E71" s="37"/>
      <c r="F71" s="59"/>
      <c r="G71" s="37"/>
      <c r="H71" s="59"/>
      <c r="I71" s="37"/>
      <c r="J71" s="59"/>
      <c r="K71" s="37"/>
      <c r="L71" s="59">
        <f>SUM(L59:L70)</f>
        <v>115759</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37953</v>
      </c>
      <c r="E75" s="27"/>
      <c r="F75" s="27"/>
      <c r="G75" s="27"/>
      <c r="H75" s="27"/>
      <c r="I75" s="27"/>
      <c r="J75" s="37">
        <f>7103-4</f>
        <v>7099</v>
      </c>
      <c r="K75" s="27"/>
      <c r="L75" s="58"/>
      <c r="M75" s="27"/>
      <c r="N75" s="124"/>
    </row>
    <row r="76" spans="1:14" ht="15.75">
      <c r="A76" s="26"/>
      <c r="B76" s="27" t="s">
        <v>48</v>
      </c>
      <c r="C76" s="27"/>
      <c r="D76" s="27"/>
      <c r="E76" s="27"/>
      <c r="F76" s="27"/>
      <c r="G76" s="27"/>
      <c r="H76" s="27"/>
      <c r="I76" s="27"/>
      <c r="J76" s="37"/>
      <c r="K76" s="27"/>
      <c r="L76" s="58">
        <f>1523+304-10</f>
        <v>1817</v>
      </c>
      <c r="M76" s="27"/>
      <c r="N76" s="124"/>
    </row>
    <row r="77" spans="1:14" ht="15.75">
      <c r="A77" s="26"/>
      <c r="B77" s="27" t="s">
        <v>49</v>
      </c>
      <c r="C77" s="27"/>
      <c r="D77" s="27"/>
      <c r="E77" s="27"/>
      <c r="F77" s="27"/>
      <c r="G77" s="27"/>
      <c r="H77" s="27"/>
      <c r="I77" s="27"/>
      <c r="J77" s="37"/>
      <c r="K77" s="27"/>
      <c r="L77" s="58">
        <v>38</v>
      </c>
      <c r="M77" s="27"/>
      <c r="N77" s="124"/>
    </row>
    <row r="78" spans="1:14" ht="15.75">
      <c r="A78" s="26"/>
      <c r="B78" s="27" t="s">
        <v>50</v>
      </c>
      <c r="C78" s="27"/>
      <c r="D78" s="27"/>
      <c r="E78" s="27"/>
      <c r="F78" s="27"/>
      <c r="G78" s="27"/>
      <c r="H78" s="27"/>
      <c r="I78" s="27"/>
      <c r="J78" s="37">
        <f>SUM(J74:J77)</f>
        <v>7099</v>
      </c>
      <c r="K78" s="27"/>
      <c r="L78" s="59">
        <f>SUM(L74:L77)</f>
        <v>1855</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7099</v>
      </c>
      <c r="K80" s="27"/>
      <c r="L80" s="59">
        <f>L78+L79</f>
        <v>1855</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-92-8</f>
        <v>-100</v>
      </c>
      <c r="M84" s="27"/>
      <c r="N84" s="124"/>
    </row>
    <row r="85" spans="1:14" ht="15.75">
      <c r="A85" s="26">
        <v>4</v>
      </c>
      <c r="B85" s="27" t="s">
        <v>57</v>
      </c>
      <c r="C85" s="27"/>
      <c r="D85" s="27"/>
      <c r="E85" s="27"/>
      <c r="F85" s="27"/>
      <c r="G85" s="27"/>
      <c r="H85" s="27"/>
      <c r="I85" s="27"/>
      <c r="J85" s="27"/>
      <c r="K85" s="27"/>
      <c r="L85" s="58">
        <v>-178</v>
      </c>
      <c r="M85" s="27"/>
      <c r="N85" s="124"/>
    </row>
    <row r="86" spans="1:14" ht="15.75">
      <c r="A86" s="26">
        <v>5</v>
      </c>
      <c r="B86" s="27" t="s">
        <v>58</v>
      </c>
      <c r="C86" s="27"/>
      <c r="D86" s="27"/>
      <c r="E86" s="27"/>
      <c r="F86" s="27"/>
      <c r="G86" s="27"/>
      <c r="H86" s="27"/>
      <c r="I86" s="27"/>
      <c r="J86" s="27"/>
      <c r="K86" s="27"/>
      <c r="L86" s="58">
        <v>-1038</v>
      </c>
      <c r="M86" s="27"/>
      <c r="N86" s="124"/>
    </row>
    <row r="87" spans="1:14" ht="15.75">
      <c r="A87" s="26">
        <v>6</v>
      </c>
      <c r="B87" s="27" t="s">
        <v>59</v>
      </c>
      <c r="C87" s="27"/>
      <c r="D87" s="27"/>
      <c r="E87" s="27"/>
      <c r="F87" s="27"/>
      <c r="G87" s="27"/>
      <c r="H87" s="27"/>
      <c r="I87" s="27"/>
      <c r="J87" s="27"/>
      <c r="K87" s="27"/>
      <c r="L87" s="58">
        <v>-211</v>
      </c>
      <c r="M87" s="27"/>
      <c r="N87" s="124"/>
    </row>
    <row r="88" spans="1:14" ht="15.75">
      <c r="A88" s="26">
        <v>7</v>
      </c>
      <c r="B88" s="27" t="s">
        <v>60</v>
      </c>
      <c r="C88" s="27"/>
      <c r="D88" s="27"/>
      <c r="E88" s="27"/>
      <c r="F88" s="27"/>
      <c r="G88" s="27"/>
      <c r="H88" s="27"/>
      <c r="I88" s="27"/>
      <c r="J88" s="27"/>
      <c r="K88" s="27"/>
      <c r="L88" s="58">
        <v>-5</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-4</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-4-107</f>
        <v>-111</v>
      </c>
      <c r="M93" s="27"/>
      <c r="N93" s="124"/>
    </row>
    <row r="94" spans="1:14" ht="15.75">
      <c r="A94" s="26">
        <v>13</v>
      </c>
      <c r="B94" s="27" t="s">
        <v>66</v>
      </c>
      <c r="C94" s="27"/>
      <c r="D94" s="27"/>
      <c r="E94" s="27"/>
      <c r="F94" s="27"/>
      <c r="G94" s="27"/>
      <c r="H94" s="27"/>
      <c r="I94" s="27"/>
      <c r="J94" s="27"/>
      <c r="K94" s="27"/>
      <c r="L94" s="58">
        <f>-SUM(L80:L93)</f>
        <v>-204</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0</v>
      </c>
      <c r="K96" s="37"/>
      <c r="L96" s="58"/>
      <c r="M96" s="27"/>
      <c r="N96" s="124"/>
    </row>
    <row r="97" spans="1:14" ht="15.75">
      <c r="A97" s="26"/>
      <c r="B97" s="27" t="s">
        <v>69</v>
      </c>
      <c r="C97" s="27"/>
      <c r="D97" s="27"/>
      <c r="E97" s="27"/>
      <c r="F97" s="27"/>
      <c r="G97" s="27"/>
      <c r="H97" s="27"/>
      <c r="I97" s="27"/>
      <c r="J97" s="37">
        <f>-H141</f>
        <v>0</v>
      </c>
      <c r="K97" s="37"/>
      <c r="L97" s="58"/>
      <c r="M97" s="27"/>
      <c r="N97" s="124"/>
    </row>
    <row r="98" spans="1:14" ht="15.75">
      <c r="A98" s="26"/>
      <c r="B98" s="27" t="s">
        <v>70</v>
      </c>
      <c r="C98" s="27"/>
      <c r="D98" s="27"/>
      <c r="E98" s="27"/>
      <c r="F98" s="27"/>
      <c r="G98" s="27"/>
      <c r="H98" s="27"/>
      <c r="I98" s="27"/>
      <c r="J98" s="37">
        <v>-7099</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-7099</v>
      </c>
      <c r="K100" s="37"/>
      <c r="L100" s="37">
        <f>SUM(L81:L99)</f>
        <v>-1855</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6" t="str">
        <f>B51</f>
        <v>PM2 INVESTOR REPORT QUARTER ENDING NOVEMBER 2003</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v>0</v>
      </c>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138"/>
      <c r="D120" s="138"/>
      <c r="E120" s="138"/>
      <c r="F120" s="138"/>
      <c r="G120" s="138"/>
      <c r="H120" s="138"/>
      <c r="I120" s="138"/>
      <c r="J120" s="138"/>
      <c r="K120" s="138"/>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4</v>
      </c>
      <c r="M126" s="27"/>
      <c r="N126" s="124"/>
    </row>
    <row r="127" spans="1:14" ht="15.75">
      <c r="A127" s="26"/>
      <c r="B127" s="27" t="s">
        <v>90</v>
      </c>
      <c r="C127" s="27"/>
      <c r="D127" s="27"/>
      <c r="E127" s="27"/>
      <c r="F127" s="27"/>
      <c r="G127" s="27"/>
      <c r="H127" s="27"/>
      <c r="I127" s="27"/>
      <c r="J127" s="27"/>
      <c r="K127" s="27"/>
      <c r="L127" s="58">
        <f>L126+L125</f>
        <v>4</v>
      </c>
      <c r="M127" s="27"/>
      <c r="N127" s="124"/>
    </row>
    <row r="128" spans="1:14" ht="15.75">
      <c r="A128" s="26"/>
      <c r="B128" s="27" t="s">
        <v>91</v>
      </c>
      <c r="C128" s="27"/>
      <c r="D128" s="27"/>
      <c r="E128" s="27"/>
      <c r="F128" s="27"/>
      <c r="G128" s="27"/>
      <c r="H128" s="72"/>
      <c r="I128" s="27"/>
      <c r="J128" s="27"/>
      <c r="K128" s="27"/>
      <c r="L128" s="58">
        <v>-4</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115755</v>
      </c>
      <c r="M134" s="27"/>
      <c r="N134" s="124"/>
    </row>
    <row r="135" spans="1:14" ht="15.75">
      <c r="A135" s="26"/>
      <c r="B135" s="27" t="s">
        <v>95</v>
      </c>
      <c r="C135" s="73"/>
      <c r="D135" s="27"/>
      <c r="E135" s="27"/>
      <c r="F135" s="27"/>
      <c r="G135" s="27"/>
      <c r="H135" s="27"/>
      <c r="I135" s="27"/>
      <c r="J135" s="27"/>
      <c r="K135" s="27"/>
      <c r="L135" s="58">
        <f>L71</f>
        <v>115759</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19434</v>
      </c>
      <c r="I140" s="27"/>
      <c r="J140" s="58">
        <v>566</v>
      </c>
      <c r="K140" s="27"/>
      <c r="L140" s="58">
        <f>J140+H140</f>
        <v>20000</v>
      </c>
      <c r="M140" s="27"/>
      <c r="N140" s="124"/>
    </row>
    <row r="141" spans="1:14" ht="15.75">
      <c r="A141" s="26"/>
      <c r="B141" s="27" t="s">
        <v>99</v>
      </c>
      <c r="C141" s="27"/>
      <c r="D141" s="27"/>
      <c r="E141" s="27"/>
      <c r="F141" s="27"/>
      <c r="G141" s="27"/>
      <c r="H141" s="58">
        <v>0</v>
      </c>
      <c r="I141" s="27"/>
      <c r="J141" s="58">
        <v>0</v>
      </c>
      <c r="K141" s="27"/>
      <c r="L141" s="58">
        <f>J141+H141</f>
        <v>0</v>
      </c>
      <c r="M141" s="27"/>
      <c r="N141" s="124"/>
    </row>
    <row r="142" spans="1:14" ht="15.75">
      <c r="A142" s="26"/>
      <c r="B142" s="27" t="s">
        <v>100</v>
      </c>
      <c r="C142" s="27"/>
      <c r="D142" s="27"/>
      <c r="E142" s="27"/>
      <c r="F142" s="27"/>
      <c r="G142" s="27"/>
      <c r="H142" s="58">
        <f>H140+H141</f>
        <v>19434</v>
      </c>
      <c r="I142" s="27"/>
      <c r="J142" s="58">
        <f>J141+J140</f>
        <v>566</v>
      </c>
      <c r="K142" s="27"/>
      <c r="L142" s="58">
        <f>J142+H142</f>
        <v>20000</v>
      </c>
      <c r="M142" s="27"/>
      <c r="N142" s="124"/>
    </row>
    <row r="143" spans="1:14" ht="15.75">
      <c r="A143" s="26"/>
      <c r="B143" s="27" t="s">
        <v>101</v>
      </c>
      <c r="C143" s="27"/>
      <c r="D143" s="27"/>
      <c r="E143" s="27"/>
      <c r="F143" s="27"/>
      <c r="G143" s="27"/>
      <c r="H143" s="58">
        <f>H139-H142-J142</f>
        <v>0</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1.5154142581888246</v>
      </c>
      <c r="M147" s="27" t="s">
        <v>189</v>
      </c>
      <c r="N147" s="124"/>
    </row>
    <row r="148" spans="1:14" ht="15.75">
      <c r="A148" s="26"/>
      <c r="B148" s="27" t="s">
        <v>104</v>
      </c>
      <c r="C148" s="27"/>
      <c r="D148" s="27"/>
      <c r="E148" s="27"/>
      <c r="F148" s="27"/>
      <c r="G148" s="27"/>
      <c r="H148" s="27"/>
      <c r="I148" s="27"/>
      <c r="J148" s="27"/>
      <c r="K148" s="27"/>
      <c r="L148" s="66">
        <v>1.39</v>
      </c>
      <c r="M148" s="27" t="s">
        <v>189</v>
      </c>
      <c r="N148" s="124"/>
    </row>
    <row r="149" spans="1:14" ht="15.75">
      <c r="A149" s="26"/>
      <c r="B149" s="27" t="s">
        <v>105</v>
      </c>
      <c r="C149" s="27"/>
      <c r="D149" s="27"/>
      <c r="E149" s="27"/>
      <c r="F149" s="27"/>
      <c r="G149" s="27"/>
      <c r="H149" s="27"/>
      <c r="I149" s="27"/>
      <c r="J149" s="27"/>
      <c r="K149" s="27"/>
      <c r="L149" s="66">
        <f>(L80+SUM(L82:L86))/-L87</f>
        <v>2.5355450236966823</v>
      </c>
      <c r="M149" s="27" t="s">
        <v>189</v>
      </c>
      <c r="N149" s="124"/>
    </row>
    <row r="150" spans="1:14" ht="15.75">
      <c r="A150" s="26"/>
      <c r="B150" s="27" t="s">
        <v>106</v>
      </c>
      <c r="C150" s="27"/>
      <c r="D150" s="27"/>
      <c r="E150" s="27"/>
      <c r="F150" s="27"/>
      <c r="G150" s="27"/>
      <c r="H150" s="27"/>
      <c r="I150" s="27"/>
      <c r="J150" s="27"/>
      <c r="K150" s="27"/>
      <c r="L150" s="75">
        <v>2.76</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6.5" thickBot="1">
      <c r="A153" s="129"/>
      <c r="B153" s="136" t="str">
        <f>B104</f>
        <v>PM2 INVESTOR REPORT QUARTER ENDING NOVEMBER 2003</v>
      </c>
      <c r="C153" s="131"/>
      <c r="D153" s="131"/>
      <c r="E153" s="131"/>
      <c r="F153" s="131"/>
      <c r="G153" s="131"/>
      <c r="H153" s="131"/>
      <c r="I153" s="131"/>
      <c r="J153" s="131"/>
      <c r="K153" s="131"/>
      <c r="L153" s="131"/>
      <c r="M153" s="134"/>
      <c r="N153" s="124"/>
    </row>
    <row r="154" spans="1:14" ht="15.75">
      <c r="A154" s="2"/>
      <c r="B154" s="140"/>
      <c r="C154" s="140"/>
      <c r="D154" s="140"/>
      <c r="E154" s="140"/>
      <c r="F154" s="140"/>
      <c r="G154" s="140"/>
      <c r="H154" s="140"/>
      <c r="I154" s="140"/>
      <c r="J154" s="140"/>
      <c r="K154" s="140"/>
      <c r="L154" s="140"/>
      <c r="M154" s="140"/>
      <c r="N154" s="124"/>
    </row>
    <row r="155" spans="1:14" ht="15.75">
      <c r="A155" s="77"/>
      <c r="B155" s="56" t="s">
        <v>107</v>
      </c>
      <c r="C155" s="78"/>
      <c r="D155" s="78"/>
      <c r="E155" s="78"/>
      <c r="F155" s="78"/>
      <c r="G155" s="20"/>
      <c r="H155" s="20"/>
      <c r="I155" s="20"/>
      <c r="J155" s="20">
        <v>37953</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0.05892</v>
      </c>
      <c r="K160" s="27"/>
      <c r="L160" s="27"/>
      <c r="M160" s="27"/>
      <c r="N160" s="124"/>
    </row>
    <row r="161" spans="1:14" ht="15.75">
      <c r="A161" s="84"/>
      <c r="B161" s="85" t="s">
        <v>112</v>
      </c>
      <c r="C161" s="86"/>
      <c r="D161" s="86"/>
      <c r="E161" s="86"/>
      <c r="F161" s="86"/>
      <c r="G161" s="72"/>
      <c r="H161" s="72"/>
      <c r="I161" s="72"/>
      <c r="J161" s="87">
        <f>L33</f>
        <v>0.04075643554485299</v>
      </c>
      <c r="K161" s="27"/>
      <c r="L161" s="27"/>
      <c r="M161" s="27"/>
      <c r="N161" s="124"/>
    </row>
    <row r="162" spans="1:14" ht="15.75">
      <c r="A162" s="84"/>
      <c r="B162" s="85" t="s">
        <v>113</v>
      </c>
      <c r="C162" s="86"/>
      <c r="D162" s="86"/>
      <c r="E162" s="86"/>
      <c r="F162" s="86"/>
      <c r="G162" s="72"/>
      <c r="H162" s="72"/>
      <c r="I162" s="72"/>
      <c r="J162" s="87">
        <f>J160-J161</f>
        <v>0.01816356445514701</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16.27</v>
      </c>
      <c r="K166" s="27" t="s">
        <v>182</v>
      </c>
      <c r="L166" s="27"/>
      <c r="M166" s="27"/>
      <c r="N166" s="124"/>
    </row>
    <row r="167" spans="1:14" ht="15.75">
      <c r="A167" s="84"/>
      <c r="B167" s="85" t="s">
        <v>118</v>
      </c>
      <c r="C167" s="86"/>
      <c r="D167" s="86"/>
      <c r="E167" s="86"/>
      <c r="F167" s="86"/>
      <c r="G167" s="72"/>
      <c r="H167" s="72"/>
      <c r="I167" s="72"/>
      <c r="J167" s="87">
        <f>F56/'Aug 2003'!L56</f>
        <v>0.05781471292060753</v>
      </c>
      <c r="K167" s="27"/>
      <c r="L167" s="27"/>
      <c r="M167" s="27"/>
      <c r="N167" s="124"/>
    </row>
    <row r="168" spans="1:14" ht="15.75">
      <c r="A168" s="84"/>
      <c r="B168" s="85" t="s">
        <v>119</v>
      </c>
      <c r="C168" s="86"/>
      <c r="D168" s="86"/>
      <c r="E168" s="86"/>
      <c r="F168" s="86"/>
      <c r="G168" s="72"/>
      <c r="H168" s="72"/>
      <c r="I168" s="72"/>
      <c r="J168" s="87">
        <v>0.1467</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v>11</v>
      </c>
      <c r="J171" s="96">
        <v>501</v>
      </c>
      <c r="K171" s="27"/>
      <c r="L171" s="90"/>
      <c r="M171" s="97"/>
      <c r="N171" s="124"/>
    </row>
    <row r="172" spans="1:14" ht="15.75">
      <c r="A172" s="95"/>
      <c r="B172" s="85" t="s">
        <v>122</v>
      </c>
      <c r="C172" s="59"/>
      <c r="D172" s="59"/>
      <c r="E172" s="59"/>
      <c r="F172" s="27"/>
      <c r="G172" s="27"/>
      <c r="H172" s="27"/>
      <c r="I172" s="28">
        <v>1</v>
      </c>
      <c r="J172" s="96">
        <v>165</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1</v>
      </c>
      <c r="J176" s="96">
        <f>+L126</f>
        <v>4</v>
      </c>
      <c r="K176" s="27"/>
      <c r="L176" s="90"/>
      <c r="M176" s="99"/>
      <c r="N176" s="124"/>
    </row>
    <row r="177" spans="1:14" ht="15.75">
      <c r="A177" s="95"/>
      <c r="B177" s="85" t="s">
        <v>127</v>
      </c>
      <c r="C177" s="59"/>
      <c r="D177" s="59"/>
      <c r="E177" s="59"/>
      <c r="F177" s="59"/>
      <c r="G177" s="27"/>
      <c r="H177" s="27"/>
      <c r="I177" s="27">
        <f>'Aug 2003'!I177+I176</f>
        <v>3</v>
      </c>
      <c r="J177" s="96">
        <f>'Aug 2003'!J177+J176</f>
        <v>7</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v>0</v>
      </c>
      <c r="J180" s="96">
        <v>0</v>
      </c>
      <c r="K180" s="27"/>
      <c r="L180" s="90"/>
      <c r="M180" s="99"/>
      <c r="N180" s="124"/>
    </row>
    <row r="181" spans="1:14" ht="15.75">
      <c r="A181" s="95"/>
      <c r="B181" s="85" t="s">
        <v>130</v>
      </c>
      <c r="C181" s="59"/>
      <c r="D181" s="100"/>
      <c r="E181" s="100"/>
      <c r="F181" s="101"/>
      <c r="G181" s="27"/>
      <c r="H181" s="27"/>
      <c r="I181" s="27"/>
      <c r="J181" s="96">
        <v>0</v>
      </c>
      <c r="K181" s="27"/>
      <c r="L181" s="90"/>
      <c r="M181" s="99"/>
      <c r="N181" s="124"/>
    </row>
    <row r="182" spans="1:14" ht="15.75">
      <c r="A182" s="95"/>
      <c r="B182" s="85" t="s">
        <v>131</v>
      </c>
      <c r="C182" s="59"/>
      <c r="D182" s="100"/>
      <c r="E182" s="100"/>
      <c r="F182" s="101"/>
      <c r="G182" s="27"/>
      <c r="H182" s="27"/>
      <c r="I182" s="27"/>
      <c r="J182" s="96">
        <v>0</v>
      </c>
      <c r="K182" s="27"/>
      <c r="L182" s="90"/>
      <c r="M182" s="99"/>
      <c r="N182" s="124"/>
    </row>
    <row r="183" spans="1:14" ht="15.75">
      <c r="A183" s="95"/>
      <c r="B183" s="85" t="s">
        <v>132</v>
      </c>
      <c r="C183" s="59"/>
      <c r="D183" s="102"/>
      <c r="E183" s="100"/>
      <c r="F183" s="101"/>
      <c r="G183" s="27"/>
      <c r="H183" s="27"/>
      <c r="I183" s="27"/>
      <c r="J183" s="103">
        <v>0</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1987</v>
      </c>
      <c r="I186" s="105">
        <f>H186/H191</f>
        <v>0.9802664035520473</v>
      </c>
      <c r="J186" s="58">
        <v>113836</v>
      </c>
      <c r="K186" s="106">
        <f>J186/J191</f>
        <v>0.9834218824240853</v>
      </c>
      <c r="L186" s="90"/>
      <c r="M186" s="99"/>
      <c r="N186" s="124"/>
    </row>
    <row r="187" spans="1:14" ht="15.75">
      <c r="A187" s="26"/>
      <c r="B187" s="59" t="s">
        <v>135</v>
      </c>
      <c r="C187" s="105"/>
      <c r="D187" s="59"/>
      <c r="E187" s="105"/>
      <c r="F187" s="27"/>
      <c r="G187" s="107"/>
      <c r="H187" s="59">
        <v>12</v>
      </c>
      <c r="I187" s="105">
        <f>H187/H191</f>
        <v>0.0059200789343857915</v>
      </c>
      <c r="J187" s="58">
        <v>677</v>
      </c>
      <c r="K187" s="106">
        <f>J187/J191</f>
        <v>0.005848559457474839</v>
      </c>
      <c r="L187" s="90"/>
      <c r="M187" s="99"/>
      <c r="N187" s="124"/>
    </row>
    <row r="188" spans="1:14" ht="15.75">
      <c r="A188" s="26"/>
      <c r="B188" s="59" t="s">
        <v>136</v>
      </c>
      <c r="C188" s="105"/>
      <c r="D188" s="59"/>
      <c r="E188" s="105"/>
      <c r="F188" s="27"/>
      <c r="G188" s="107"/>
      <c r="H188" s="59">
        <v>13</v>
      </c>
      <c r="I188" s="105">
        <f>H188/H191</f>
        <v>0.006413418845584608</v>
      </c>
      <c r="J188" s="58">
        <v>608</v>
      </c>
      <c r="K188" s="106">
        <f>J188/J191</f>
        <v>0.005252472895339294</v>
      </c>
      <c r="L188" s="90"/>
      <c r="M188" s="99"/>
      <c r="N188" s="124"/>
    </row>
    <row r="189" spans="1:14" ht="15.75">
      <c r="A189" s="26"/>
      <c r="B189" s="59" t="s">
        <v>137</v>
      </c>
      <c r="C189" s="105"/>
      <c r="D189" s="59"/>
      <c r="E189" s="105"/>
      <c r="F189" s="27"/>
      <c r="G189" s="107"/>
      <c r="H189" s="59">
        <v>15</v>
      </c>
      <c r="I189" s="105">
        <f>H189/H191</f>
        <v>0.00740009866798224</v>
      </c>
      <c r="J189" s="58">
        <v>634</v>
      </c>
      <c r="K189" s="106">
        <f>J189/J191</f>
        <v>0.005477085223100514</v>
      </c>
      <c r="L189" s="90"/>
      <c r="M189" s="99"/>
      <c r="N189" s="124"/>
    </row>
    <row r="190" spans="1:14" ht="15.75">
      <c r="A190" s="26"/>
      <c r="B190" s="138"/>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2027</v>
      </c>
      <c r="I191" s="109">
        <f>SUM(I186:I190)</f>
        <v>1</v>
      </c>
      <c r="J191" s="58">
        <f>SUM(J186:J190)</f>
        <v>115755</v>
      </c>
      <c r="K191" s="109">
        <f>SUM(K186:K190)</f>
        <v>1</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37"/>
      <c r="K194" s="137"/>
      <c r="L194" s="137"/>
      <c r="M194" s="137"/>
      <c r="N194" s="124"/>
    </row>
    <row r="195" spans="1:14" ht="15.75">
      <c r="A195" s="141"/>
      <c r="B195" s="137"/>
      <c r="C195" s="137"/>
      <c r="D195" s="10"/>
      <c r="E195" s="10"/>
      <c r="F195" s="10"/>
      <c r="G195" s="137"/>
      <c r="H195" s="137"/>
      <c r="I195" s="137"/>
      <c r="J195" s="137"/>
      <c r="K195" s="137"/>
      <c r="L195" s="137"/>
      <c r="M195" s="137"/>
      <c r="N195" s="124"/>
    </row>
    <row r="196" spans="1:14" ht="15.75">
      <c r="A196" s="141"/>
      <c r="B196" s="16" t="s">
        <v>139</v>
      </c>
      <c r="C196" s="118"/>
      <c r="D196" s="119" t="s">
        <v>147</v>
      </c>
      <c r="E196" s="16"/>
      <c r="F196" s="16" t="s">
        <v>160</v>
      </c>
      <c r="G196" s="118"/>
      <c r="H196" s="118"/>
      <c r="I196" s="137"/>
      <c r="J196" s="137"/>
      <c r="K196" s="137"/>
      <c r="L196" s="137"/>
      <c r="M196" s="137"/>
      <c r="N196" s="124"/>
    </row>
    <row r="197" spans="1:14" ht="15.75">
      <c r="A197" s="141"/>
      <c r="B197" s="16" t="s">
        <v>140</v>
      </c>
      <c r="C197" s="118"/>
      <c r="D197" s="119" t="s">
        <v>148</v>
      </c>
      <c r="E197" s="16"/>
      <c r="F197" s="16" t="s">
        <v>161</v>
      </c>
      <c r="G197" s="118"/>
      <c r="H197" s="118"/>
      <c r="I197" s="137"/>
      <c r="J197" s="137"/>
      <c r="K197" s="137"/>
      <c r="L197" s="137"/>
      <c r="M197" s="137"/>
      <c r="N197" s="124"/>
    </row>
    <row r="198" spans="1:14" ht="15.75">
      <c r="A198" s="141"/>
      <c r="B198" s="16"/>
      <c r="C198" s="118"/>
      <c r="D198" s="119"/>
      <c r="E198" s="16"/>
      <c r="F198" s="16"/>
      <c r="G198" s="118"/>
      <c r="H198" s="118"/>
      <c r="I198" s="137"/>
      <c r="J198" s="137"/>
      <c r="K198" s="137"/>
      <c r="L198" s="137"/>
      <c r="M198" s="137"/>
      <c r="N198" s="124"/>
    </row>
    <row r="199" spans="1:14" ht="15.75">
      <c r="A199" s="141"/>
      <c r="B199" s="16"/>
      <c r="C199" s="118"/>
      <c r="D199" s="119"/>
      <c r="E199" s="16"/>
      <c r="F199" s="16"/>
      <c r="G199" s="118"/>
      <c r="H199" s="118"/>
      <c r="I199" s="137"/>
      <c r="J199" s="137"/>
      <c r="K199" s="137"/>
      <c r="L199" s="137"/>
      <c r="M199" s="137"/>
      <c r="N199" s="124"/>
    </row>
    <row r="200" spans="1:14" ht="15.75">
      <c r="A200" s="141"/>
      <c r="B200" s="16" t="str">
        <f>B153</f>
        <v>PM2 INVESTOR REPORT QUARTER ENDING NOVEMBER 2003</v>
      </c>
      <c r="C200" s="118"/>
      <c r="D200" s="119"/>
      <c r="E200" s="16"/>
      <c r="F200" s="16"/>
      <c r="G200" s="118"/>
      <c r="H200" s="118"/>
      <c r="I200" s="137"/>
      <c r="J200" s="137"/>
      <c r="K200" s="137"/>
      <c r="L200" s="137"/>
      <c r="M200" s="137"/>
      <c r="N200" s="124"/>
    </row>
    <row r="201" spans="1:13" ht="15">
      <c r="A201" s="125"/>
      <c r="B201" s="125"/>
      <c r="C201" s="125"/>
      <c r="D201" s="125"/>
      <c r="E201" s="125"/>
      <c r="F201" s="125"/>
      <c r="G201" s="125"/>
      <c r="H201" s="125"/>
      <c r="I201" s="125"/>
      <c r="J201" s="125"/>
      <c r="K201" s="125"/>
      <c r="L201" s="125"/>
      <c r="M201" s="125"/>
    </row>
    <row r="203" spans="8:10" ht="15">
      <c r="H203" s="142"/>
      <c r="J203" s="142"/>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6.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6.105468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37"/>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38062</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37"/>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145"/>
      <c r="J22" s="24"/>
      <c r="K22" s="137"/>
      <c r="L22" s="137"/>
      <c r="M22" s="10"/>
      <c r="N22" s="124"/>
    </row>
    <row r="23" spans="1:14" ht="15.75">
      <c r="A23" s="8"/>
      <c r="B23" s="10" t="s">
        <v>11</v>
      </c>
      <c r="C23" s="144" t="s">
        <v>142</v>
      </c>
      <c r="D23" s="24"/>
      <c r="E23" s="24"/>
      <c r="F23" s="24" t="s">
        <v>150</v>
      </c>
      <c r="G23" s="24"/>
      <c r="H23" s="24" t="s">
        <v>163</v>
      </c>
      <c r="I23" s="24"/>
      <c r="J23" s="24"/>
      <c r="K23" s="137"/>
      <c r="L23" s="137"/>
      <c r="M23" s="10"/>
      <c r="N23" s="124"/>
    </row>
    <row r="24" spans="1:14" ht="15.75">
      <c r="A24" s="26"/>
      <c r="B24" s="27" t="s">
        <v>12</v>
      </c>
      <c r="C24" s="28"/>
      <c r="D24" s="29"/>
      <c r="E24" s="29"/>
      <c r="F24" s="29" t="s">
        <v>151</v>
      </c>
      <c r="G24" s="29"/>
      <c r="H24" s="29" t="s">
        <v>164</v>
      </c>
      <c r="I24" s="29"/>
      <c r="J24" s="29"/>
      <c r="K24" s="138"/>
      <c r="L24" s="138"/>
      <c r="M24" s="27"/>
      <c r="N24" s="124"/>
    </row>
    <row r="25" spans="1:14" ht="15.75">
      <c r="A25" s="31"/>
      <c r="B25" s="32" t="s">
        <v>13</v>
      </c>
      <c r="C25" s="32"/>
      <c r="D25" s="33"/>
      <c r="E25" s="33"/>
      <c r="F25" s="33" t="s">
        <v>150</v>
      </c>
      <c r="G25" s="33"/>
      <c r="H25" s="33" t="s">
        <v>206</v>
      </c>
      <c r="I25" s="33"/>
      <c r="J25" s="29"/>
      <c r="K25" s="138"/>
      <c r="L25" s="138"/>
      <c r="M25" s="27"/>
      <c r="N25" s="124"/>
    </row>
    <row r="26" spans="1:14" ht="15.75">
      <c r="A26" s="31"/>
      <c r="B26" s="32" t="s">
        <v>14</v>
      </c>
      <c r="C26" s="32"/>
      <c r="D26" s="33"/>
      <c r="E26" s="33"/>
      <c r="F26" s="33" t="s">
        <v>151</v>
      </c>
      <c r="G26" s="33"/>
      <c r="H26" s="33" t="s">
        <v>207</v>
      </c>
      <c r="I26" s="33"/>
      <c r="J26" s="29"/>
      <c r="K26" s="138"/>
      <c r="L26" s="138"/>
      <c r="M26" s="27"/>
      <c r="N26" s="124"/>
    </row>
    <row r="27" spans="1:14" ht="15.75">
      <c r="A27" s="26"/>
      <c r="B27" s="27" t="s">
        <v>15</v>
      </c>
      <c r="C27" s="27"/>
      <c r="D27" s="28"/>
      <c r="E27" s="29"/>
      <c r="F27" s="28" t="s">
        <v>152</v>
      </c>
      <c r="G27" s="29"/>
      <c r="H27" s="28" t="s">
        <v>165</v>
      </c>
      <c r="I27" s="29"/>
      <c r="J27" s="28"/>
      <c r="K27" s="138"/>
      <c r="L27" s="138"/>
      <c r="M27" s="27"/>
      <c r="N27" s="124"/>
    </row>
    <row r="28" spans="1:14" ht="15.75">
      <c r="A28" s="26"/>
      <c r="B28" s="27"/>
      <c r="C28" s="27"/>
      <c r="D28" s="27"/>
      <c r="E28" s="29"/>
      <c r="F28" s="29"/>
      <c r="G28" s="29"/>
      <c r="H28" s="29"/>
      <c r="I28" s="29"/>
      <c r="J28" s="29"/>
      <c r="K28" s="138"/>
      <c r="L28" s="138"/>
      <c r="M28" s="27"/>
      <c r="N28" s="124"/>
    </row>
    <row r="29" spans="1:14" ht="15.75">
      <c r="A29" s="26"/>
      <c r="B29" s="27" t="s">
        <v>16</v>
      </c>
      <c r="C29" s="27"/>
      <c r="D29" s="34"/>
      <c r="E29" s="35"/>
      <c r="F29" s="34">
        <v>166500</v>
      </c>
      <c r="G29" s="34"/>
      <c r="H29" s="34">
        <v>18500</v>
      </c>
      <c r="I29" s="34"/>
      <c r="J29" s="34"/>
      <c r="K29" s="139"/>
      <c r="L29" s="34">
        <f>H29+F29</f>
        <v>185000</v>
      </c>
      <c r="M29" s="37"/>
      <c r="N29" s="124"/>
    </row>
    <row r="30" spans="1:14" ht="15.75">
      <c r="A30" s="26"/>
      <c r="B30" s="27" t="s">
        <v>17</v>
      </c>
      <c r="C30" s="38">
        <v>0.584139</v>
      </c>
      <c r="D30" s="34"/>
      <c r="E30" s="35"/>
      <c r="F30" s="34">
        <f>166500*C30</f>
        <v>97259.14349999999</v>
      </c>
      <c r="G30" s="34"/>
      <c r="H30" s="34">
        <v>18500</v>
      </c>
      <c r="I30" s="34"/>
      <c r="J30" s="34"/>
      <c r="K30" s="139"/>
      <c r="L30" s="34">
        <f>H30+F30</f>
        <v>115759.14349999999</v>
      </c>
      <c r="M30" s="37"/>
      <c r="N30" s="124"/>
    </row>
    <row r="31" spans="1:14" ht="12.75" customHeight="1">
      <c r="A31" s="31"/>
      <c r="B31" s="32" t="s">
        <v>18</v>
      </c>
      <c r="C31" s="39">
        <v>0.541463</v>
      </c>
      <c r="D31" s="40"/>
      <c r="E31" s="41"/>
      <c r="F31" s="40">
        <f>166500*C31*1</f>
        <v>90153.5895</v>
      </c>
      <c r="G31" s="40"/>
      <c r="H31" s="40">
        <v>18500</v>
      </c>
      <c r="I31" s="40"/>
      <c r="J31" s="40"/>
      <c r="K31" s="42"/>
      <c r="L31" s="40">
        <f>H31+F31+D31</f>
        <v>108653.5895</v>
      </c>
      <c r="M31" s="37"/>
      <c r="N31" s="124"/>
    </row>
    <row r="32" spans="1:14" ht="15.75">
      <c r="A32" s="26"/>
      <c r="B32" s="27" t="s">
        <v>19</v>
      </c>
      <c r="C32" s="43"/>
      <c r="D32" s="28"/>
      <c r="E32" s="27"/>
      <c r="F32" s="28" t="s">
        <v>153</v>
      </c>
      <c r="G32" s="28"/>
      <c r="H32" s="28" t="s">
        <v>166</v>
      </c>
      <c r="I32" s="28"/>
      <c r="J32" s="28"/>
      <c r="K32" s="138"/>
      <c r="L32" s="138"/>
      <c r="M32" s="27"/>
      <c r="N32" s="124"/>
    </row>
    <row r="33" spans="1:14" ht="15.75">
      <c r="A33" s="26"/>
      <c r="B33" s="27" t="s">
        <v>20</v>
      </c>
      <c r="C33" s="27"/>
      <c r="D33" s="44"/>
      <c r="E33" s="27"/>
      <c r="F33" s="44">
        <v>0.0432125</v>
      </c>
      <c r="G33" s="45"/>
      <c r="H33" s="44">
        <v>0.0489625</v>
      </c>
      <c r="I33" s="45"/>
      <c r="J33" s="44"/>
      <c r="K33" s="138"/>
      <c r="L33" s="45">
        <f>SUMPRODUCT(F33:H33,F30:H30)/L30</f>
        <v>0.04413143388965857</v>
      </c>
      <c r="M33" s="27"/>
      <c r="N33" s="124"/>
    </row>
    <row r="34" spans="1:14" ht="15.75">
      <c r="A34" s="26"/>
      <c r="B34" s="27" t="s">
        <v>21</v>
      </c>
      <c r="C34" s="27"/>
      <c r="D34" s="44"/>
      <c r="E34" s="27"/>
      <c r="F34" s="44">
        <v>0.0398906</v>
      </c>
      <c r="G34" s="45"/>
      <c r="H34" s="44">
        <v>0.0456406</v>
      </c>
      <c r="I34" s="45"/>
      <c r="J34" s="44"/>
      <c r="K34" s="138"/>
      <c r="L34" s="138"/>
      <c r="M34" s="27"/>
      <c r="N34" s="124"/>
    </row>
    <row r="35" spans="1:14" ht="15.75">
      <c r="A35" s="26"/>
      <c r="B35" s="27" t="s">
        <v>22</v>
      </c>
      <c r="C35" s="27"/>
      <c r="D35" s="28"/>
      <c r="E35" s="27"/>
      <c r="F35" s="28" t="s">
        <v>155</v>
      </c>
      <c r="G35" s="28"/>
      <c r="H35" s="28" t="s">
        <v>155</v>
      </c>
      <c r="I35" s="28"/>
      <c r="J35" s="28"/>
      <c r="K35" s="138"/>
      <c r="L35" s="138"/>
      <c r="M35" s="27"/>
      <c r="N35" s="124"/>
    </row>
    <row r="36" spans="1:14" ht="15.75">
      <c r="A36" s="26"/>
      <c r="B36" s="27" t="s">
        <v>23</v>
      </c>
      <c r="C36" s="27"/>
      <c r="D36" s="28"/>
      <c r="E36" s="27"/>
      <c r="F36" s="28" t="s">
        <v>156</v>
      </c>
      <c r="G36" s="28"/>
      <c r="H36" s="28" t="s">
        <v>156</v>
      </c>
      <c r="I36" s="28"/>
      <c r="J36" s="28"/>
      <c r="K36" s="138"/>
      <c r="L36" s="138"/>
      <c r="M36" s="27"/>
      <c r="N36" s="124"/>
    </row>
    <row r="37" spans="1:14" ht="15.75">
      <c r="A37" s="26"/>
      <c r="B37" s="27" t="s">
        <v>24</v>
      </c>
      <c r="C37" s="27"/>
      <c r="D37" s="28"/>
      <c r="E37" s="27"/>
      <c r="F37" s="28" t="s">
        <v>157</v>
      </c>
      <c r="G37" s="28"/>
      <c r="H37" s="28" t="s">
        <v>167</v>
      </c>
      <c r="I37" s="28"/>
      <c r="J37" s="28"/>
      <c r="K37" s="138"/>
      <c r="L37" s="138"/>
      <c r="M37" s="27"/>
      <c r="N37" s="124"/>
    </row>
    <row r="38" spans="1:14" ht="15.75">
      <c r="A38" s="26"/>
      <c r="B38" s="27"/>
      <c r="C38" s="27"/>
      <c r="D38" s="46"/>
      <c r="E38" s="46"/>
      <c r="F38" s="27"/>
      <c r="G38" s="46"/>
      <c r="H38" s="128"/>
      <c r="I38" s="46"/>
      <c r="J38" s="46"/>
      <c r="K38" s="46"/>
      <c r="L38" s="46"/>
      <c r="M38" s="27"/>
      <c r="N38" s="124"/>
    </row>
    <row r="39" spans="1:14" ht="15.75">
      <c r="A39" s="26"/>
      <c r="B39" s="27" t="s">
        <v>25</v>
      </c>
      <c r="C39" s="27"/>
      <c r="D39" s="27"/>
      <c r="E39" s="27"/>
      <c r="F39" s="27"/>
      <c r="G39" s="27"/>
      <c r="H39" s="1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0.20520536234444664</v>
      </c>
      <c r="M40" s="27"/>
      <c r="N40" s="124"/>
    </row>
    <row r="41" spans="1:14" ht="15.75">
      <c r="A41" s="26"/>
      <c r="B41" s="27" t="s">
        <v>27</v>
      </c>
      <c r="C41" s="27"/>
      <c r="D41" s="27"/>
      <c r="E41" s="27"/>
      <c r="F41" s="1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38061</v>
      </c>
      <c r="M44" s="27"/>
      <c r="N44" s="124"/>
    </row>
    <row r="45" spans="1:14" ht="15.75">
      <c r="A45" s="26"/>
      <c r="B45" s="27" t="s">
        <v>30</v>
      </c>
      <c r="C45" s="27"/>
      <c r="D45" s="27"/>
      <c r="E45" s="27"/>
      <c r="F45" s="27"/>
      <c r="G45" s="27"/>
      <c r="H45" s="27"/>
      <c r="I45" s="27">
        <f>L45-J45+1</f>
        <v>91</v>
      </c>
      <c r="J45" s="50">
        <v>37879</v>
      </c>
      <c r="K45" s="51"/>
      <c r="L45" s="50">
        <v>37969</v>
      </c>
      <c r="M45" s="27"/>
      <c r="N45" s="124"/>
    </row>
    <row r="46" spans="1:14" ht="15.75">
      <c r="A46" s="26"/>
      <c r="B46" s="27" t="s">
        <v>31</v>
      </c>
      <c r="C46" s="27"/>
      <c r="D46" s="27"/>
      <c r="E46" s="27"/>
      <c r="F46" s="27"/>
      <c r="G46" s="27"/>
      <c r="H46" s="27"/>
      <c r="I46" s="27">
        <f>L46-J46+1</f>
        <v>91</v>
      </c>
      <c r="J46" s="50">
        <v>37970</v>
      </c>
      <c r="K46" s="51"/>
      <c r="L46" s="50">
        <v>38060</v>
      </c>
      <c r="M46" s="27"/>
      <c r="N46" s="124"/>
    </row>
    <row r="47" spans="1:14" ht="15.75">
      <c r="A47" s="26"/>
      <c r="B47" s="27" t="s">
        <v>32</v>
      </c>
      <c r="C47" s="27"/>
      <c r="D47" s="27"/>
      <c r="E47" s="27"/>
      <c r="F47" s="27"/>
      <c r="G47" s="27"/>
      <c r="H47" s="27"/>
      <c r="I47" s="27"/>
      <c r="J47" s="50"/>
      <c r="K47" s="51"/>
      <c r="L47" s="50" t="s">
        <v>185</v>
      </c>
      <c r="M47" s="27"/>
      <c r="N47" s="124"/>
    </row>
    <row r="48" spans="1:14" ht="15.75">
      <c r="A48" s="26"/>
      <c r="B48" s="27" t="s">
        <v>33</v>
      </c>
      <c r="C48" s="27"/>
      <c r="D48" s="27"/>
      <c r="E48" s="27"/>
      <c r="F48" s="27"/>
      <c r="G48" s="27"/>
      <c r="H48" s="27"/>
      <c r="I48" s="27"/>
      <c r="J48" s="50"/>
      <c r="K48" s="51"/>
      <c r="L48" s="50">
        <v>38049</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6.5" thickBot="1">
      <c r="A51" s="129"/>
      <c r="B51" s="136" t="s">
        <v>213</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115755</v>
      </c>
      <c r="E56" s="37"/>
      <c r="F56" s="37">
        <f>7105-4</f>
        <v>7101</v>
      </c>
      <c r="G56" s="37"/>
      <c r="H56" s="37">
        <v>0</v>
      </c>
      <c r="I56" s="37"/>
      <c r="J56" s="37">
        <v>0</v>
      </c>
      <c r="K56" s="37"/>
      <c r="L56" s="58">
        <f>D56-F56+H56-J56</f>
        <v>108654</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115755</v>
      </c>
      <c r="E59" s="37"/>
      <c r="F59" s="37">
        <f>SUM(F56:F58)</f>
        <v>7101</v>
      </c>
      <c r="G59" s="37"/>
      <c r="H59" s="37">
        <f>SUM(H56:H58)</f>
        <v>0</v>
      </c>
      <c r="I59" s="37"/>
      <c r="J59" s="37">
        <f>SUM(J56:J58)</f>
        <v>0</v>
      </c>
      <c r="K59" s="37"/>
      <c r="L59" s="59">
        <f>SUM(L56:L58)</f>
        <v>108654</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4</v>
      </c>
      <c r="E70" s="37"/>
      <c r="F70" s="37"/>
      <c r="G70" s="37"/>
      <c r="H70" s="37"/>
      <c r="I70" s="37"/>
      <c r="J70" s="37"/>
      <c r="K70" s="37"/>
      <c r="L70" s="59">
        <v>0</v>
      </c>
      <c r="M70" s="27"/>
      <c r="N70" s="124"/>
    </row>
    <row r="71" spans="1:14" ht="15.75">
      <c r="A71" s="26"/>
      <c r="B71" s="27" t="s">
        <v>44</v>
      </c>
      <c r="C71" s="59">
        <f>SUM(C59:C70)</f>
        <v>185000</v>
      </c>
      <c r="D71" s="59">
        <f>SUM(D59:D70)</f>
        <v>115759</v>
      </c>
      <c r="E71" s="37"/>
      <c r="F71" s="59"/>
      <c r="G71" s="37"/>
      <c r="H71" s="59"/>
      <c r="I71" s="37"/>
      <c r="J71" s="59"/>
      <c r="K71" s="37"/>
      <c r="L71" s="59">
        <f>SUM(L59:L70)</f>
        <v>108654</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38044</v>
      </c>
      <c r="E75" s="27"/>
      <c r="F75" s="27"/>
      <c r="G75" s="27"/>
      <c r="H75" s="27"/>
      <c r="I75" s="27"/>
      <c r="J75" s="37">
        <f>7101+4</f>
        <v>7105</v>
      </c>
      <c r="K75" s="27"/>
      <c r="L75" s="58"/>
      <c r="M75" s="27"/>
      <c r="N75" s="124"/>
    </row>
    <row r="76" spans="1:14" ht="15.75">
      <c r="A76" s="26"/>
      <c r="B76" s="27" t="s">
        <v>48</v>
      </c>
      <c r="C76" s="27"/>
      <c r="D76" s="27"/>
      <c r="E76" s="27"/>
      <c r="F76" s="27"/>
      <c r="G76" s="27"/>
      <c r="H76" s="27"/>
      <c r="I76" s="27"/>
      <c r="J76" s="37"/>
      <c r="K76" s="27"/>
      <c r="L76" s="58">
        <f>1587+284-8</f>
        <v>1863</v>
      </c>
      <c r="M76" s="27"/>
      <c r="N76" s="124"/>
    </row>
    <row r="77" spans="1:14" ht="15.75">
      <c r="A77" s="26"/>
      <c r="B77" s="27" t="s">
        <v>49</v>
      </c>
      <c r="C77" s="27"/>
      <c r="D77" s="27"/>
      <c r="E77" s="27"/>
      <c r="F77" s="27"/>
      <c r="G77" s="27"/>
      <c r="H77" s="27"/>
      <c r="I77" s="27"/>
      <c r="J77" s="37"/>
      <c r="K77" s="27"/>
      <c r="L77" s="58">
        <v>74</v>
      </c>
      <c r="M77" s="27"/>
      <c r="N77" s="124"/>
    </row>
    <row r="78" spans="1:14" ht="15.75">
      <c r="A78" s="26"/>
      <c r="B78" s="27" t="s">
        <v>50</v>
      </c>
      <c r="C78" s="27"/>
      <c r="D78" s="27"/>
      <c r="E78" s="27"/>
      <c r="F78" s="27"/>
      <c r="G78" s="27"/>
      <c r="H78" s="27"/>
      <c r="I78" s="27"/>
      <c r="J78" s="37">
        <f>SUM(J74:J77)</f>
        <v>7105</v>
      </c>
      <c r="K78" s="27"/>
      <c r="L78" s="59">
        <f>SUM(L74:L77)</f>
        <v>1937</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7105</v>
      </c>
      <c r="K80" s="27"/>
      <c r="L80" s="59">
        <f>L78+L79</f>
        <v>1937</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-87-7</f>
        <v>-94</v>
      </c>
      <c r="M84" s="27"/>
      <c r="N84" s="124"/>
    </row>
    <row r="85" spans="1:14" ht="15.75">
      <c r="A85" s="26">
        <v>4</v>
      </c>
      <c r="B85" s="27" t="s">
        <v>57</v>
      </c>
      <c r="C85" s="27"/>
      <c r="D85" s="27"/>
      <c r="E85" s="27"/>
      <c r="F85" s="27"/>
      <c r="G85" s="27"/>
      <c r="H85" s="27"/>
      <c r="I85" s="27"/>
      <c r="J85" s="27"/>
      <c r="K85" s="27"/>
      <c r="L85" s="58">
        <v>-163</v>
      </c>
      <c r="M85" s="27"/>
      <c r="N85" s="124"/>
    </row>
    <row r="86" spans="1:14" ht="15.75">
      <c r="A86" s="26">
        <v>5</v>
      </c>
      <c r="B86" s="27" t="s">
        <v>58</v>
      </c>
      <c r="C86" s="27"/>
      <c r="D86" s="27"/>
      <c r="E86" s="27"/>
      <c r="F86" s="27"/>
      <c r="G86" s="27"/>
      <c r="H86" s="27"/>
      <c r="I86" s="27"/>
      <c r="J86" s="27"/>
      <c r="K86" s="27"/>
      <c r="L86" s="58">
        <v>-1045</v>
      </c>
      <c r="M86" s="27"/>
      <c r="N86" s="124"/>
    </row>
    <row r="87" spans="1:14" ht="15.75">
      <c r="A87" s="26">
        <v>6</v>
      </c>
      <c r="B87" s="27" t="s">
        <v>59</v>
      </c>
      <c r="C87" s="27"/>
      <c r="D87" s="27"/>
      <c r="E87" s="27"/>
      <c r="F87" s="27"/>
      <c r="G87" s="27"/>
      <c r="H87" s="27"/>
      <c r="I87" s="27"/>
      <c r="J87" s="27"/>
      <c r="K87" s="27"/>
      <c r="L87" s="58">
        <v>-225</v>
      </c>
      <c r="M87" s="27"/>
      <c r="N87" s="124"/>
    </row>
    <row r="88" spans="1:14" ht="15.75">
      <c r="A88" s="26">
        <v>7</v>
      </c>
      <c r="B88" s="27" t="s">
        <v>60</v>
      </c>
      <c r="C88" s="27"/>
      <c r="D88" s="27"/>
      <c r="E88" s="27"/>
      <c r="F88" s="27"/>
      <c r="G88" s="27"/>
      <c r="H88" s="27"/>
      <c r="I88" s="27"/>
      <c r="J88" s="27"/>
      <c r="K88" s="27"/>
      <c r="L88" s="58">
        <v>-5</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-2-110</f>
        <v>-112</v>
      </c>
      <c r="M93" s="27"/>
      <c r="N93" s="124"/>
    </row>
    <row r="94" spans="1:14" ht="15.75">
      <c r="A94" s="26">
        <v>13</v>
      </c>
      <c r="B94" s="27" t="s">
        <v>66</v>
      </c>
      <c r="C94" s="27"/>
      <c r="D94" s="27"/>
      <c r="E94" s="27"/>
      <c r="F94" s="27"/>
      <c r="G94" s="27"/>
      <c r="H94" s="27"/>
      <c r="I94" s="27"/>
      <c r="J94" s="27"/>
      <c r="K94" s="27"/>
      <c r="L94" s="58">
        <f>-SUM(L80:L93)</f>
        <v>-289</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0</v>
      </c>
      <c r="K96" s="37"/>
      <c r="L96" s="58"/>
      <c r="M96" s="27"/>
      <c r="N96" s="124"/>
    </row>
    <row r="97" spans="1:14" ht="15.75">
      <c r="A97" s="26"/>
      <c r="B97" s="27" t="s">
        <v>69</v>
      </c>
      <c r="C97" s="27"/>
      <c r="D97" s="27"/>
      <c r="E97" s="27"/>
      <c r="F97" s="27"/>
      <c r="G97" s="27"/>
      <c r="H97" s="27"/>
      <c r="I97" s="27"/>
      <c r="J97" s="37">
        <f>-H141</f>
        <v>0</v>
      </c>
      <c r="K97" s="37"/>
      <c r="L97" s="58"/>
      <c r="M97" s="27"/>
      <c r="N97" s="124"/>
    </row>
    <row r="98" spans="1:14" ht="15.75">
      <c r="A98" s="26"/>
      <c r="B98" s="27" t="s">
        <v>70</v>
      </c>
      <c r="C98" s="27"/>
      <c r="D98" s="27"/>
      <c r="E98" s="27"/>
      <c r="F98" s="27"/>
      <c r="G98" s="27"/>
      <c r="H98" s="27"/>
      <c r="I98" s="27"/>
      <c r="J98" s="37">
        <v>-7105</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-7105</v>
      </c>
      <c r="K100" s="37"/>
      <c r="L100" s="37">
        <f>SUM(L81:L99)</f>
        <v>-1937</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6" t="str">
        <f>B51</f>
        <v>PM2 INVESTOR REPORT QUARTER ENDING FEBRUARY 2004</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v>0</v>
      </c>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138"/>
      <c r="D120" s="138"/>
      <c r="E120" s="138"/>
      <c r="F120" s="138"/>
      <c r="G120" s="138"/>
      <c r="H120" s="138"/>
      <c r="I120" s="138"/>
      <c r="J120" s="138"/>
      <c r="K120" s="138"/>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108654</v>
      </c>
      <c r="M134" s="27"/>
      <c r="N134" s="124"/>
    </row>
    <row r="135" spans="1:14" ht="15.75">
      <c r="A135" s="26"/>
      <c r="B135" s="27" t="s">
        <v>95</v>
      </c>
      <c r="C135" s="73"/>
      <c r="D135" s="27"/>
      <c r="E135" s="27"/>
      <c r="F135" s="27"/>
      <c r="G135" s="27"/>
      <c r="H135" s="27"/>
      <c r="I135" s="27"/>
      <c r="J135" s="27"/>
      <c r="K135" s="27"/>
      <c r="L135" s="58">
        <f>L71</f>
        <v>108654</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19434</v>
      </c>
      <c r="I140" s="27"/>
      <c r="J140" s="58">
        <v>566</v>
      </c>
      <c r="K140" s="27"/>
      <c r="L140" s="58">
        <f>J140+H140</f>
        <v>20000</v>
      </c>
      <c r="M140" s="27"/>
      <c r="N140" s="124"/>
    </row>
    <row r="141" spans="1:14" ht="15.75">
      <c r="A141" s="26"/>
      <c r="B141" s="27" t="s">
        <v>99</v>
      </c>
      <c r="C141" s="27"/>
      <c r="D141" s="27"/>
      <c r="E141" s="27"/>
      <c r="F141" s="27"/>
      <c r="G141" s="27"/>
      <c r="H141" s="58">
        <v>0</v>
      </c>
      <c r="I141" s="27"/>
      <c r="J141" s="58">
        <v>0</v>
      </c>
      <c r="K141" s="27"/>
      <c r="L141" s="58">
        <f>J141+H141</f>
        <v>0</v>
      </c>
      <c r="M141" s="27"/>
      <c r="N141" s="124"/>
    </row>
    <row r="142" spans="1:14" ht="15.75">
      <c r="A142" s="26"/>
      <c r="B142" s="27" t="s">
        <v>100</v>
      </c>
      <c r="C142" s="27"/>
      <c r="D142" s="27"/>
      <c r="E142" s="27"/>
      <c r="F142" s="27"/>
      <c r="G142" s="27"/>
      <c r="H142" s="58">
        <f>H140+H141</f>
        <v>19434</v>
      </c>
      <c r="I142" s="27"/>
      <c r="J142" s="58">
        <f>J141+J140</f>
        <v>566</v>
      </c>
      <c r="K142" s="27"/>
      <c r="L142" s="58">
        <f>J142+H142</f>
        <v>20000</v>
      </c>
      <c r="M142" s="27"/>
      <c r="N142" s="124"/>
    </row>
    <row r="143" spans="1:14" ht="15.75">
      <c r="A143" s="26"/>
      <c r="B143" s="27" t="s">
        <v>101</v>
      </c>
      <c r="C143" s="27"/>
      <c r="D143" s="27"/>
      <c r="E143" s="27"/>
      <c r="F143" s="27"/>
      <c r="G143" s="27"/>
      <c r="H143" s="58">
        <f>H139-H142-J142</f>
        <v>0</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1.6038277511961723</v>
      </c>
      <c r="M147" s="27" t="s">
        <v>189</v>
      </c>
      <c r="N147" s="124"/>
    </row>
    <row r="148" spans="1:14" ht="15.75">
      <c r="A148" s="26"/>
      <c r="B148" s="27" t="s">
        <v>104</v>
      </c>
      <c r="C148" s="27"/>
      <c r="D148" s="27"/>
      <c r="E148" s="27"/>
      <c r="F148" s="27"/>
      <c r="G148" s="27"/>
      <c r="H148" s="27"/>
      <c r="I148" s="27"/>
      <c r="J148" s="27"/>
      <c r="K148" s="27"/>
      <c r="L148" s="66">
        <v>1.4</v>
      </c>
      <c r="M148" s="27" t="s">
        <v>189</v>
      </c>
      <c r="N148" s="124"/>
    </row>
    <row r="149" spans="1:14" ht="15.75">
      <c r="A149" s="26"/>
      <c r="B149" s="27" t="s">
        <v>105</v>
      </c>
      <c r="C149" s="27"/>
      <c r="D149" s="27"/>
      <c r="E149" s="27"/>
      <c r="F149" s="27"/>
      <c r="G149" s="27"/>
      <c r="H149" s="27"/>
      <c r="I149" s="27"/>
      <c r="J149" s="27"/>
      <c r="K149" s="27"/>
      <c r="L149" s="66">
        <f>(L80+SUM(L82:L86))/-L87</f>
        <v>2.8044444444444445</v>
      </c>
      <c r="M149" s="27" t="s">
        <v>189</v>
      </c>
      <c r="N149" s="124"/>
    </row>
    <row r="150" spans="1:14" ht="15.75">
      <c r="A150" s="26"/>
      <c r="B150" s="27" t="s">
        <v>106</v>
      </c>
      <c r="C150" s="27"/>
      <c r="D150" s="27"/>
      <c r="E150" s="27"/>
      <c r="F150" s="27"/>
      <c r="G150" s="27"/>
      <c r="H150" s="27"/>
      <c r="I150" s="27"/>
      <c r="J150" s="27"/>
      <c r="K150" s="27"/>
      <c r="L150" s="75">
        <v>2.76</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6.5" thickBot="1">
      <c r="A153" s="129"/>
      <c r="B153" s="136" t="str">
        <f>B104</f>
        <v>PM2 INVESTOR REPORT QUARTER ENDING FEBRUARY 2004</v>
      </c>
      <c r="C153" s="131"/>
      <c r="D153" s="131"/>
      <c r="E153" s="131"/>
      <c r="F153" s="131"/>
      <c r="G153" s="131"/>
      <c r="H153" s="131"/>
      <c r="I153" s="131"/>
      <c r="J153" s="131"/>
      <c r="K153" s="131"/>
      <c r="L153" s="131"/>
      <c r="M153" s="134"/>
      <c r="N153" s="124"/>
    </row>
    <row r="154" spans="1:14" ht="15.75">
      <c r="A154" s="2"/>
      <c r="B154" s="140"/>
      <c r="C154" s="140"/>
      <c r="D154" s="140"/>
      <c r="E154" s="140"/>
      <c r="F154" s="140"/>
      <c r="G154" s="140"/>
      <c r="H154" s="140"/>
      <c r="I154" s="140"/>
      <c r="J154" s="140"/>
      <c r="K154" s="140"/>
      <c r="L154" s="140"/>
      <c r="M154" s="140"/>
      <c r="N154" s="124"/>
    </row>
    <row r="155" spans="1:14" ht="15.75">
      <c r="A155" s="77"/>
      <c r="B155" s="56" t="s">
        <v>107</v>
      </c>
      <c r="C155" s="78"/>
      <c r="D155" s="78"/>
      <c r="E155" s="78"/>
      <c r="F155" s="78"/>
      <c r="G155" s="20"/>
      <c r="H155" s="20"/>
      <c r="I155" s="20"/>
      <c r="J155" s="20">
        <v>38044</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0.06112</v>
      </c>
      <c r="K160" s="27"/>
      <c r="L160" s="27"/>
      <c r="M160" s="27"/>
      <c r="N160" s="124"/>
    </row>
    <row r="161" spans="1:14" ht="15.75">
      <c r="A161" s="84"/>
      <c r="B161" s="85" t="s">
        <v>112</v>
      </c>
      <c r="C161" s="86"/>
      <c r="D161" s="86"/>
      <c r="E161" s="86"/>
      <c r="F161" s="86"/>
      <c r="G161" s="72"/>
      <c r="H161" s="72"/>
      <c r="I161" s="72"/>
      <c r="J161" s="87">
        <f>L33</f>
        <v>0.04413143388965857</v>
      </c>
      <c r="K161" s="27"/>
      <c r="L161" s="27"/>
      <c r="M161" s="27"/>
      <c r="N161" s="124"/>
    </row>
    <row r="162" spans="1:14" ht="15.75">
      <c r="A162" s="84"/>
      <c r="B162" s="85" t="s">
        <v>113</v>
      </c>
      <c r="C162" s="86"/>
      <c r="D162" s="86"/>
      <c r="E162" s="86"/>
      <c r="F162" s="86"/>
      <c r="G162" s="72"/>
      <c r="H162" s="72"/>
      <c r="I162" s="72"/>
      <c r="J162" s="87">
        <f>J160-J161</f>
        <v>0.016988566110341434</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16.07</v>
      </c>
      <c r="K166" s="27" t="s">
        <v>182</v>
      </c>
      <c r="L166" s="27"/>
      <c r="M166" s="27"/>
      <c r="N166" s="124"/>
    </row>
    <row r="167" spans="1:14" ht="15.75">
      <c r="A167" s="84"/>
      <c r="B167" s="85" t="s">
        <v>118</v>
      </c>
      <c r="C167" s="86"/>
      <c r="D167" s="86"/>
      <c r="E167" s="86"/>
      <c r="F167" s="86"/>
      <c r="G167" s="72"/>
      <c r="H167" s="72"/>
      <c r="I167" s="72"/>
      <c r="J167" s="87">
        <f>F56/'Nov 2003'!L56</f>
        <v>0.061345082285862385</v>
      </c>
      <c r="K167" s="27"/>
      <c r="L167" s="27"/>
      <c r="M167" s="27"/>
      <c r="N167" s="124"/>
    </row>
    <row r="168" spans="1:14" ht="15.75">
      <c r="A168" s="84"/>
      <c r="B168" s="85" t="s">
        <v>119</v>
      </c>
      <c r="C168" s="86"/>
      <c r="D168" s="86"/>
      <c r="E168" s="86"/>
      <c r="F168" s="86"/>
      <c r="G168" s="72"/>
      <c r="H168" s="72"/>
      <c r="I168" s="72"/>
      <c r="J168" s="87">
        <v>0.1518</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v>12</v>
      </c>
      <c r="J171" s="96">
        <v>493</v>
      </c>
      <c r="K171" s="27"/>
      <c r="L171" s="90"/>
      <c r="M171" s="97"/>
      <c r="N171" s="124"/>
    </row>
    <row r="172" spans="1:14" ht="15.75">
      <c r="A172" s="95"/>
      <c r="B172" s="85" t="s">
        <v>214</v>
      </c>
      <c r="C172" s="59"/>
      <c r="D172" s="59"/>
      <c r="E172" s="59"/>
      <c r="F172" s="27"/>
      <c r="G172" s="27"/>
      <c r="H172" s="27"/>
      <c r="I172" s="28">
        <v>2</v>
      </c>
      <c r="J172" s="96">
        <v>81</v>
      </c>
      <c r="K172" s="27"/>
      <c r="L172" s="90"/>
      <c r="M172" s="97"/>
      <c r="N172" s="124"/>
    </row>
    <row r="173" spans="1:14" ht="15.75">
      <c r="A173" s="95"/>
      <c r="B173" s="85" t="s">
        <v>122</v>
      </c>
      <c r="C173" s="59"/>
      <c r="D173" s="59"/>
      <c r="E173" s="59"/>
      <c r="F173" s="27"/>
      <c r="G173" s="27"/>
      <c r="H173" s="27"/>
      <c r="I173" s="28">
        <v>2</v>
      </c>
      <c r="J173" s="96">
        <v>196</v>
      </c>
      <c r="K173" s="27"/>
      <c r="L173" s="90"/>
      <c r="M173" s="97"/>
      <c r="N173" s="124"/>
    </row>
    <row r="174" spans="1:14" ht="15.75">
      <c r="A174" s="95"/>
      <c r="B174" s="157" t="s">
        <v>123</v>
      </c>
      <c r="C174" s="59"/>
      <c r="D174" s="59"/>
      <c r="E174" s="59"/>
      <c r="F174" s="27"/>
      <c r="G174" s="27"/>
      <c r="H174" s="27"/>
      <c r="I174" s="27"/>
      <c r="J174" s="96">
        <v>0</v>
      </c>
      <c r="K174" s="27"/>
      <c r="L174" s="90"/>
      <c r="M174" s="97"/>
      <c r="N174" s="124"/>
    </row>
    <row r="175" spans="1:14" ht="15.75">
      <c r="A175" s="95"/>
      <c r="B175" s="157" t="s">
        <v>124</v>
      </c>
      <c r="C175" s="59"/>
      <c r="D175" s="59"/>
      <c r="E175" s="59"/>
      <c r="F175" s="27"/>
      <c r="G175" s="27"/>
      <c r="H175" s="27"/>
      <c r="I175" s="27"/>
      <c r="J175" s="96">
        <v>25878</v>
      </c>
      <c r="K175" s="27"/>
      <c r="L175" s="90"/>
      <c r="M175" s="97"/>
      <c r="N175" s="124"/>
    </row>
    <row r="176" spans="1:14" ht="15.75">
      <c r="A176" s="98"/>
      <c r="B176" s="157" t="s">
        <v>125</v>
      </c>
      <c r="C176" s="59"/>
      <c r="D176" s="85"/>
      <c r="E176" s="85"/>
      <c r="F176" s="85"/>
      <c r="G176" s="27"/>
      <c r="H176" s="27"/>
      <c r="I176" s="27"/>
      <c r="J176" s="96">
        <v>0</v>
      </c>
      <c r="K176" s="27"/>
      <c r="L176" s="90"/>
      <c r="M176" s="99"/>
      <c r="N176" s="124"/>
    </row>
    <row r="177" spans="1:14" ht="15.75">
      <c r="A177" s="95"/>
      <c r="B177" s="85" t="s">
        <v>126</v>
      </c>
      <c r="C177" s="59"/>
      <c r="D177" s="59"/>
      <c r="E177" s="59"/>
      <c r="F177" s="59"/>
      <c r="G177" s="27"/>
      <c r="H177" s="27"/>
      <c r="I177" s="27">
        <v>0</v>
      </c>
      <c r="J177" s="96">
        <f>+L126</f>
        <v>0</v>
      </c>
      <c r="K177" s="27"/>
      <c r="L177" s="90"/>
      <c r="M177" s="99"/>
      <c r="N177" s="124"/>
    </row>
    <row r="178" spans="1:14" ht="15.75">
      <c r="A178" s="95"/>
      <c r="B178" s="85" t="s">
        <v>127</v>
      </c>
      <c r="C178" s="59"/>
      <c r="D178" s="59"/>
      <c r="E178" s="59"/>
      <c r="F178" s="59"/>
      <c r="G178" s="27"/>
      <c r="H178" s="27"/>
      <c r="I178" s="27">
        <f>'Nov 2003'!I177+I177</f>
        <v>3</v>
      </c>
      <c r="J178" s="96">
        <f>'Nov 2003'!J177+J177</f>
        <v>7</v>
      </c>
      <c r="K178" s="27"/>
      <c r="L178" s="90"/>
      <c r="M178" s="99"/>
      <c r="N178" s="124"/>
    </row>
    <row r="179" spans="1:14" ht="15.75">
      <c r="A179" s="95"/>
      <c r="B179" s="85" t="s">
        <v>196</v>
      </c>
      <c r="C179" s="59"/>
      <c r="D179" s="59"/>
      <c r="E179" s="59"/>
      <c r="F179" s="59"/>
      <c r="G179" s="27"/>
      <c r="H179" s="27"/>
      <c r="I179" s="27"/>
      <c r="J179" s="96"/>
      <c r="K179" s="27"/>
      <c r="L179" s="90"/>
      <c r="M179" s="99"/>
      <c r="N179" s="124"/>
    </row>
    <row r="180" spans="1:14" ht="15.75">
      <c r="A180" s="98"/>
      <c r="B180" s="157" t="s">
        <v>128</v>
      </c>
      <c r="C180" s="59"/>
      <c r="D180" s="85"/>
      <c r="E180" s="85"/>
      <c r="F180" s="85"/>
      <c r="G180" s="27"/>
      <c r="H180" s="27"/>
      <c r="I180" s="27"/>
      <c r="J180" s="96"/>
      <c r="K180" s="27"/>
      <c r="L180" s="90"/>
      <c r="M180" s="99"/>
      <c r="N180" s="124"/>
    </row>
    <row r="181" spans="1:14" ht="15.75">
      <c r="A181" s="98"/>
      <c r="B181" s="85" t="s">
        <v>129</v>
      </c>
      <c r="C181" s="59"/>
      <c r="D181" s="85"/>
      <c r="E181" s="85"/>
      <c r="F181" s="85"/>
      <c r="G181" s="27"/>
      <c r="H181" s="27"/>
      <c r="I181" s="27">
        <v>0</v>
      </c>
      <c r="J181" s="96">
        <v>0</v>
      </c>
      <c r="K181" s="27"/>
      <c r="L181" s="90"/>
      <c r="M181" s="99"/>
      <c r="N181" s="124"/>
    </row>
    <row r="182" spans="1:14" ht="15.75">
      <c r="A182" s="95"/>
      <c r="B182" s="85" t="s">
        <v>130</v>
      </c>
      <c r="C182" s="59"/>
      <c r="D182" s="100"/>
      <c r="E182" s="100"/>
      <c r="F182" s="101"/>
      <c r="G182" s="27"/>
      <c r="H182" s="27"/>
      <c r="I182" s="27"/>
      <c r="J182" s="96">
        <v>0</v>
      </c>
      <c r="K182" s="27"/>
      <c r="L182" s="90"/>
      <c r="M182" s="99"/>
      <c r="N182" s="124"/>
    </row>
    <row r="183" spans="1:14" ht="15.75">
      <c r="A183" s="95"/>
      <c r="B183" s="85" t="s">
        <v>131</v>
      </c>
      <c r="C183" s="59"/>
      <c r="D183" s="100"/>
      <c r="E183" s="100"/>
      <c r="F183" s="101"/>
      <c r="G183" s="27"/>
      <c r="H183" s="27"/>
      <c r="I183" s="27"/>
      <c r="J183" s="96">
        <v>0</v>
      </c>
      <c r="K183" s="27"/>
      <c r="L183" s="90"/>
      <c r="M183" s="99"/>
      <c r="N183" s="124"/>
    </row>
    <row r="184" spans="1:14" ht="15.75">
      <c r="A184" s="95"/>
      <c r="B184" s="85" t="s">
        <v>132</v>
      </c>
      <c r="C184" s="59"/>
      <c r="D184" s="102"/>
      <c r="E184" s="100"/>
      <c r="F184" s="101"/>
      <c r="G184" s="27"/>
      <c r="H184" s="27"/>
      <c r="I184" s="27"/>
      <c r="J184" s="103">
        <v>0</v>
      </c>
      <c r="K184" s="27"/>
      <c r="L184" s="90"/>
      <c r="M184" s="99"/>
      <c r="N184" s="124"/>
    </row>
    <row r="185" spans="1:14" ht="15.75">
      <c r="A185" s="95"/>
      <c r="B185" s="85"/>
      <c r="C185" s="59"/>
      <c r="D185" s="102"/>
      <c r="E185" s="100"/>
      <c r="F185" s="101"/>
      <c r="G185" s="27"/>
      <c r="H185" s="27"/>
      <c r="I185" s="27"/>
      <c r="J185" s="103"/>
      <c r="K185" s="27"/>
      <c r="L185" s="90"/>
      <c r="M185" s="99"/>
      <c r="N185" s="124"/>
    </row>
    <row r="186" spans="1:14" ht="15.75">
      <c r="A186" s="8"/>
      <c r="B186" s="17" t="s">
        <v>133</v>
      </c>
      <c r="C186" s="63"/>
      <c r="D186" s="94"/>
      <c r="E186" s="63"/>
      <c r="F186" s="94"/>
      <c r="G186" s="63"/>
      <c r="H186" s="94" t="s">
        <v>170</v>
      </c>
      <c r="I186" s="63" t="s">
        <v>171</v>
      </c>
      <c r="J186" s="94" t="s">
        <v>180</v>
      </c>
      <c r="K186" s="63" t="s">
        <v>171</v>
      </c>
      <c r="L186" s="18"/>
      <c r="M186" s="104"/>
      <c r="N186" s="124"/>
    </row>
    <row r="187" spans="1:14" ht="15.75">
      <c r="A187" s="26"/>
      <c r="B187" s="59" t="s">
        <v>134</v>
      </c>
      <c r="C187" s="105"/>
      <c r="D187" s="59"/>
      <c r="E187" s="105"/>
      <c r="F187" s="27"/>
      <c r="G187" s="105"/>
      <c r="H187" s="59">
        <v>1866</v>
      </c>
      <c r="I187" s="105">
        <f>H187/H192</f>
        <v>0.9862579281183932</v>
      </c>
      <c r="J187" s="58">
        <v>107267</v>
      </c>
      <c r="K187" s="106">
        <f>J187/J192</f>
        <v>0.987234708340236</v>
      </c>
      <c r="L187" s="90"/>
      <c r="M187" s="99"/>
      <c r="N187" s="124"/>
    </row>
    <row r="188" spans="1:14" ht="15.75">
      <c r="A188" s="26"/>
      <c r="B188" s="59" t="s">
        <v>135</v>
      </c>
      <c r="C188" s="105"/>
      <c r="D188" s="59"/>
      <c r="E188" s="105"/>
      <c r="F188" s="27"/>
      <c r="G188" s="107"/>
      <c r="H188" s="59">
        <v>8</v>
      </c>
      <c r="I188" s="105">
        <f>H188/H192</f>
        <v>0.004228329809725159</v>
      </c>
      <c r="J188" s="58">
        <v>349</v>
      </c>
      <c r="K188" s="106">
        <f>J188/J192</f>
        <v>0.003212030850221805</v>
      </c>
      <c r="L188" s="90"/>
      <c r="M188" s="99"/>
      <c r="N188" s="124"/>
    </row>
    <row r="189" spans="1:14" ht="15.75">
      <c r="A189" s="26"/>
      <c r="B189" s="59" t="s">
        <v>136</v>
      </c>
      <c r="C189" s="105"/>
      <c r="D189" s="59"/>
      <c r="E189" s="105"/>
      <c r="F189" s="27"/>
      <c r="G189" s="107"/>
      <c r="H189" s="59">
        <v>1</v>
      </c>
      <c r="I189" s="105">
        <f>H189/H192</f>
        <v>0.0005285412262156448</v>
      </c>
      <c r="J189" s="58">
        <v>17</v>
      </c>
      <c r="K189" s="106">
        <f>J189/J192</f>
        <v>0.00015645995545493033</v>
      </c>
      <c r="L189" s="90"/>
      <c r="M189" s="99"/>
      <c r="N189" s="124"/>
    </row>
    <row r="190" spans="1:14" ht="15.75">
      <c r="A190" s="26"/>
      <c r="B190" s="59" t="s">
        <v>137</v>
      </c>
      <c r="C190" s="105"/>
      <c r="D190" s="59"/>
      <c r="E190" s="105"/>
      <c r="F190" s="27"/>
      <c r="G190" s="107"/>
      <c r="H190" s="59">
        <v>17</v>
      </c>
      <c r="I190" s="105">
        <f>H190/H192</f>
        <v>0.008985200845665961</v>
      </c>
      <c r="J190" s="58">
        <v>1021</v>
      </c>
      <c r="K190" s="106">
        <f>J190/J192</f>
        <v>0.009396800854087286</v>
      </c>
      <c r="L190" s="90"/>
      <c r="M190" s="99"/>
      <c r="N190" s="124"/>
    </row>
    <row r="191" spans="1:14" ht="15.75">
      <c r="A191" s="26"/>
      <c r="B191" s="138"/>
      <c r="C191" s="105"/>
      <c r="D191" s="59"/>
      <c r="E191" s="105"/>
      <c r="F191" s="27"/>
      <c r="G191" s="107"/>
      <c r="H191" s="59"/>
      <c r="I191" s="105"/>
      <c r="J191" s="58"/>
      <c r="K191" s="106"/>
      <c r="L191" s="90"/>
      <c r="M191" s="99"/>
      <c r="N191" s="124"/>
    </row>
    <row r="192" spans="1:14" ht="15.75">
      <c r="A192" s="26"/>
      <c r="B192" s="27" t="s">
        <v>188</v>
      </c>
      <c r="C192" s="27"/>
      <c r="D192" s="27"/>
      <c r="E192" s="27"/>
      <c r="F192" s="27"/>
      <c r="G192" s="27"/>
      <c r="H192" s="37">
        <f>SUM(H187:H191)</f>
        <v>1892</v>
      </c>
      <c r="I192" s="109">
        <f>SUM(I187:I191)</f>
        <v>1</v>
      </c>
      <c r="J192" s="58">
        <f>SUM(J187:J191)</f>
        <v>108654</v>
      </c>
      <c r="K192" s="109">
        <f>SUM(K187:K191)</f>
        <v>1</v>
      </c>
      <c r="L192" s="27"/>
      <c r="M192" s="27"/>
      <c r="N192" s="124"/>
    </row>
    <row r="193" spans="1:14" ht="15.75">
      <c r="A193" s="26"/>
      <c r="B193" s="27"/>
      <c r="C193" s="27"/>
      <c r="D193" s="27"/>
      <c r="E193" s="27"/>
      <c r="F193" s="27"/>
      <c r="G193" s="27"/>
      <c r="H193" s="37"/>
      <c r="I193" s="109"/>
      <c r="J193" s="58"/>
      <c r="K193" s="109"/>
      <c r="L193" s="27"/>
      <c r="M193" s="27"/>
      <c r="N193" s="124"/>
    </row>
    <row r="194" spans="1:14" ht="15.75">
      <c r="A194" s="8"/>
      <c r="B194" s="10"/>
      <c r="C194" s="10"/>
      <c r="D194" s="10"/>
      <c r="E194" s="10"/>
      <c r="F194" s="10"/>
      <c r="G194" s="10"/>
      <c r="H194" s="60"/>
      <c r="I194" s="112"/>
      <c r="J194" s="113"/>
      <c r="K194" s="112"/>
      <c r="L194" s="10"/>
      <c r="M194" s="10"/>
      <c r="N194" s="124"/>
    </row>
    <row r="195" spans="1:14" ht="15.75">
      <c r="A195" s="114"/>
      <c r="B195" s="17" t="s">
        <v>138</v>
      </c>
      <c r="C195" s="115"/>
      <c r="D195" s="63" t="s">
        <v>146</v>
      </c>
      <c r="E195" s="18"/>
      <c r="F195" s="17" t="s">
        <v>159</v>
      </c>
      <c r="G195" s="116"/>
      <c r="H195" s="116"/>
      <c r="I195" s="116"/>
      <c r="J195" s="137"/>
      <c r="K195" s="137"/>
      <c r="L195" s="137"/>
      <c r="M195" s="137"/>
      <c r="N195" s="124"/>
    </row>
    <row r="196" spans="1:14" ht="15.75">
      <c r="A196" s="141"/>
      <c r="B196" s="137"/>
      <c r="C196" s="137"/>
      <c r="D196" s="10"/>
      <c r="E196" s="10"/>
      <c r="F196" s="10"/>
      <c r="G196" s="137"/>
      <c r="H196" s="137"/>
      <c r="I196" s="137"/>
      <c r="J196" s="137"/>
      <c r="K196" s="137"/>
      <c r="L196" s="137"/>
      <c r="M196" s="137"/>
      <c r="N196" s="124"/>
    </row>
    <row r="197" spans="1:14" ht="15.75">
      <c r="A197" s="141"/>
      <c r="B197" s="16" t="s">
        <v>139</v>
      </c>
      <c r="C197" s="118"/>
      <c r="D197" s="119" t="s">
        <v>147</v>
      </c>
      <c r="E197" s="16"/>
      <c r="F197" s="16" t="s">
        <v>160</v>
      </c>
      <c r="G197" s="118"/>
      <c r="H197" s="118"/>
      <c r="I197" s="137"/>
      <c r="J197" s="137"/>
      <c r="K197" s="137"/>
      <c r="L197" s="137"/>
      <c r="M197" s="137"/>
      <c r="N197" s="124"/>
    </row>
    <row r="198" spans="1:14" ht="15.75">
      <c r="A198" s="141"/>
      <c r="B198" s="16" t="s">
        <v>140</v>
      </c>
      <c r="C198" s="118"/>
      <c r="D198" s="119" t="s">
        <v>148</v>
      </c>
      <c r="E198" s="16"/>
      <c r="F198" s="16" t="s">
        <v>161</v>
      </c>
      <c r="G198" s="118"/>
      <c r="H198" s="118"/>
      <c r="I198" s="137"/>
      <c r="J198" s="137"/>
      <c r="K198" s="137"/>
      <c r="L198" s="137"/>
      <c r="M198" s="137"/>
      <c r="N198" s="124"/>
    </row>
    <row r="199" spans="1:14" ht="15.75">
      <c r="A199" s="141"/>
      <c r="B199" s="16"/>
      <c r="C199" s="118"/>
      <c r="D199" s="119"/>
      <c r="E199" s="16"/>
      <c r="F199" s="16"/>
      <c r="G199" s="118"/>
      <c r="H199" s="118"/>
      <c r="I199" s="137"/>
      <c r="J199" s="137"/>
      <c r="K199" s="137"/>
      <c r="L199" s="137"/>
      <c r="M199" s="137"/>
      <c r="N199" s="124"/>
    </row>
    <row r="200" spans="1:14" ht="15.75">
      <c r="A200" s="141"/>
      <c r="B200" s="16"/>
      <c r="C200" s="118"/>
      <c r="D200" s="119"/>
      <c r="E200" s="16"/>
      <c r="F200" s="16"/>
      <c r="G200" s="118"/>
      <c r="H200" s="118"/>
      <c r="I200" s="137"/>
      <c r="J200" s="137"/>
      <c r="K200" s="137"/>
      <c r="L200" s="137"/>
      <c r="M200" s="137"/>
      <c r="N200" s="124"/>
    </row>
    <row r="201" spans="1:14" ht="15.75">
      <c r="A201" s="141"/>
      <c r="B201" s="16" t="str">
        <f>B153</f>
        <v>PM2 INVESTOR REPORT QUARTER ENDING FEBRUARY 2004</v>
      </c>
      <c r="C201" s="118"/>
      <c r="D201" s="119"/>
      <c r="E201" s="16"/>
      <c r="F201" s="16"/>
      <c r="G201" s="118"/>
      <c r="H201" s="118"/>
      <c r="I201" s="137"/>
      <c r="J201" s="137"/>
      <c r="K201" s="137"/>
      <c r="L201" s="137"/>
      <c r="M201" s="137"/>
      <c r="N201" s="124"/>
    </row>
    <row r="202" spans="1:13" ht="15">
      <c r="A202" s="125"/>
      <c r="B202" s="125"/>
      <c r="C202" s="125"/>
      <c r="D202" s="125"/>
      <c r="E202" s="125"/>
      <c r="F202" s="125"/>
      <c r="G202" s="125"/>
      <c r="H202" s="125"/>
      <c r="I202" s="125"/>
      <c r="J202" s="125"/>
      <c r="K202" s="125"/>
      <c r="L202" s="125"/>
      <c r="M202" s="125"/>
    </row>
    <row r="204" spans="8:10" ht="15">
      <c r="H204" s="142"/>
      <c r="J204" s="142"/>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7.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6.105468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37"/>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38159</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37"/>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145"/>
      <c r="J22" s="24"/>
      <c r="K22" s="137"/>
      <c r="L22" s="137"/>
      <c r="M22" s="10"/>
      <c r="N22" s="124"/>
    </row>
    <row r="23" spans="1:14" ht="15.75">
      <c r="A23" s="8"/>
      <c r="B23" s="10" t="s">
        <v>11</v>
      </c>
      <c r="C23" s="144" t="s">
        <v>142</v>
      </c>
      <c r="D23" s="24"/>
      <c r="E23" s="24"/>
      <c r="F23" s="24" t="s">
        <v>150</v>
      </c>
      <c r="G23" s="24"/>
      <c r="H23" s="24" t="s">
        <v>163</v>
      </c>
      <c r="I23" s="24"/>
      <c r="J23" s="24"/>
      <c r="K23" s="137"/>
      <c r="L23" s="137"/>
      <c r="M23" s="10"/>
      <c r="N23" s="124"/>
    </row>
    <row r="24" spans="1:14" ht="15.75">
      <c r="A24" s="26"/>
      <c r="B24" s="27" t="s">
        <v>12</v>
      </c>
      <c r="C24" s="28"/>
      <c r="D24" s="29"/>
      <c r="E24" s="29"/>
      <c r="F24" s="29" t="s">
        <v>151</v>
      </c>
      <c r="G24" s="29"/>
      <c r="H24" s="29" t="s">
        <v>164</v>
      </c>
      <c r="I24" s="29"/>
      <c r="J24" s="29"/>
      <c r="K24" s="138"/>
      <c r="L24" s="138"/>
      <c r="M24" s="27"/>
      <c r="N24" s="124"/>
    </row>
    <row r="25" spans="1:14" ht="15.75">
      <c r="A25" s="31"/>
      <c r="B25" s="32" t="s">
        <v>13</v>
      </c>
      <c r="C25" s="32"/>
      <c r="D25" s="33"/>
      <c r="E25" s="33"/>
      <c r="F25" s="33" t="s">
        <v>150</v>
      </c>
      <c r="G25" s="33"/>
      <c r="H25" s="33" t="s">
        <v>206</v>
      </c>
      <c r="I25" s="33"/>
      <c r="J25" s="29"/>
      <c r="K25" s="138"/>
      <c r="L25" s="138"/>
      <c r="M25" s="27"/>
      <c r="N25" s="124"/>
    </row>
    <row r="26" spans="1:14" ht="15.75">
      <c r="A26" s="31"/>
      <c r="B26" s="32" t="s">
        <v>14</v>
      </c>
      <c r="C26" s="32"/>
      <c r="D26" s="33"/>
      <c r="E26" s="33"/>
      <c r="F26" s="33" t="s">
        <v>151</v>
      </c>
      <c r="G26" s="33"/>
      <c r="H26" s="33" t="s">
        <v>207</v>
      </c>
      <c r="I26" s="33"/>
      <c r="J26" s="29"/>
      <c r="K26" s="138"/>
      <c r="L26" s="138"/>
      <c r="M26" s="27"/>
      <c r="N26" s="124"/>
    </row>
    <row r="27" spans="1:14" ht="15.75">
      <c r="A27" s="26"/>
      <c r="B27" s="27" t="s">
        <v>15</v>
      </c>
      <c r="C27" s="27"/>
      <c r="D27" s="28"/>
      <c r="E27" s="29"/>
      <c r="F27" s="28" t="s">
        <v>152</v>
      </c>
      <c r="G27" s="29"/>
      <c r="H27" s="28" t="s">
        <v>165</v>
      </c>
      <c r="I27" s="29"/>
      <c r="J27" s="28"/>
      <c r="K27" s="138"/>
      <c r="L27" s="138"/>
      <c r="M27" s="27"/>
      <c r="N27" s="124"/>
    </row>
    <row r="28" spans="1:14" ht="15.75">
      <c r="A28" s="26"/>
      <c r="B28" s="27"/>
      <c r="C28" s="27"/>
      <c r="D28" s="27"/>
      <c r="E28" s="29"/>
      <c r="F28" s="29"/>
      <c r="G28" s="29"/>
      <c r="H28" s="29"/>
      <c r="I28" s="29"/>
      <c r="J28" s="29"/>
      <c r="K28" s="138"/>
      <c r="L28" s="138"/>
      <c r="M28" s="27"/>
      <c r="N28" s="124"/>
    </row>
    <row r="29" spans="1:14" ht="15.75">
      <c r="A29" s="26"/>
      <c r="B29" s="27" t="s">
        <v>16</v>
      </c>
      <c r="C29" s="27"/>
      <c r="D29" s="34"/>
      <c r="E29" s="35"/>
      <c r="F29" s="34">
        <v>166500</v>
      </c>
      <c r="G29" s="34"/>
      <c r="H29" s="34">
        <v>18500</v>
      </c>
      <c r="I29" s="34"/>
      <c r="J29" s="34"/>
      <c r="K29" s="139"/>
      <c r="L29" s="34">
        <f>H29+F29</f>
        <v>185000</v>
      </c>
      <c r="M29" s="37"/>
      <c r="N29" s="124"/>
    </row>
    <row r="30" spans="1:14" ht="15.75">
      <c r="A30" s="26"/>
      <c r="B30" s="27" t="s">
        <v>17</v>
      </c>
      <c r="C30" s="38">
        <v>0.541463</v>
      </c>
      <c r="D30" s="34"/>
      <c r="E30" s="35"/>
      <c r="F30" s="34">
        <f>166500*C30</f>
        <v>90153.5895</v>
      </c>
      <c r="G30" s="34"/>
      <c r="H30" s="34">
        <v>18500</v>
      </c>
      <c r="I30" s="34"/>
      <c r="J30" s="34"/>
      <c r="K30" s="139"/>
      <c r="L30" s="34">
        <f>H30+F30</f>
        <v>108653.5895</v>
      </c>
      <c r="M30" s="37"/>
      <c r="N30" s="124"/>
    </row>
    <row r="31" spans="1:14" ht="12.75" customHeight="1">
      <c r="A31" s="31"/>
      <c r="B31" s="32" t="s">
        <v>18</v>
      </c>
      <c r="C31" s="39">
        <v>0.505112</v>
      </c>
      <c r="D31" s="40"/>
      <c r="E31" s="41"/>
      <c r="F31" s="40">
        <f>166500*C31*1</f>
        <v>84101.148</v>
      </c>
      <c r="G31" s="40"/>
      <c r="H31" s="40">
        <v>18500</v>
      </c>
      <c r="I31" s="40"/>
      <c r="J31" s="40"/>
      <c r="K31" s="42"/>
      <c r="L31" s="40">
        <f>H31+F31+D31</f>
        <v>102601.148</v>
      </c>
      <c r="M31" s="37"/>
      <c r="N31" s="124"/>
    </row>
    <row r="32" spans="1:14" ht="15.75">
      <c r="A32" s="26"/>
      <c r="B32" s="27" t="s">
        <v>19</v>
      </c>
      <c r="C32" s="43"/>
      <c r="D32" s="28"/>
      <c r="E32" s="27"/>
      <c r="F32" s="28" t="s">
        <v>153</v>
      </c>
      <c r="G32" s="28"/>
      <c r="H32" s="28" t="s">
        <v>166</v>
      </c>
      <c r="I32" s="28"/>
      <c r="J32" s="28"/>
      <c r="K32" s="138"/>
      <c r="L32" s="138"/>
      <c r="M32" s="27"/>
      <c r="N32" s="124"/>
    </row>
    <row r="33" spans="1:14" ht="15.75">
      <c r="A33" s="26"/>
      <c r="B33" s="27" t="s">
        <v>20</v>
      </c>
      <c r="C33" s="27"/>
      <c r="D33" s="44"/>
      <c r="E33" s="27"/>
      <c r="F33" s="44">
        <v>0.0457125</v>
      </c>
      <c r="G33" s="45"/>
      <c r="H33" s="44">
        <v>0.0514625</v>
      </c>
      <c r="I33" s="45"/>
      <c r="J33" s="44"/>
      <c r="K33" s="138"/>
      <c r="L33" s="45">
        <f>SUMPRODUCT(F33:H33,F30:H30)/L30</f>
        <v>0.046691528861260025</v>
      </c>
      <c r="M33" s="27"/>
      <c r="N33" s="124"/>
    </row>
    <row r="34" spans="1:14" ht="15.75">
      <c r="A34" s="26"/>
      <c r="B34" s="27" t="s">
        <v>21</v>
      </c>
      <c r="C34" s="27"/>
      <c r="D34" s="44"/>
      <c r="E34" s="27"/>
      <c r="F34" s="44">
        <v>0.0432125</v>
      </c>
      <c r="G34" s="45"/>
      <c r="H34" s="44">
        <v>0.0489625</v>
      </c>
      <c r="I34" s="45"/>
      <c r="J34" s="44"/>
      <c r="K34" s="138"/>
      <c r="L34" s="138"/>
      <c r="M34" s="27"/>
      <c r="N34" s="124"/>
    </row>
    <row r="35" spans="1:14" ht="15.75">
      <c r="A35" s="26"/>
      <c r="B35" s="27" t="s">
        <v>22</v>
      </c>
      <c r="C35" s="27"/>
      <c r="D35" s="28"/>
      <c r="E35" s="27"/>
      <c r="F35" s="28" t="s">
        <v>155</v>
      </c>
      <c r="G35" s="28"/>
      <c r="H35" s="28" t="s">
        <v>155</v>
      </c>
      <c r="I35" s="28"/>
      <c r="J35" s="28"/>
      <c r="K35" s="138"/>
      <c r="L35" s="138"/>
      <c r="M35" s="27"/>
      <c r="N35" s="124"/>
    </row>
    <row r="36" spans="1:14" ht="15.75">
      <c r="A36" s="26"/>
      <c r="B36" s="27" t="s">
        <v>23</v>
      </c>
      <c r="C36" s="27"/>
      <c r="D36" s="28"/>
      <c r="E36" s="27"/>
      <c r="F36" s="28" t="s">
        <v>156</v>
      </c>
      <c r="G36" s="28"/>
      <c r="H36" s="28" t="s">
        <v>156</v>
      </c>
      <c r="I36" s="28"/>
      <c r="J36" s="28"/>
      <c r="K36" s="138"/>
      <c r="L36" s="138"/>
      <c r="M36" s="27"/>
      <c r="N36" s="124"/>
    </row>
    <row r="37" spans="1:14" ht="15.75">
      <c r="A37" s="26"/>
      <c r="B37" s="27" t="s">
        <v>24</v>
      </c>
      <c r="C37" s="27"/>
      <c r="D37" s="28"/>
      <c r="E37" s="27"/>
      <c r="F37" s="28" t="s">
        <v>157</v>
      </c>
      <c r="G37" s="28"/>
      <c r="H37" s="28" t="s">
        <v>167</v>
      </c>
      <c r="I37" s="28"/>
      <c r="J37" s="28"/>
      <c r="K37" s="138"/>
      <c r="L37" s="138"/>
      <c r="M37" s="27"/>
      <c r="N37" s="124"/>
    </row>
    <row r="38" spans="1:14" ht="15.75">
      <c r="A38" s="26"/>
      <c r="B38" s="27"/>
      <c r="C38" s="27"/>
      <c r="D38" s="46"/>
      <c r="E38" s="46"/>
      <c r="F38" s="27"/>
      <c r="G38" s="46"/>
      <c r="H38" s="128"/>
      <c r="I38" s="46"/>
      <c r="J38" s="46"/>
      <c r="K38" s="46"/>
      <c r="L38" s="46"/>
      <c r="M38" s="27"/>
      <c r="N38" s="124"/>
    </row>
    <row r="39" spans="1:14" ht="15.75">
      <c r="A39" s="26"/>
      <c r="B39" s="27" t="s">
        <v>25</v>
      </c>
      <c r="C39" s="27"/>
      <c r="D39" s="27"/>
      <c r="E39" s="27"/>
      <c r="F39" s="27"/>
      <c r="G39" s="27"/>
      <c r="H39" s="1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0.2199732160612124</v>
      </c>
      <c r="M40" s="27"/>
      <c r="N40" s="124"/>
    </row>
    <row r="41" spans="1:14" ht="15.75">
      <c r="A41" s="26"/>
      <c r="B41" s="27" t="s">
        <v>27</v>
      </c>
      <c r="C41" s="27"/>
      <c r="D41" s="27"/>
      <c r="E41" s="27"/>
      <c r="F41" s="1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38153</v>
      </c>
      <c r="M44" s="27"/>
      <c r="N44" s="124"/>
    </row>
    <row r="45" spans="1:14" ht="15.75">
      <c r="A45" s="26"/>
      <c r="B45" s="27" t="s">
        <v>30</v>
      </c>
      <c r="C45" s="27"/>
      <c r="D45" s="27"/>
      <c r="E45" s="27"/>
      <c r="F45" s="27"/>
      <c r="G45" s="27"/>
      <c r="H45" s="27"/>
      <c r="I45" s="27">
        <f>L45-J45+1</f>
        <v>91</v>
      </c>
      <c r="J45" s="50">
        <v>37970</v>
      </c>
      <c r="K45" s="51"/>
      <c r="L45" s="50">
        <v>38060</v>
      </c>
      <c r="M45" s="27"/>
      <c r="N45" s="124"/>
    </row>
    <row r="46" spans="1:14" ht="15.75">
      <c r="A46" s="26"/>
      <c r="B46" s="27" t="s">
        <v>31</v>
      </c>
      <c r="C46" s="27"/>
      <c r="D46" s="27"/>
      <c r="E46" s="27"/>
      <c r="F46" s="27"/>
      <c r="G46" s="27"/>
      <c r="H46" s="27"/>
      <c r="I46" s="27">
        <f>L46-J46+1</f>
        <v>92</v>
      </c>
      <c r="J46" s="50">
        <v>38061</v>
      </c>
      <c r="K46" s="51"/>
      <c r="L46" s="50">
        <v>38152</v>
      </c>
      <c r="M46" s="27"/>
      <c r="N46" s="124"/>
    </row>
    <row r="47" spans="1:14" ht="15.75">
      <c r="A47" s="26"/>
      <c r="B47" s="27" t="s">
        <v>32</v>
      </c>
      <c r="C47" s="27"/>
      <c r="D47" s="27"/>
      <c r="E47" s="27"/>
      <c r="F47" s="27"/>
      <c r="G47" s="27"/>
      <c r="H47" s="27"/>
      <c r="I47" s="27"/>
      <c r="J47" s="50"/>
      <c r="K47" s="51"/>
      <c r="L47" s="50" t="s">
        <v>185</v>
      </c>
      <c r="M47" s="27"/>
      <c r="N47" s="124"/>
    </row>
    <row r="48" spans="1:14" ht="15.75">
      <c r="A48" s="26"/>
      <c r="B48" s="27" t="s">
        <v>33</v>
      </c>
      <c r="C48" s="27"/>
      <c r="D48" s="27"/>
      <c r="E48" s="27"/>
      <c r="F48" s="27"/>
      <c r="G48" s="27"/>
      <c r="H48" s="27"/>
      <c r="I48" s="27"/>
      <c r="J48" s="50"/>
      <c r="K48" s="51"/>
      <c r="L48" s="50">
        <v>38140</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6.5" thickBot="1">
      <c r="A51" s="129"/>
      <c r="B51" s="136" t="s">
        <v>215</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108654</v>
      </c>
      <c r="E56" s="37"/>
      <c r="F56" s="37">
        <v>6053</v>
      </c>
      <c r="G56" s="37"/>
      <c r="H56" s="37">
        <v>0</v>
      </c>
      <c r="I56" s="37"/>
      <c r="J56" s="37">
        <v>0</v>
      </c>
      <c r="K56" s="37"/>
      <c r="L56" s="58">
        <f>D56-F56+H56-J56</f>
        <v>102601</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108654</v>
      </c>
      <c r="E59" s="37"/>
      <c r="F59" s="37">
        <f>SUM(F56:F58)</f>
        <v>6053</v>
      </c>
      <c r="G59" s="37"/>
      <c r="H59" s="37">
        <f>SUM(H56:H58)</f>
        <v>0</v>
      </c>
      <c r="I59" s="37"/>
      <c r="J59" s="37">
        <f>SUM(J56:J58)</f>
        <v>0</v>
      </c>
      <c r="K59" s="37"/>
      <c r="L59" s="59">
        <f>SUM(L56:L58)</f>
        <v>102601</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0</v>
      </c>
      <c r="E70" s="37"/>
      <c r="F70" s="37"/>
      <c r="G70" s="37"/>
      <c r="H70" s="37"/>
      <c r="I70" s="37"/>
      <c r="J70" s="37"/>
      <c r="K70" s="37"/>
      <c r="L70" s="59">
        <v>0</v>
      </c>
      <c r="M70" s="27"/>
      <c r="N70" s="124"/>
    </row>
    <row r="71" spans="1:14" ht="15.75">
      <c r="A71" s="26"/>
      <c r="B71" s="27" t="s">
        <v>44</v>
      </c>
      <c r="C71" s="59">
        <f>SUM(C59:C70)</f>
        <v>185000</v>
      </c>
      <c r="D71" s="59">
        <f>SUM(D59:D70)</f>
        <v>108654</v>
      </c>
      <c r="E71" s="37"/>
      <c r="F71" s="59"/>
      <c r="G71" s="37"/>
      <c r="H71" s="59"/>
      <c r="I71" s="37"/>
      <c r="J71" s="59"/>
      <c r="K71" s="37"/>
      <c r="L71" s="59">
        <f>SUM(L59:L70)</f>
        <v>102601</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38135</v>
      </c>
      <c r="E75" s="27"/>
      <c r="F75" s="27"/>
      <c r="G75" s="27"/>
      <c r="H75" s="27"/>
      <c r="I75" s="27"/>
      <c r="J75" s="37">
        <v>6053</v>
      </c>
      <c r="K75" s="27"/>
      <c r="L75" s="58"/>
      <c r="M75" s="27"/>
      <c r="N75" s="124"/>
    </row>
    <row r="76" spans="1:14" ht="15.75">
      <c r="A76" s="26"/>
      <c r="B76" s="27" t="s">
        <v>48</v>
      </c>
      <c r="C76" s="27"/>
      <c r="D76" s="27"/>
      <c r="E76" s="27"/>
      <c r="F76" s="27"/>
      <c r="G76" s="27"/>
      <c r="H76" s="27"/>
      <c r="I76" s="27"/>
      <c r="J76" s="37"/>
      <c r="K76" s="27"/>
      <c r="L76" s="58">
        <f>1539+286-6</f>
        <v>1819</v>
      </c>
      <c r="M76" s="27"/>
      <c r="N76" s="124"/>
    </row>
    <row r="77" spans="1:14" ht="15.75">
      <c r="A77" s="26"/>
      <c r="B77" s="27" t="s">
        <v>49</v>
      </c>
      <c r="C77" s="27"/>
      <c r="D77" s="27"/>
      <c r="E77" s="27"/>
      <c r="F77" s="27"/>
      <c r="G77" s="27"/>
      <c r="H77" s="27"/>
      <c r="I77" s="27"/>
      <c r="J77" s="37"/>
      <c r="K77" s="27"/>
      <c r="L77" s="58">
        <v>72</v>
      </c>
      <c r="M77" s="27"/>
      <c r="N77" s="124"/>
    </row>
    <row r="78" spans="1:14" ht="15.75">
      <c r="A78" s="26"/>
      <c r="B78" s="27" t="s">
        <v>50</v>
      </c>
      <c r="C78" s="27"/>
      <c r="D78" s="27"/>
      <c r="E78" s="27"/>
      <c r="F78" s="27"/>
      <c r="G78" s="27"/>
      <c r="H78" s="27"/>
      <c r="I78" s="27"/>
      <c r="J78" s="37">
        <f>SUM(J74:J77)</f>
        <v>6053</v>
      </c>
      <c r="K78" s="27"/>
      <c r="L78" s="59">
        <f>SUM(L74:L77)</f>
        <v>1891</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6053</v>
      </c>
      <c r="K80" s="27"/>
      <c r="L80" s="59">
        <f>L78+L79</f>
        <v>1891</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-82-7</f>
        <v>-89</v>
      </c>
      <c r="M84" s="27"/>
      <c r="N84" s="124"/>
    </row>
    <row r="85" spans="1:14" ht="15.75">
      <c r="A85" s="26">
        <v>4</v>
      </c>
      <c r="B85" s="27" t="s">
        <v>57</v>
      </c>
      <c r="C85" s="27"/>
      <c r="D85" s="27"/>
      <c r="E85" s="27"/>
      <c r="F85" s="27"/>
      <c r="G85" s="27"/>
      <c r="H85" s="27"/>
      <c r="I85" s="27"/>
      <c r="J85" s="27"/>
      <c r="K85" s="27"/>
      <c r="L85" s="58">
        <v>-150</v>
      </c>
      <c r="M85" s="27"/>
      <c r="N85" s="124"/>
    </row>
    <row r="86" spans="1:14" ht="15.75">
      <c r="A86" s="26">
        <v>5</v>
      </c>
      <c r="B86" s="27" t="s">
        <v>58</v>
      </c>
      <c r="C86" s="27"/>
      <c r="D86" s="27"/>
      <c r="E86" s="27"/>
      <c r="F86" s="27"/>
      <c r="G86" s="27"/>
      <c r="H86" s="27"/>
      <c r="I86" s="27"/>
      <c r="J86" s="27"/>
      <c r="K86" s="27"/>
      <c r="L86" s="58">
        <v>-1036</v>
      </c>
      <c r="M86" s="27"/>
      <c r="N86" s="124"/>
    </row>
    <row r="87" spans="1:14" ht="15.75">
      <c r="A87" s="26">
        <v>6</v>
      </c>
      <c r="B87" s="27" t="s">
        <v>59</v>
      </c>
      <c r="C87" s="27"/>
      <c r="D87" s="27"/>
      <c r="E87" s="27"/>
      <c r="F87" s="27"/>
      <c r="G87" s="27"/>
      <c r="H87" s="27"/>
      <c r="I87" s="27"/>
      <c r="J87" s="27"/>
      <c r="K87" s="27"/>
      <c r="L87" s="58">
        <v>-239</v>
      </c>
      <c r="M87" s="27"/>
      <c r="N87" s="124"/>
    </row>
    <row r="88" spans="1:14" ht="15.75">
      <c r="A88" s="26">
        <v>7</v>
      </c>
      <c r="B88" s="27" t="s">
        <v>60</v>
      </c>
      <c r="C88" s="27"/>
      <c r="D88" s="27"/>
      <c r="E88" s="27"/>
      <c r="F88" s="27"/>
      <c r="G88" s="27"/>
      <c r="H88" s="27"/>
      <c r="I88" s="27"/>
      <c r="J88" s="27"/>
      <c r="K88" s="27"/>
      <c r="L88" s="58">
        <v>-5</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v>0</v>
      </c>
      <c r="M93" s="27"/>
      <c r="N93" s="124"/>
    </row>
    <row r="94" spans="1:14" ht="15.75">
      <c r="A94" s="26">
        <v>13</v>
      </c>
      <c r="B94" s="27" t="s">
        <v>66</v>
      </c>
      <c r="C94" s="27"/>
      <c r="D94" s="27"/>
      <c r="E94" s="27"/>
      <c r="F94" s="27"/>
      <c r="G94" s="27"/>
      <c r="H94" s="27"/>
      <c r="I94" s="27"/>
      <c r="J94" s="27"/>
      <c r="K94" s="27"/>
      <c r="L94" s="58">
        <f>-SUM(L80:L93)</f>
        <v>-368</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0</v>
      </c>
      <c r="K96" s="37"/>
      <c r="L96" s="58"/>
      <c r="M96" s="27"/>
      <c r="N96" s="124"/>
    </row>
    <row r="97" spans="1:14" ht="15.75">
      <c r="A97" s="26"/>
      <c r="B97" s="27" t="s">
        <v>69</v>
      </c>
      <c r="C97" s="27"/>
      <c r="D97" s="27"/>
      <c r="E97" s="27"/>
      <c r="F97" s="27"/>
      <c r="G97" s="27"/>
      <c r="H97" s="27"/>
      <c r="I97" s="27"/>
      <c r="J97" s="37">
        <f>-H141</f>
        <v>0</v>
      </c>
      <c r="K97" s="37"/>
      <c r="L97" s="58"/>
      <c r="M97" s="27"/>
      <c r="N97" s="124"/>
    </row>
    <row r="98" spans="1:14" ht="15.75">
      <c r="A98" s="26"/>
      <c r="B98" s="27" t="s">
        <v>70</v>
      </c>
      <c r="C98" s="27"/>
      <c r="D98" s="27"/>
      <c r="E98" s="27"/>
      <c r="F98" s="27"/>
      <c r="G98" s="27"/>
      <c r="H98" s="27"/>
      <c r="I98" s="27"/>
      <c r="J98" s="37">
        <v>-6053</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-6053</v>
      </c>
      <c r="K100" s="37"/>
      <c r="L100" s="37">
        <f>SUM(L81:L99)</f>
        <v>-1891</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6" t="str">
        <f>B51</f>
        <v>PM2 INVESTOR REPORT QUARTER ENDING MAY 2004</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v>0</v>
      </c>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138"/>
      <c r="D120" s="138"/>
      <c r="E120" s="138"/>
      <c r="F120" s="138"/>
      <c r="G120" s="138"/>
      <c r="H120" s="138"/>
      <c r="I120" s="138"/>
      <c r="J120" s="138"/>
      <c r="K120" s="138"/>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102601</v>
      </c>
      <c r="M134" s="27"/>
      <c r="N134" s="124"/>
    </row>
    <row r="135" spans="1:14" ht="15.75">
      <c r="A135" s="26"/>
      <c r="B135" s="27" t="s">
        <v>95</v>
      </c>
      <c r="C135" s="73"/>
      <c r="D135" s="27"/>
      <c r="E135" s="27"/>
      <c r="F135" s="27"/>
      <c r="G135" s="27"/>
      <c r="H135" s="27"/>
      <c r="I135" s="27"/>
      <c r="J135" s="27"/>
      <c r="K135" s="27"/>
      <c r="L135" s="58">
        <f>L71</f>
        <v>102601</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19434</v>
      </c>
      <c r="I140" s="27"/>
      <c r="J140" s="58">
        <v>566</v>
      </c>
      <c r="K140" s="27"/>
      <c r="L140" s="58">
        <f>J140+H140</f>
        <v>20000</v>
      </c>
      <c r="M140" s="27"/>
      <c r="N140" s="124"/>
    </row>
    <row r="141" spans="1:14" ht="15.75">
      <c r="A141" s="26"/>
      <c r="B141" s="27" t="s">
        <v>99</v>
      </c>
      <c r="C141" s="27"/>
      <c r="D141" s="27"/>
      <c r="E141" s="27"/>
      <c r="F141" s="27"/>
      <c r="G141" s="27"/>
      <c r="H141" s="58">
        <v>0</v>
      </c>
      <c r="I141" s="27"/>
      <c r="J141" s="58">
        <v>0</v>
      </c>
      <c r="K141" s="27"/>
      <c r="L141" s="58">
        <f>J141+H141</f>
        <v>0</v>
      </c>
      <c r="M141" s="27"/>
      <c r="N141" s="124"/>
    </row>
    <row r="142" spans="1:14" ht="15.75">
      <c r="A142" s="26"/>
      <c r="B142" s="27" t="s">
        <v>100</v>
      </c>
      <c r="C142" s="27"/>
      <c r="D142" s="27"/>
      <c r="E142" s="27"/>
      <c r="F142" s="27"/>
      <c r="G142" s="27"/>
      <c r="H142" s="58">
        <f>H140+H141</f>
        <v>19434</v>
      </c>
      <c r="I142" s="27"/>
      <c r="J142" s="58">
        <f>J141+J140</f>
        <v>566</v>
      </c>
      <c r="K142" s="27"/>
      <c r="L142" s="58">
        <f>J142+H142</f>
        <v>20000</v>
      </c>
      <c r="M142" s="27"/>
      <c r="N142" s="124"/>
    </row>
    <row r="143" spans="1:14" ht="15.75">
      <c r="A143" s="26"/>
      <c r="B143" s="27" t="s">
        <v>101</v>
      </c>
      <c r="C143" s="27"/>
      <c r="D143" s="27"/>
      <c r="E143" s="27"/>
      <c r="F143" s="27"/>
      <c r="G143" s="27"/>
      <c r="H143" s="58">
        <f>H139-H142-J142</f>
        <v>0</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1.5907335907335907</v>
      </c>
      <c r="M147" s="27" t="s">
        <v>189</v>
      </c>
      <c r="N147" s="124"/>
    </row>
    <row r="148" spans="1:14" ht="15.75">
      <c r="A148" s="26"/>
      <c r="B148" s="27" t="s">
        <v>104</v>
      </c>
      <c r="C148" s="27"/>
      <c r="D148" s="27"/>
      <c r="E148" s="27"/>
      <c r="F148" s="27"/>
      <c r="G148" s="27"/>
      <c r="H148" s="27"/>
      <c r="I148" s="27"/>
      <c r="J148" s="27"/>
      <c r="K148" s="27"/>
      <c r="L148" s="66">
        <v>1.4</v>
      </c>
      <c r="M148" s="27" t="s">
        <v>189</v>
      </c>
      <c r="N148" s="124"/>
    </row>
    <row r="149" spans="1:14" ht="15.75">
      <c r="A149" s="26"/>
      <c r="B149" s="27" t="s">
        <v>105</v>
      </c>
      <c r="C149" s="27"/>
      <c r="D149" s="27"/>
      <c r="E149" s="27"/>
      <c r="F149" s="27"/>
      <c r="G149" s="27"/>
      <c r="H149" s="27"/>
      <c r="I149" s="27"/>
      <c r="J149" s="27"/>
      <c r="K149" s="27"/>
      <c r="L149" s="66">
        <f>(L80+SUM(L82:L86))/-L87</f>
        <v>2.5606694560669454</v>
      </c>
      <c r="M149" s="27" t="s">
        <v>189</v>
      </c>
      <c r="N149" s="124"/>
    </row>
    <row r="150" spans="1:14" ht="15.75">
      <c r="A150" s="26"/>
      <c r="B150" s="27" t="s">
        <v>106</v>
      </c>
      <c r="C150" s="27"/>
      <c r="D150" s="27"/>
      <c r="E150" s="27"/>
      <c r="F150" s="27"/>
      <c r="G150" s="27"/>
      <c r="H150" s="27"/>
      <c r="I150" s="27"/>
      <c r="J150" s="27"/>
      <c r="K150" s="27"/>
      <c r="L150" s="75">
        <v>2.75</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6.5" thickBot="1">
      <c r="A153" s="129"/>
      <c r="B153" s="136" t="str">
        <f>B104</f>
        <v>PM2 INVESTOR REPORT QUARTER ENDING MAY 2004</v>
      </c>
      <c r="C153" s="131"/>
      <c r="D153" s="131"/>
      <c r="E153" s="131"/>
      <c r="F153" s="131"/>
      <c r="G153" s="131"/>
      <c r="H153" s="131"/>
      <c r="I153" s="131"/>
      <c r="J153" s="131"/>
      <c r="K153" s="131"/>
      <c r="L153" s="131"/>
      <c r="M153" s="134"/>
      <c r="N153" s="124"/>
    </row>
    <row r="154" spans="1:14" ht="15.75">
      <c r="A154" s="2"/>
      <c r="B154" s="140"/>
      <c r="C154" s="140"/>
      <c r="D154" s="140"/>
      <c r="E154" s="140"/>
      <c r="F154" s="140"/>
      <c r="G154" s="140"/>
      <c r="H154" s="140"/>
      <c r="I154" s="140"/>
      <c r="J154" s="140"/>
      <c r="K154" s="140"/>
      <c r="L154" s="140"/>
      <c r="M154" s="140"/>
      <c r="N154" s="124"/>
    </row>
    <row r="155" spans="1:14" ht="15.75">
      <c r="A155" s="77"/>
      <c r="B155" s="56" t="s">
        <v>107</v>
      </c>
      <c r="C155" s="78"/>
      <c r="D155" s="78"/>
      <c r="E155" s="78"/>
      <c r="F155" s="78"/>
      <c r="G155" s="20"/>
      <c r="H155" s="20"/>
      <c r="I155" s="20"/>
      <c r="J155" s="20">
        <v>38135</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0.06328</v>
      </c>
      <c r="K160" s="27"/>
      <c r="L160" s="27"/>
      <c r="M160" s="27"/>
      <c r="N160" s="124"/>
    </row>
    <row r="161" spans="1:14" ht="15.75">
      <c r="A161" s="84"/>
      <c r="B161" s="85" t="s">
        <v>112</v>
      </c>
      <c r="C161" s="86"/>
      <c r="D161" s="86"/>
      <c r="E161" s="86"/>
      <c r="F161" s="86"/>
      <c r="G161" s="72"/>
      <c r="H161" s="72"/>
      <c r="I161" s="72"/>
      <c r="J161" s="87">
        <f>L33</f>
        <v>0.046691528861260025</v>
      </c>
      <c r="K161" s="27"/>
      <c r="L161" s="27"/>
      <c r="M161" s="27"/>
      <c r="N161" s="124"/>
    </row>
    <row r="162" spans="1:14" ht="15.75">
      <c r="A162" s="84"/>
      <c r="B162" s="85" t="s">
        <v>113</v>
      </c>
      <c r="C162" s="86"/>
      <c r="D162" s="86"/>
      <c r="E162" s="86"/>
      <c r="F162" s="86"/>
      <c r="G162" s="72"/>
      <c r="H162" s="72"/>
      <c r="I162" s="72"/>
      <c r="J162" s="87">
        <f>J160-J161</f>
        <v>0.01658847113873998</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15.86</v>
      </c>
      <c r="K166" s="27" t="s">
        <v>182</v>
      </c>
      <c r="L166" s="27"/>
      <c r="M166" s="27"/>
      <c r="N166" s="124"/>
    </row>
    <row r="167" spans="1:14" ht="15.75">
      <c r="A167" s="84"/>
      <c r="B167" s="85" t="s">
        <v>118</v>
      </c>
      <c r="C167" s="86"/>
      <c r="D167" s="86"/>
      <c r="E167" s="86"/>
      <c r="F167" s="86"/>
      <c r="G167" s="72"/>
      <c r="H167" s="72"/>
      <c r="I167" s="72"/>
      <c r="J167" s="87">
        <f>F56/'Feb 2004'!L56</f>
        <v>0.055708947668746664</v>
      </c>
      <c r="K167" s="27"/>
      <c r="L167" s="27"/>
      <c r="M167" s="27"/>
      <c r="N167" s="124"/>
    </row>
    <row r="168" spans="1:14" ht="15.75">
      <c r="A168" s="84"/>
      <c r="B168" s="85" t="s">
        <v>119</v>
      </c>
      <c r="C168" s="86"/>
      <c r="D168" s="86"/>
      <c r="E168" s="86"/>
      <c r="F168" s="86"/>
      <c r="G168" s="72"/>
      <c r="H168" s="72"/>
      <c r="I168" s="72"/>
      <c r="J168" s="87">
        <v>0.155</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v>11</v>
      </c>
      <c r="J171" s="96">
        <v>467</v>
      </c>
      <c r="K171" s="27"/>
      <c r="L171" s="90"/>
      <c r="M171" s="97"/>
      <c r="N171" s="124"/>
    </row>
    <row r="172" spans="1:14" ht="15.75">
      <c r="A172" s="95"/>
      <c r="B172" s="85" t="s">
        <v>214</v>
      </c>
      <c r="C172" s="59"/>
      <c r="D172" s="59"/>
      <c r="E172" s="59"/>
      <c r="F172" s="27"/>
      <c r="G172" s="27"/>
      <c r="H172" s="27"/>
      <c r="I172" s="28">
        <v>1</v>
      </c>
      <c r="J172" s="96">
        <v>33</v>
      </c>
      <c r="K172" s="27"/>
      <c r="L172" s="90"/>
      <c r="M172" s="97"/>
      <c r="N172" s="124"/>
    </row>
    <row r="173" spans="1:14" ht="15.75">
      <c r="A173" s="95"/>
      <c r="B173" s="85" t="s">
        <v>122</v>
      </c>
      <c r="C173" s="59"/>
      <c r="D173" s="59"/>
      <c r="E173" s="59"/>
      <c r="F173" s="27"/>
      <c r="G173" s="27"/>
      <c r="H173" s="27"/>
      <c r="I173" s="28">
        <v>0</v>
      </c>
      <c r="J173" s="96">
        <v>0</v>
      </c>
      <c r="K173" s="27"/>
      <c r="L173" s="90"/>
      <c r="M173" s="97"/>
      <c r="N173" s="124"/>
    </row>
    <row r="174" spans="1:14" ht="15.75">
      <c r="A174" s="95"/>
      <c r="B174" s="157" t="s">
        <v>123</v>
      </c>
      <c r="C174" s="59"/>
      <c r="D174" s="59"/>
      <c r="E174" s="59"/>
      <c r="F174" s="27"/>
      <c r="G174" s="27"/>
      <c r="H174" s="27"/>
      <c r="I174" s="27"/>
      <c r="J174" s="96">
        <v>0</v>
      </c>
      <c r="K174" s="27"/>
      <c r="L174" s="90"/>
      <c r="M174" s="97"/>
      <c r="N174" s="124"/>
    </row>
    <row r="175" spans="1:14" ht="15.75">
      <c r="A175" s="95"/>
      <c r="B175" s="157" t="s">
        <v>124</v>
      </c>
      <c r="C175" s="59"/>
      <c r="D175" s="59"/>
      <c r="E175" s="59"/>
      <c r="F175" s="27"/>
      <c r="G175" s="27"/>
      <c r="H175" s="27"/>
      <c r="I175" s="27"/>
      <c r="J175" s="96">
        <v>25878</v>
      </c>
      <c r="K175" s="27"/>
      <c r="L175" s="90"/>
      <c r="M175" s="97"/>
      <c r="N175" s="124"/>
    </row>
    <row r="176" spans="1:14" ht="15.75">
      <c r="A176" s="98"/>
      <c r="B176" s="157" t="s">
        <v>125</v>
      </c>
      <c r="C176" s="59"/>
      <c r="D176" s="85"/>
      <c r="E176" s="85"/>
      <c r="F176" s="85"/>
      <c r="G176" s="27"/>
      <c r="H176" s="27"/>
      <c r="I176" s="27"/>
      <c r="J176" s="96">
        <v>0</v>
      </c>
      <c r="K176" s="27"/>
      <c r="L176" s="90"/>
      <c r="M176" s="99"/>
      <c r="N176" s="124"/>
    </row>
    <row r="177" spans="1:14" ht="15.75">
      <c r="A177" s="95"/>
      <c r="B177" s="85" t="s">
        <v>126</v>
      </c>
      <c r="C177" s="59"/>
      <c r="D177" s="59"/>
      <c r="E177" s="59"/>
      <c r="F177" s="59"/>
      <c r="G177" s="27"/>
      <c r="H177" s="27"/>
      <c r="I177" s="27">
        <v>0</v>
      </c>
      <c r="J177" s="96">
        <f>+L126</f>
        <v>0</v>
      </c>
      <c r="K177" s="27"/>
      <c r="L177" s="90"/>
      <c r="M177" s="99"/>
      <c r="N177" s="124"/>
    </row>
    <row r="178" spans="1:14" ht="15.75">
      <c r="A178" s="95"/>
      <c r="B178" s="85" t="s">
        <v>127</v>
      </c>
      <c r="C178" s="59"/>
      <c r="D178" s="59"/>
      <c r="E178" s="59"/>
      <c r="F178" s="59"/>
      <c r="G178" s="27"/>
      <c r="H178" s="27"/>
      <c r="I178" s="27">
        <f>'Feb 2004'!I178+I177</f>
        <v>3</v>
      </c>
      <c r="J178" s="96">
        <f>'Feb 2004'!J178+J177</f>
        <v>7</v>
      </c>
      <c r="K178" s="27"/>
      <c r="L178" s="90"/>
      <c r="M178" s="99"/>
      <c r="N178" s="124"/>
    </row>
    <row r="179" spans="1:14" ht="15.75">
      <c r="A179" s="95"/>
      <c r="B179" s="85" t="s">
        <v>196</v>
      </c>
      <c r="C179" s="59"/>
      <c r="D179" s="59"/>
      <c r="E179" s="59"/>
      <c r="F179" s="59"/>
      <c r="G179" s="27"/>
      <c r="H179" s="27"/>
      <c r="I179" s="27"/>
      <c r="J179" s="96"/>
      <c r="K179" s="27"/>
      <c r="L179" s="90"/>
      <c r="M179" s="99"/>
      <c r="N179" s="124"/>
    </row>
    <row r="180" spans="1:14" ht="15.75">
      <c r="A180" s="98"/>
      <c r="B180" s="157" t="s">
        <v>128</v>
      </c>
      <c r="C180" s="59"/>
      <c r="D180" s="85"/>
      <c r="E180" s="85"/>
      <c r="F180" s="85"/>
      <c r="G180" s="27"/>
      <c r="H180" s="27"/>
      <c r="I180" s="27"/>
      <c r="J180" s="96"/>
      <c r="K180" s="27"/>
      <c r="L180" s="90"/>
      <c r="M180" s="99"/>
      <c r="N180" s="124"/>
    </row>
    <row r="181" spans="1:14" ht="15.75">
      <c r="A181" s="98"/>
      <c r="B181" s="85" t="s">
        <v>129</v>
      </c>
      <c r="C181" s="59"/>
      <c r="D181" s="85"/>
      <c r="E181" s="85"/>
      <c r="F181" s="85"/>
      <c r="G181" s="27"/>
      <c r="H181" s="27"/>
      <c r="I181" s="27">
        <v>2</v>
      </c>
      <c r="J181" s="96">
        <v>361</v>
      </c>
      <c r="K181" s="27"/>
      <c r="L181" s="90"/>
      <c r="M181" s="99"/>
      <c r="N181" s="124"/>
    </row>
    <row r="182" spans="1:14" ht="15.75">
      <c r="A182" s="95"/>
      <c r="B182" s="85" t="s">
        <v>130</v>
      </c>
      <c r="C182" s="59"/>
      <c r="D182" s="100"/>
      <c r="E182" s="100"/>
      <c r="F182" s="101"/>
      <c r="G182" s="27"/>
      <c r="H182" s="27"/>
      <c r="I182" s="27"/>
      <c r="J182" s="96">
        <v>13.165</v>
      </c>
      <c r="K182" s="27"/>
      <c r="L182" s="90"/>
      <c r="M182" s="99"/>
      <c r="N182" s="124"/>
    </row>
    <row r="183" spans="1:14" ht="15.75">
      <c r="A183" s="95"/>
      <c r="B183" s="85" t="s">
        <v>131</v>
      </c>
      <c r="C183" s="59"/>
      <c r="D183" s="100"/>
      <c r="E183" s="100"/>
      <c r="F183" s="101"/>
      <c r="G183" s="27"/>
      <c r="H183" s="27"/>
      <c r="I183" s="27"/>
      <c r="J183" s="96">
        <v>8.5</v>
      </c>
      <c r="K183" s="27"/>
      <c r="L183" s="90"/>
      <c r="M183" s="99"/>
      <c r="N183" s="124"/>
    </row>
    <row r="184" spans="1:14" ht="15.75">
      <c r="A184" s="95"/>
      <c r="B184" s="85" t="s">
        <v>132</v>
      </c>
      <c r="C184" s="59"/>
      <c r="D184" s="102"/>
      <c r="E184" s="100"/>
      <c r="F184" s="101"/>
      <c r="G184" s="27"/>
      <c r="H184" s="27"/>
      <c r="I184" s="27"/>
      <c r="J184" s="103">
        <v>1.4213</v>
      </c>
      <c r="K184" s="27"/>
      <c r="L184" s="90"/>
      <c r="M184" s="99"/>
      <c r="N184" s="124"/>
    </row>
    <row r="185" spans="1:14" ht="15.75">
      <c r="A185" s="95"/>
      <c r="B185" s="85"/>
      <c r="C185" s="59"/>
      <c r="D185" s="102"/>
      <c r="E185" s="100"/>
      <c r="F185" s="101"/>
      <c r="G185" s="27"/>
      <c r="H185" s="27"/>
      <c r="I185" s="27"/>
      <c r="J185" s="103"/>
      <c r="K185" s="27"/>
      <c r="L185" s="90"/>
      <c r="M185" s="99"/>
      <c r="N185" s="124"/>
    </row>
    <row r="186" spans="1:14" ht="15.75">
      <c r="A186" s="8"/>
      <c r="B186" s="17" t="s">
        <v>133</v>
      </c>
      <c r="C186" s="63"/>
      <c r="D186" s="94"/>
      <c r="E186" s="63"/>
      <c r="F186" s="94"/>
      <c r="G186" s="63"/>
      <c r="H186" s="94" t="s">
        <v>170</v>
      </c>
      <c r="I186" s="63" t="s">
        <v>171</v>
      </c>
      <c r="J186" s="94" t="s">
        <v>180</v>
      </c>
      <c r="K186" s="63" t="s">
        <v>171</v>
      </c>
      <c r="L186" s="18"/>
      <c r="M186" s="104"/>
      <c r="N186" s="124"/>
    </row>
    <row r="187" spans="1:14" ht="15.75">
      <c r="A187" s="26"/>
      <c r="B187" s="59" t="s">
        <v>134</v>
      </c>
      <c r="C187" s="105"/>
      <c r="D187" s="59"/>
      <c r="E187" s="105"/>
      <c r="F187" s="27"/>
      <c r="G187" s="105"/>
      <c r="H187" s="59">
        <v>1773</v>
      </c>
      <c r="I187" s="105">
        <f>H187/H192</f>
        <v>0.985</v>
      </c>
      <c r="J187" s="58">
        <v>101166</v>
      </c>
      <c r="K187" s="106">
        <f>J187/J192</f>
        <v>0.9860137815420902</v>
      </c>
      <c r="L187" s="90"/>
      <c r="M187" s="99"/>
      <c r="N187" s="124"/>
    </row>
    <row r="188" spans="1:14" ht="15.75">
      <c r="A188" s="26"/>
      <c r="B188" s="59" t="s">
        <v>135</v>
      </c>
      <c r="C188" s="105"/>
      <c r="D188" s="59"/>
      <c r="E188" s="105"/>
      <c r="F188" s="27"/>
      <c r="G188" s="107"/>
      <c r="H188" s="59">
        <v>10</v>
      </c>
      <c r="I188" s="105">
        <f>H188/H192</f>
        <v>0.005555555555555556</v>
      </c>
      <c r="J188" s="58">
        <v>490</v>
      </c>
      <c r="K188" s="106">
        <f>J188/J192</f>
        <v>0.004775781912456993</v>
      </c>
      <c r="L188" s="90"/>
      <c r="M188" s="99"/>
      <c r="N188" s="124"/>
    </row>
    <row r="189" spans="1:14" ht="15.75">
      <c r="A189" s="26"/>
      <c r="B189" s="59" t="s">
        <v>136</v>
      </c>
      <c r="C189" s="105"/>
      <c r="D189" s="59"/>
      <c r="E189" s="105"/>
      <c r="F189" s="27"/>
      <c r="G189" s="107"/>
      <c r="H189" s="59">
        <v>4</v>
      </c>
      <c r="I189" s="105">
        <f>H189/H192</f>
        <v>0.0022222222222222222</v>
      </c>
      <c r="J189" s="58">
        <v>167</v>
      </c>
      <c r="K189" s="106">
        <f>J189/J192</f>
        <v>0.0016276644477149346</v>
      </c>
      <c r="L189" s="90"/>
      <c r="M189" s="99"/>
      <c r="N189" s="124"/>
    </row>
    <row r="190" spans="1:14" ht="15.75">
      <c r="A190" s="26"/>
      <c r="B190" s="59" t="s">
        <v>137</v>
      </c>
      <c r="C190" s="105"/>
      <c r="D190" s="59"/>
      <c r="E190" s="105"/>
      <c r="F190" s="27"/>
      <c r="G190" s="107"/>
      <c r="H190" s="59">
        <v>13</v>
      </c>
      <c r="I190" s="105">
        <f>H190/H192</f>
        <v>0.007222222222222222</v>
      </c>
      <c r="J190" s="58">
        <v>778</v>
      </c>
      <c r="K190" s="106">
        <f>J190/J192</f>
        <v>0.007582772097737838</v>
      </c>
      <c r="L190" s="90"/>
      <c r="M190" s="99"/>
      <c r="N190" s="124"/>
    </row>
    <row r="191" spans="1:14" ht="15.75">
      <c r="A191" s="26"/>
      <c r="B191" s="138"/>
      <c r="C191" s="105"/>
      <c r="D191" s="59"/>
      <c r="E191" s="105"/>
      <c r="F191" s="27"/>
      <c r="G191" s="107"/>
      <c r="H191" s="59"/>
      <c r="I191" s="105"/>
      <c r="J191" s="58"/>
      <c r="K191" s="106"/>
      <c r="L191" s="90"/>
      <c r="M191" s="99"/>
      <c r="N191" s="124"/>
    </row>
    <row r="192" spans="1:14" ht="15.75">
      <c r="A192" s="26"/>
      <c r="B192" s="27" t="s">
        <v>188</v>
      </c>
      <c r="C192" s="27"/>
      <c r="D192" s="27"/>
      <c r="E192" s="27"/>
      <c r="F192" s="27"/>
      <c r="G192" s="27"/>
      <c r="H192" s="37">
        <f>SUM(H187:H191)</f>
        <v>1800</v>
      </c>
      <c r="I192" s="109">
        <f>SUM(I187:I191)</f>
        <v>1</v>
      </c>
      <c r="J192" s="58">
        <f>SUM(J187:J191)</f>
        <v>102601</v>
      </c>
      <c r="K192" s="109">
        <f>SUM(K187:K191)</f>
        <v>0.9999999999999999</v>
      </c>
      <c r="L192" s="27"/>
      <c r="M192" s="27"/>
      <c r="N192" s="124"/>
    </row>
    <row r="193" spans="1:14" ht="15.75">
      <c r="A193" s="26"/>
      <c r="B193" s="27"/>
      <c r="C193" s="27"/>
      <c r="D193" s="27"/>
      <c r="E193" s="27"/>
      <c r="F193" s="27"/>
      <c r="G193" s="27"/>
      <c r="H193" s="37"/>
      <c r="I193" s="109"/>
      <c r="J193" s="58"/>
      <c r="K193" s="109"/>
      <c r="L193" s="27"/>
      <c r="M193" s="27"/>
      <c r="N193" s="124"/>
    </row>
    <row r="194" spans="1:14" ht="15.75">
      <c r="A194" s="8"/>
      <c r="B194" s="10"/>
      <c r="C194" s="10"/>
      <c r="D194" s="10"/>
      <c r="E194" s="10"/>
      <c r="F194" s="10"/>
      <c r="G194" s="10"/>
      <c r="H194" s="60"/>
      <c r="I194" s="112"/>
      <c r="J194" s="113"/>
      <c r="K194" s="112"/>
      <c r="L194" s="10"/>
      <c r="M194" s="10"/>
      <c r="N194" s="124"/>
    </row>
    <row r="195" spans="1:14" ht="15.75">
      <c r="A195" s="114"/>
      <c r="B195" s="17" t="s">
        <v>138</v>
      </c>
      <c r="C195" s="115"/>
      <c r="D195" s="63" t="s">
        <v>146</v>
      </c>
      <c r="E195" s="18"/>
      <c r="F195" s="17" t="s">
        <v>159</v>
      </c>
      <c r="G195" s="116"/>
      <c r="H195" s="116"/>
      <c r="I195" s="116"/>
      <c r="J195" s="137"/>
      <c r="K195" s="137"/>
      <c r="L195" s="137"/>
      <c r="M195" s="137"/>
      <c r="N195" s="124"/>
    </row>
    <row r="196" spans="1:14" ht="15.75">
      <c r="A196" s="141"/>
      <c r="B196" s="137"/>
      <c r="C196" s="137"/>
      <c r="D196" s="10"/>
      <c r="E196" s="10"/>
      <c r="F196" s="10"/>
      <c r="G196" s="137"/>
      <c r="H196" s="137"/>
      <c r="I196" s="137"/>
      <c r="J196" s="137"/>
      <c r="K196" s="137"/>
      <c r="L196" s="137"/>
      <c r="M196" s="137"/>
      <c r="N196" s="124"/>
    </row>
    <row r="197" spans="1:14" ht="15.75">
      <c r="A197" s="141"/>
      <c r="B197" s="16" t="s">
        <v>139</v>
      </c>
      <c r="C197" s="118"/>
      <c r="D197" s="119" t="s">
        <v>147</v>
      </c>
      <c r="E197" s="16"/>
      <c r="F197" s="16" t="s">
        <v>160</v>
      </c>
      <c r="G197" s="118"/>
      <c r="H197" s="118"/>
      <c r="I197" s="137"/>
      <c r="J197" s="137"/>
      <c r="K197" s="137"/>
      <c r="L197" s="137"/>
      <c r="M197" s="137"/>
      <c r="N197" s="124"/>
    </row>
    <row r="198" spans="1:14" ht="15.75">
      <c r="A198" s="141"/>
      <c r="B198" s="16" t="s">
        <v>140</v>
      </c>
      <c r="C198" s="118"/>
      <c r="D198" s="119" t="s">
        <v>148</v>
      </c>
      <c r="E198" s="16"/>
      <c r="F198" s="16" t="s">
        <v>161</v>
      </c>
      <c r="G198" s="118"/>
      <c r="H198" s="118"/>
      <c r="I198" s="137"/>
      <c r="J198" s="137"/>
      <c r="K198" s="137"/>
      <c r="L198" s="137"/>
      <c r="M198" s="137"/>
      <c r="N198" s="124"/>
    </row>
    <row r="199" spans="1:14" ht="15.75">
      <c r="A199" s="141"/>
      <c r="B199" s="16"/>
      <c r="C199" s="118"/>
      <c r="D199" s="119"/>
      <c r="E199" s="16"/>
      <c r="F199" s="16"/>
      <c r="G199" s="118"/>
      <c r="H199" s="118"/>
      <c r="I199" s="137"/>
      <c r="J199" s="137"/>
      <c r="K199" s="137"/>
      <c r="L199" s="137"/>
      <c r="M199" s="137"/>
      <c r="N199" s="124"/>
    </row>
    <row r="200" spans="1:14" ht="15.75">
      <c r="A200" s="141"/>
      <c r="B200" s="16"/>
      <c r="C200" s="118"/>
      <c r="D200" s="119"/>
      <c r="E200" s="16"/>
      <c r="F200" s="16"/>
      <c r="G200" s="118"/>
      <c r="H200" s="118"/>
      <c r="I200" s="137"/>
      <c r="J200" s="137"/>
      <c r="K200" s="137"/>
      <c r="L200" s="137"/>
      <c r="M200" s="137"/>
      <c r="N200" s="124"/>
    </row>
    <row r="201" spans="1:14" ht="15.75">
      <c r="A201" s="141"/>
      <c r="B201" s="16" t="str">
        <f>B153</f>
        <v>PM2 INVESTOR REPORT QUARTER ENDING MAY 2004</v>
      </c>
      <c r="C201" s="118"/>
      <c r="D201" s="119"/>
      <c r="E201" s="16"/>
      <c r="F201" s="16"/>
      <c r="G201" s="118"/>
      <c r="H201" s="118"/>
      <c r="I201" s="137"/>
      <c r="J201" s="137"/>
      <c r="K201" s="137"/>
      <c r="L201" s="137"/>
      <c r="M201" s="137"/>
      <c r="N201" s="124"/>
    </row>
    <row r="202" spans="1:13" ht="15">
      <c r="A202" s="125"/>
      <c r="B202" s="125"/>
      <c r="C202" s="125"/>
      <c r="D202" s="125"/>
      <c r="E202" s="125"/>
      <c r="F202" s="125"/>
      <c r="G202" s="125"/>
      <c r="H202" s="125"/>
      <c r="I202" s="125"/>
      <c r="J202" s="125"/>
      <c r="K202" s="125"/>
      <c r="L202" s="125"/>
      <c r="M202" s="125"/>
    </row>
    <row r="204" spans="8:10" ht="15">
      <c r="H204" s="142"/>
      <c r="J204" s="142"/>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18.xml><?xml version="1.0" encoding="utf-8"?>
<worksheet xmlns="http://schemas.openxmlformats.org/spreadsheetml/2006/main" xmlns:r="http://schemas.openxmlformats.org/officeDocument/2006/relationships">
  <dimension ref="A1:N206"/>
  <sheetViews>
    <sheetView tabSelected="1"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6.105468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37"/>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38253</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37"/>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145"/>
      <c r="J22" s="24"/>
      <c r="K22" s="137"/>
      <c r="L22" s="137"/>
      <c r="M22" s="10"/>
      <c r="N22" s="124"/>
    </row>
    <row r="23" spans="1:14" ht="15.75">
      <c r="A23" s="8"/>
      <c r="B23" s="10" t="s">
        <v>11</v>
      </c>
      <c r="C23" s="144" t="s">
        <v>142</v>
      </c>
      <c r="D23" s="24"/>
      <c r="E23" s="24"/>
      <c r="F23" s="24" t="s">
        <v>150</v>
      </c>
      <c r="G23" s="24"/>
      <c r="H23" s="24" t="s">
        <v>163</v>
      </c>
      <c r="I23" s="24"/>
      <c r="J23" s="24"/>
      <c r="K23" s="137"/>
      <c r="L23" s="137"/>
      <c r="M23" s="10"/>
      <c r="N23" s="124"/>
    </row>
    <row r="24" spans="1:14" ht="15.75">
      <c r="A24" s="26"/>
      <c r="B24" s="27" t="s">
        <v>12</v>
      </c>
      <c r="C24" s="28"/>
      <c r="D24" s="29"/>
      <c r="E24" s="29"/>
      <c r="F24" s="29" t="s">
        <v>151</v>
      </c>
      <c r="G24" s="29"/>
      <c r="H24" s="29" t="s">
        <v>164</v>
      </c>
      <c r="I24" s="29"/>
      <c r="J24" s="29"/>
      <c r="K24" s="138"/>
      <c r="L24" s="138"/>
      <c r="M24" s="27"/>
      <c r="N24" s="124"/>
    </row>
    <row r="25" spans="1:14" ht="15.75">
      <c r="A25" s="31"/>
      <c r="B25" s="32" t="s">
        <v>13</v>
      </c>
      <c r="C25" s="32"/>
      <c r="D25" s="33"/>
      <c r="E25" s="33"/>
      <c r="F25" s="33" t="s">
        <v>150</v>
      </c>
      <c r="G25" s="33"/>
      <c r="H25" s="33" t="s">
        <v>206</v>
      </c>
      <c r="I25" s="33"/>
      <c r="J25" s="29"/>
      <c r="K25" s="138"/>
      <c r="L25" s="138"/>
      <c r="M25" s="27"/>
      <c r="N25" s="124"/>
    </row>
    <row r="26" spans="1:14" ht="15.75">
      <c r="A26" s="31"/>
      <c r="B26" s="32" t="s">
        <v>14</v>
      </c>
      <c r="C26" s="32"/>
      <c r="D26" s="33"/>
      <c r="E26" s="33"/>
      <c r="F26" s="33" t="s">
        <v>151</v>
      </c>
      <c r="G26" s="33"/>
      <c r="H26" s="33" t="s">
        <v>207</v>
      </c>
      <c r="I26" s="33"/>
      <c r="J26" s="29"/>
      <c r="K26" s="138"/>
      <c r="L26" s="138"/>
      <c r="M26" s="27"/>
      <c r="N26" s="124"/>
    </row>
    <row r="27" spans="1:14" ht="15.75">
      <c r="A27" s="26"/>
      <c r="B27" s="27" t="s">
        <v>15</v>
      </c>
      <c r="C27" s="27"/>
      <c r="D27" s="28"/>
      <c r="E27" s="29"/>
      <c r="F27" s="28" t="s">
        <v>152</v>
      </c>
      <c r="G27" s="29"/>
      <c r="H27" s="28" t="s">
        <v>165</v>
      </c>
      <c r="I27" s="29"/>
      <c r="J27" s="28"/>
      <c r="K27" s="138"/>
      <c r="L27" s="138"/>
      <c r="M27" s="27"/>
      <c r="N27" s="124"/>
    </row>
    <row r="28" spans="1:14" ht="15.75">
      <c r="A28" s="26"/>
      <c r="B28" s="27"/>
      <c r="C28" s="27"/>
      <c r="D28" s="27"/>
      <c r="E28" s="29"/>
      <c r="F28" s="29"/>
      <c r="G28" s="29"/>
      <c r="H28" s="29"/>
      <c r="I28" s="29"/>
      <c r="J28" s="29"/>
      <c r="K28" s="138"/>
      <c r="L28" s="138"/>
      <c r="M28" s="27"/>
      <c r="N28" s="124"/>
    </row>
    <row r="29" spans="1:14" ht="15.75">
      <c r="A29" s="26"/>
      <c r="B29" s="27" t="s">
        <v>16</v>
      </c>
      <c r="C29" s="27"/>
      <c r="D29" s="34"/>
      <c r="E29" s="35"/>
      <c r="F29" s="34">
        <v>166500</v>
      </c>
      <c r="G29" s="34"/>
      <c r="H29" s="34">
        <v>18500</v>
      </c>
      <c r="I29" s="34"/>
      <c r="J29" s="34"/>
      <c r="K29" s="139"/>
      <c r="L29" s="34">
        <f>H29+F29</f>
        <v>185000</v>
      </c>
      <c r="M29" s="37"/>
      <c r="N29" s="124"/>
    </row>
    <row r="30" spans="1:14" ht="15.75">
      <c r="A30" s="26"/>
      <c r="B30" s="27" t="s">
        <v>17</v>
      </c>
      <c r="C30" s="38">
        <v>0.505112</v>
      </c>
      <c r="D30" s="160">
        <v>1</v>
      </c>
      <c r="E30" s="35"/>
      <c r="F30" s="34">
        <f>166500*C30</f>
        <v>84101.148</v>
      </c>
      <c r="G30" s="34"/>
      <c r="H30" s="34">
        <v>18500</v>
      </c>
      <c r="I30" s="34"/>
      <c r="J30" s="34"/>
      <c r="K30" s="139"/>
      <c r="L30" s="34">
        <f>H30+F30</f>
        <v>102601.148</v>
      </c>
      <c r="M30" s="37"/>
      <c r="N30" s="124"/>
    </row>
    <row r="31" spans="1:14" ht="12.75" customHeight="1">
      <c r="A31" s="31"/>
      <c r="B31" s="32" t="s">
        <v>18</v>
      </c>
      <c r="C31" s="39">
        <v>0</v>
      </c>
      <c r="D31" s="161">
        <v>0</v>
      </c>
      <c r="E31" s="41"/>
      <c r="F31" s="40">
        <f>166500*C31*1</f>
        <v>0</v>
      </c>
      <c r="G31" s="40"/>
      <c r="H31" s="40">
        <v>0</v>
      </c>
      <c r="I31" s="40"/>
      <c r="J31" s="40"/>
      <c r="K31" s="42"/>
      <c r="L31" s="40">
        <f>H31+F31+D31</f>
        <v>0</v>
      </c>
      <c r="M31" s="37"/>
      <c r="N31" s="124"/>
    </row>
    <row r="32" spans="1:14" ht="15.75">
      <c r="A32" s="26"/>
      <c r="B32" s="27" t="s">
        <v>19</v>
      </c>
      <c r="C32" s="43"/>
      <c r="D32" s="28"/>
      <c r="E32" s="27"/>
      <c r="F32" s="28" t="s">
        <v>153</v>
      </c>
      <c r="G32" s="28"/>
      <c r="H32" s="28" t="s">
        <v>166</v>
      </c>
      <c r="I32" s="28"/>
      <c r="J32" s="28"/>
      <c r="K32" s="138"/>
      <c r="L32" s="138"/>
      <c r="M32" s="27"/>
      <c r="N32" s="124"/>
    </row>
    <row r="33" spans="1:14" ht="15.75">
      <c r="A33" s="26"/>
      <c r="B33" s="27" t="s">
        <v>20</v>
      </c>
      <c r="C33" s="27"/>
      <c r="D33" s="44"/>
      <c r="E33" s="27"/>
      <c r="F33" s="44">
        <v>0.0512375</v>
      </c>
      <c r="G33" s="45"/>
      <c r="H33" s="44">
        <v>0.0569875</v>
      </c>
      <c r="I33" s="45"/>
      <c r="J33" s="44"/>
      <c r="K33" s="138"/>
      <c r="L33" s="45">
        <f>SUMPRODUCT(F33:H33,F30:H30)/L30</f>
        <v>0.052274281771681544</v>
      </c>
      <c r="M33" s="27"/>
      <c r="N33" s="124"/>
    </row>
    <row r="34" spans="1:14" ht="15.75">
      <c r="A34" s="26"/>
      <c r="B34" s="27" t="s">
        <v>21</v>
      </c>
      <c r="C34" s="27"/>
      <c r="D34" s="44"/>
      <c r="E34" s="27"/>
      <c r="F34" s="44">
        <v>0.0457125</v>
      </c>
      <c r="G34" s="45"/>
      <c r="H34" s="44">
        <v>0.0514625</v>
      </c>
      <c r="I34" s="45"/>
      <c r="J34" s="44"/>
      <c r="K34" s="138"/>
      <c r="L34" s="138"/>
      <c r="M34" s="27"/>
      <c r="N34" s="124"/>
    </row>
    <row r="35" spans="1:14" ht="15.75">
      <c r="A35" s="26"/>
      <c r="B35" s="27" t="s">
        <v>22</v>
      </c>
      <c r="C35" s="27"/>
      <c r="D35" s="28"/>
      <c r="E35" s="27"/>
      <c r="F35" s="28" t="s">
        <v>155</v>
      </c>
      <c r="G35" s="28"/>
      <c r="H35" s="28" t="s">
        <v>155</v>
      </c>
      <c r="I35" s="28"/>
      <c r="J35" s="28"/>
      <c r="K35" s="138"/>
      <c r="L35" s="138"/>
      <c r="M35" s="27"/>
      <c r="N35" s="124"/>
    </row>
    <row r="36" spans="1:14" ht="15.75">
      <c r="A36" s="26"/>
      <c r="B36" s="27" t="s">
        <v>23</v>
      </c>
      <c r="C36" s="27"/>
      <c r="D36" s="28"/>
      <c r="E36" s="27"/>
      <c r="F36" s="28" t="s">
        <v>156</v>
      </c>
      <c r="G36" s="28"/>
      <c r="H36" s="28" t="s">
        <v>156</v>
      </c>
      <c r="I36" s="28"/>
      <c r="J36" s="28"/>
      <c r="K36" s="138"/>
      <c r="L36" s="138"/>
      <c r="M36" s="27"/>
      <c r="N36" s="124"/>
    </row>
    <row r="37" spans="1:14" ht="15.75">
      <c r="A37" s="26"/>
      <c r="B37" s="27" t="s">
        <v>24</v>
      </c>
      <c r="C37" s="27"/>
      <c r="D37" s="28"/>
      <c r="E37" s="27"/>
      <c r="F37" s="28" t="s">
        <v>157</v>
      </c>
      <c r="G37" s="28"/>
      <c r="H37" s="28" t="s">
        <v>167</v>
      </c>
      <c r="I37" s="28"/>
      <c r="J37" s="28"/>
      <c r="K37" s="138"/>
      <c r="L37" s="138"/>
      <c r="M37" s="27"/>
      <c r="N37" s="124"/>
    </row>
    <row r="38" spans="1:14" ht="15.75">
      <c r="A38" s="26"/>
      <c r="B38" s="27"/>
      <c r="C38" s="27"/>
      <c r="D38" s="46"/>
      <c r="E38" s="46"/>
      <c r="F38" s="27"/>
      <c r="G38" s="46"/>
      <c r="H38" s="128"/>
      <c r="I38" s="46"/>
      <c r="J38" s="46"/>
      <c r="K38" s="46"/>
      <c r="L38" s="46"/>
      <c r="M38" s="27"/>
      <c r="N38" s="124"/>
    </row>
    <row r="39" spans="1:14" ht="15.75">
      <c r="A39" s="26"/>
      <c r="B39" s="27" t="s">
        <v>25</v>
      </c>
      <c r="C39" s="27"/>
      <c r="D39" s="27"/>
      <c r="E39" s="27"/>
      <c r="F39" s="27"/>
      <c r="G39" s="27"/>
      <c r="H39" s="127"/>
      <c r="I39" s="27"/>
      <c r="J39" s="27"/>
      <c r="K39" s="27"/>
      <c r="L39" s="45">
        <f>H29/F29</f>
        <v>0.1111111111111111</v>
      </c>
      <c r="M39" s="27"/>
      <c r="N39" s="124"/>
    </row>
    <row r="40" spans="1:14" ht="15.75">
      <c r="A40" s="26"/>
      <c r="B40" s="27" t="s">
        <v>26</v>
      </c>
      <c r="C40" s="27"/>
      <c r="D40" s="27"/>
      <c r="E40" s="27"/>
      <c r="F40" s="27"/>
      <c r="G40" s="27"/>
      <c r="H40" s="127"/>
      <c r="I40" s="27"/>
      <c r="J40" s="27"/>
      <c r="K40" s="27"/>
      <c r="L40" s="45">
        <v>0</v>
      </c>
      <c r="M40" s="27"/>
      <c r="N40" s="124"/>
    </row>
    <row r="41" spans="1:14" ht="15.75">
      <c r="A41" s="26"/>
      <c r="B41" s="27" t="s">
        <v>27</v>
      </c>
      <c r="C41" s="27"/>
      <c r="D41" s="27"/>
      <c r="E41" s="27"/>
      <c r="F41" s="1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38245</v>
      </c>
      <c r="M44" s="27"/>
      <c r="N44" s="124"/>
    </row>
    <row r="45" spans="1:14" ht="15.75">
      <c r="A45" s="26"/>
      <c r="B45" s="27" t="s">
        <v>30</v>
      </c>
      <c r="C45" s="27"/>
      <c r="D45" s="27"/>
      <c r="E45" s="27"/>
      <c r="F45" s="27"/>
      <c r="G45" s="27"/>
      <c r="H45" s="27"/>
      <c r="I45" s="27">
        <f>L45-J45+1</f>
        <v>92</v>
      </c>
      <c r="J45" s="50">
        <v>38061</v>
      </c>
      <c r="K45" s="51"/>
      <c r="L45" s="50">
        <v>38152</v>
      </c>
      <c r="M45" s="27"/>
      <c r="N45" s="124"/>
    </row>
    <row r="46" spans="1:14" ht="15.75">
      <c r="A46" s="26"/>
      <c r="B46" s="27" t="s">
        <v>31</v>
      </c>
      <c r="C46" s="27"/>
      <c r="D46" s="27"/>
      <c r="E46" s="27"/>
      <c r="F46" s="27"/>
      <c r="G46" s="27"/>
      <c r="H46" s="27"/>
      <c r="I46" s="27">
        <f>L46-J46+1</f>
        <v>92</v>
      </c>
      <c r="J46" s="50">
        <v>38153</v>
      </c>
      <c r="K46" s="51"/>
      <c r="L46" s="50">
        <v>38244</v>
      </c>
      <c r="M46" s="27"/>
      <c r="N46" s="124"/>
    </row>
    <row r="47" spans="1:14" ht="15.75">
      <c r="A47" s="26"/>
      <c r="B47" s="27" t="s">
        <v>32</v>
      </c>
      <c r="C47" s="27"/>
      <c r="D47" s="27"/>
      <c r="E47" s="27"/>
      <c r="F47" s="27"/>
      <c r="G47" s="27"/>
      <c r="H47" s="27"/>
      <c r="I47" s="27"/>
      <c r="J47" s="50"/>
      <c r="K47" s="51"/>
      <c r="L47" s="50" t="s">
        <v>185</v>
      </c>
      <c r="M47" s="27"/>
      <c r="N47" s="124"/>
    </row>
    <row r="48" spans="1:14" ht="15.75">
      <c r="A48" s="26"/>
      <c r="B48" s="27" t="s">
        <v>33</v>
      </c>
      <c r="C48" s="27"/>
      <c r="D48" s="27"/>
      <c r="E48" s="27"/>
      <c r="F48" s="27"/>
      <c r="G48" s="27"/>
      <c r="H48" s="27"/>
      <c r="I48" s="27"/>
      <c r="J48" s="50"/>
      <c r="K48" s="51"/>
      <c r="L48" s="50">
        <v>38232</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6.5" thickBot="1">
      <c r="A51" s="129"/>
      <c r="B51" s="136" t="s">
        <v>216</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102601</v>
      </c>
      <c r="E56" s="37"/>
      <c r="F56" s="37">
        <v>102601</v>
      </c>
      <c r="G56" s="37"/>
      <c r="H56" s="37">
        <v>0</v>
      </c>
      <c r="I56" s="37"/>
      <c r="J56" s="37">
        <v>0</v>
      </c>
      <c r="K56" s="37"/>
      <c r="L56" s="58">
        <f>D56-F56+H56-J56</f>
        <v>0</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102601</v>
      </c>
      <c r="E59" s="37"/>
      <c r="F59" s="37">
        <f>SUM(F56:F58)</f>
        <v>102601</v>
      </c>
      <c r="G59" s="37"/>
      <c r="H59" s="37">
        <f>SUM(H56:H58)</f>
        <v>0</v>
      </c>
      <c r="I59" s="37"/>
      <c r="J59" s="37">
        <f>SUM(J56:J58)</f>
        <v>0</v>
      </c>
      <c r="K59" s="37"/>
      <c r="L59" s="59">
        <f>SUM(L56:L58)</f>
        <v>0</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0</v>
      </c>
      <c r="E70" s="37"/>
      <c r="F70" s="37"/>
      <c r="G70" s="37"/>
      <c r="H70" s="37"/>
      <c r="I70" s="37"/>
      <c r="J70" s="37"/>
      <c r="K70" s="37"/>
      <c r="L70" s="59">
        <v>0</v>
      </c>
      <c r="M70" s="27"/>
      <c r="N70" s="124"/>
    </row>
    <row r="71" spans="1:14" ht="15.75">
      <c r="A71" s="26"/>
      <c r="B71" s="27" t="s">
        <v>44</v>
      </c>
      <c r="C71" s="59">
        <f>SUM(C59:C70)</f>
        <v>185000</v>
      </c>
      <c r="D71" s="59">
        <f>SUM(D59:D70)</f>
        <v>102601</v>
      </c>
      <c r="E71" s="37"/>
      <c r="F71" s="59"/>
      <c r="G71" s="37"/>
      <c r="H71" s="59"/>
      <c r="I71" s="37"/>
      <c r="J71" s="59"/>
      <c r="K71" s="37"/>
      <c r="L71" s="59">
        <f>SUM(L59:L70)</f>
        <v>0</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J157</f>
        <v>38230</v>
      </c>
      <c r="E75" s="27"/>
      <c r="F75" s="27"/>
      <c r="G75" s="27"/>
      <c r="H75" s="27"/>
      <c r="I75" s="27"/>
      <c r="J75" s="37">
        <v>102601</v>
      </c>
      <c r="K75" s="27"/>
      <c r="L75" s="58"/>
      <c r="M75" s="27"/>
      <c r="N75" s="124"/>
    </row>
    <row r="76" spans="1:14" ht="15.75">
      <c r="A76" s="26"/>
      <c r="B76" s="27" t="s">
        <v>48</v>
      </c>
      <c r="C76" s="27"/>
      <c r="D76" s="27"/>
      <c r="E76" s="27"/>
      <c r="F76" s="27"/>
      <c r="G76" s="27"/>
      <c r="H76" s="27"/>
      <c r="I76" s="27"/>
      <c r="J76" s="37"/>
      <c r="K76" s="27"/>
      <c r="L76" s="58">
        <f>1478+344-3</f>
        <v>1819</v>
      </c>
      <c r="M76" s="27"/>
      <c r="N76" s="124"/>
    </row>
    <row r="77" spans="1:14" ht="15.75">
      <c r="A77" s="26"/>
      <c r="B77" s="27" t="s">
        <v>217</v>
      </c>
      <c r="C77" s="27"/>
      <c r="D77" s="27"/>
      <c r="E77" s="27"/>
      <c r="F77" s="27"/>
      <c r="G77" s="27"/>
      <c r="H77" s="27"/>
      <c r="I77" s="27"/>
      <c r="J77" s="37"/>
      <c r="K77" s="27"/>
      <c r="L77" s="58">
        <v>4995</v>
      </c>
      <c r="M77" s="27"/>
      <c r="N77" s="124"/>
    </row>
    <row r="78" spans="1:14" ht="15.75">
      <c r="A78" s="26"/>
      <c r="B78" s="27" t="s">
        <v>49</v>
      </c>
      <c r="C78" s="27"/>
      <c r="D78" s="27"/>
      <c r="E78" s="27"/>
      <c r="F78" s="27"/>
      <c r="G78" s="27"/>
      <c r="H78" s="27"/>
      <c r="I78" s="27"/>
      <c r="J78" s="37"/>
      <c r="K78" s="27"/>
      <c r="L78" s="58">
        <v>0</v>
      </c>
      <c r="M78" s="27"/>
      <c r="N78" s="124"/>
    </row>
    <row r="79" spans="1:14" ht="15.75">
      <c r="A79" s="26"/>
      <c r="B79" s="27" t="s">
        <v>50</v>
      </c>
      <c r="C79" s="27"/>
      <c r="D79" s="27"/>
      <c r="E79" s="27"/>
      <c r="F79" s="27"/>
      <c r="G79" s="27"/>
      <c r="H79" s="27"/>
      <c r="I79" s="27"/>
      <c r="J79" s="37">
        <f>SUM(J74:J78)</f>
        <v>102601</v>
      </c>
      <c r="K79" s="27"/>
      <c r="L79" s="59">
        <f>SUM(L74:L78)</f>
        <v>6814</v>
      </c>
      <c r="M79" s="27"/>
      <c r="N79" s="124"/>
    </row>
    <row r="80" spans="1:14" ht="15.75">
      <c r="A80" s="26"/>
      <c r="B80" s="27" t="s">
        <v>51</v>
      </c>
      <c r="C80" s="27"/>
      <c r="D80" s="27"/>
      <c r="E80" s="27"/>
      <c r="F80" s="27"/>
      <c r="G80" s="27"/>
      <c r="H80" s="27"/>
      <c r="I80" s="27"/>
      <c r="J80" s="37">
        <v>0</v>
      </c>
      <c r="K80" s="27"/>
      <c r="L80" s="58">
        <v>0</v>
      </c>
      <c r="M80" s="27"/>
      <c r="N80" s="124"/>
    </row>
    <row r="81" spans="1:14" ht="15.75">
      <c r="A81" s="26"/>
      <c r="B81" s="27" t="s">
        <v>52</v>
      </c>
      <c r="C81" s="27"/>
      <c r="D81" s="27"/>
      <c r="E81" s="27"/>
      <c r="F81" s="27"/>
      <c r="G81" s="27"/>
      <c r="H81" s="27"/>
      <c r="I81" s="27"/>
      <c r="J81" s="37">
        <f>J79+J80</f>
        <v>102601</v>
      </c>
      <c r="K81" s="27"/>
      <c r="L81" s="59">
        <f>L79+L80</f>
        <v>6814</v>
      </c>
      <c r="M81" s="27"/>
      <c r="N81" s="124"/>
    </row>
    <row r="82" spans="1:14" ht="15.75">
      <c r="A82" s="26"/>
      <c r="B82" s="153" t="s">
        <v>53</v>
      </c>
      <c r="C82" s="65"/>
      <c r="D82" s="27"/>
      <c r="E82" s="27"/>
      <c r="F82" s="27"/>
      <c r="G82" s="27"/>
      <c r="H82" s="27"/>
      <c r="I82" s="27"/>
      <c r="J82" s="37"/>
      <c r="K82" s="27"/>
      <c r="L82" s="58"/>
      <c r="M82" s="27"/>
      <c r="N82" s="124"/>
    </row>
    <row r="83" spans="1:14" ht="15.75">
      <c r="A83" s="26">
        <v>1</v>
      </c>
      <c r="B83" s="27" t="s">
        <v>54</v>
      </c>
      <c r="C83" s="27"/>
      <c r="D83" s="27"/>
      <c r="E83" s="27"/>
      <c r="F83" s="27"/>
      <c r="G83" s="27"/>
      <c r="H83" s="27"/>
      <c r="I83" s="27"/>
      <c r="J83" s="27"/>
      <c r="K83" s="27"/>
      <c r="L83" s="58">
        <v>0</v>
      </c>
      <c r="M83" s="27"/>
      <c r="N83" s="124"/>
    </row>
    <row r="84" spans="1:14" ht="15.75">
      <c r="A84" s="26">
        <v>2</v>
      </c>
      <c r="B84" s="27" t="s">
        <v>55</v>
      </c>
      <c r="C84" s="27"/>
      <c r="D84" s="27"/>
      <c r="E84" s="27"/>
      <c r="F84" s="27"/>
      <c r="G84" s="27"/>
      <c r="H84" s="27"/>
      <c r="I84" s="27"/>
      <c r="J84" s="27"/>
      <c r="K84" s="27"/>
      <c r="L84" s="58">
        <v>-4</v>
      </c>
      <c r="M84" s="27"/>
      <c r="N84" s="124"/>
    </row>
    <row r="85" spans="1:14" ht="15.75">
      <c r="A85" s="26">
        <v>3</v>
      </c>
      <c r="B85" s="27" t="s">
        <v>56</v>
      </c>
      <c r="C85" s="27"/>
      <c r="D85" s="27"/>
      <c r="E85" s="27"/>
      <c r="F85" s="27"/>
      <c r="G85" s="27"/>
      <c r="H85" s="27"/>
      <c r="I85" s="27"/>
      <c r="J85" s="27"/>
      <c r="K85" s="27"/>
      <c r="L85" s="58">
        <f>-78-7</f>
        <v>-85</v>
      </c>
      <c r="M85" s="27"/>
      <c r="N85" s="124"/>
    </row>
    <row r="86" spans="1:14" ht="15.75">
      <c r="A86" s="26">
        <v>4</v>
      </c>
      <c r="B86" s="27" t="s">
        <v>57</v>
      </c>
      <c r="C86" s="27"/>
      <c r="D86" s="27"/>
      <c r="E86" s="27"/>
      <c r="F86" s="27"/>
      <c r="G86" s="27"/>
      <c r="H86" s="27"/>
      <c r="I86" s="27"/>
      <c r="J86" s="27"/>
      <c r="K86" s="27"/>
      <c r="L86" s="58">
        <v>-68</v>
      </c>
      <c r="M86" s="27"/>
      <c r="N86" s="124"/>
    </row>
    <row r="87" spans="1:14" ht="15.75">
      <c r="A87" s="26">
        <v>5</v>
      </c>
      <c r="B87" s="27" t="s">
        <v>58</v>
      </c>
      <c r="C87" s="27"/>
      <c r="D87" s="27"/>
      <c r="E87" s="27"/>
      <c r="F87" s="27"/>
      <c r="G87" s="27"/>
      <c r="H87" s="27"/>
      <c r="I87" s="27"/>
      <c r="J87" s="27"/>
      <c r="K87" s="27"/>
      <c r="L87" s="58">
        <v>-1083</v>
      </c>
      <c r="M87" s="27"/>
      <c r="N87" s="124"/>
    </row>
    <row r="88" spans="1:14" ht="15.75">
      <c r="A88" s="26">
        <v>6</v>
      </c>
      <c r="B88" s="27" t="s">
        <v>59</v>
      </c>
      <c r="C88" s="27"/>
      <c r="D88" s="27"/>
      <c r="E88" s="27"/>
      <c r="F88" s="27"/>
      <c r="G88" s="27"/>
      <c r="H88" s="27"/>
      <c r="I88" s="27"/>
      <c r="J88" s="27"/>
      <c r="K88" s="27"/>
      <c r="L88" s="58">
        <v>-265</v>
      </c>
      <c r="M88" s="27"/>
      <c r="N88" s="124"/>
    </row>
    <row r="89" spans="1:14" ht="15.75">
      <c r="A89" s="26">
        <v>7</v>
      </c>
      <c r="B89" s="27" t="s">
        <v>60</v>
      </c>
      <c r="C89" s="27"/>
      <c r="D89" s="27"/>
      <c r="E89" s="27"/>
      <c r="F89" s="27"/>
      <c r="G89" s="27"/>
      <c r="H89" s="27"/>
      <c r="I89" s="27"/>
      <c r="J89" s="27"/>
      <c r="K89" s="27"/>
      <c r="L89" s="58">
        <v>-5</v>
      </c>
      <c r="M89" s="27"/>
      <c r="N89" s="124"/>
    </row>
    <row r="90" spans="1:14" ht="15.75">
      <c r="A90" s="26">
        <v>8</v>
      </c>
      <c r="B90" s="27" t="s">
        <v>61</v>
      </c>
      <c r="C90" s="27"/>
      <c r="D90" s="27"/>
      <c r="E90" s="27"/>
      <c r="F90" s="27"/>
      <c r="G90" s="27"/>
      <c r="H90" s="27"/>
      <c r="I90" s="27"/>
      <c r="J90" s="27"/>
      <c r="K90" s="27"/>
      <c r="L90" s="58">
        <v>0</v>
      </c>
      <c r="M90" s="27"/>
      <c r="N90" s="124"/>
    </row>
    <row r="91" spans="1:14" ht="15.75">
      <c r="A91" s="26">
        <v>9</v>
      </c>
      <c r="B91" s="27" t="s">
        <v>62</v>
      </c>
      <c r="C91" s="27"/>
      <c r="D91" s="27"/>
      <c r="E91" s="27"/>
      <c r="F91" s="27"/>
      <c r="G91" s="27"/>
      <c r="H91" s="27"/>
      <c r="I91" s="27"/>
      <c r="J91" s="27"/>
      <c r="K91" s="27"/>
      <c r="L91" s="58">
        <v>0</v>
      </c>
      <c r="M91" s="27"/>
      <c r="N91" s="124"/>
    </row>
    <row r="92" spans="1:14" ht="15.75">
      <c r="A92" s="26">
        <v>10</v>
      </c>
      <c r="B92" s="27" t="s">
        <v>63</v>
      </c>
      <c r="C92" s="27"/>
      <c r="D92" s="27"/>
      <c r="E92" s="27"/>
      <c r="F92" s="27"/>
      <c r="G92" s="27"/>
      <c r="H92" s="27"/>
      <c r="I92" s="27"/>
      <c r="J92" s="27"/>
      <c r="K92" s="27"/>
      <c r="L92" s="58">
        <v>0</v>
      </c>
      <c r="M92" s="27"/>
      <c r="N92" s="124"/>
    </row>
    <row r="93" spans="1:14" ht="15.75">
      <c r="A93" s="26">
        <v>11</v>
      </c>
      <c r="B93" s="27" t="s">
        <v>64</v>
      </c>
      <c r="C93" s="27"/>
      <c r="D93" s="27"/>
      <c r="E93" s="27"/>
      <c r="F93" s="27"/>
      <c r="G93" s="27"/>
      <c r="H93" s="27"/>
      <c r="I93" s="27"/>
      <c r="J93" s="27"/>
      <c r="K93" s="27"/>
      <c r="L93" s="58">
        <v>0</v>
      </c>
      <c r="M93" s="27"/>
      <c r="N93" s="124"/>
    </row>
    <row r="94" spans="1:14" ht="15.75">
      <c r="A94" s="26">
        <v>12</v>
      </c>
      <c r="B94" s="27" t="s">
        <v>65</v>
      </c>
      <c r="C94" s="27"/>
      <c r="D94" s="27"/>
      <c r="E94" s="27"/>
      <c r="F94" s="27"/>
      <c r="G94" s="27"/>
      <c r="H94" s="27"/>
      <c r="I94" s="27"/>
      <c r="J94" s="27"/>
      <c r="K94" s="27"/>
      <c r="L94" s="58">
        <v>0</v>
      </c>
      <c r="M94" s="27"/>
      <c r="N94" s="124"/>
    </row>
    <row r="95" spans="1:14" ht="15.75">
      <c r="A95" s="26">
        <v>13</v>
      </c>
      <c r="B95" s="27" t="s">
        <v>66</v>
      </c>
      <c r="C95" s="27"/>
      <c r="D95" s="27"/>
      <c r="E95" s="27"/>
      <c r="F95" s="27"/>
      <c r="G95" s="27"/>
      <c r="H95" s="27"/>
      <c r="I95" s="27"/>
      <c r="J95" s="27"/>
      <c r="K95" s="27"/>
      <c r="L95" s="58">
        <f>-SUM(L81:L94)</f>
        <v>-5304</v>
      </c>
      <c r="M95" s="27"/>
      <c r="N95" s="124"/>
    </row>
    <row r="96" spans="1:14" ht="15.75">
      <c r="A96" s="26"/>
      <c r="B96" s="153" t="s">
        <v>67</v>
      </c>
      <c r="C96" s="65"/>
      <c r="D96" s="27"/>
      <c r="E96" s="27"/>
      <c r="F96" s="27"/>
      <c r="G96" s="27"/>
      <c r="H96" s="27"/>
      <c r="I96" s="27"/>
      <c r="J96" s="27"/>
      <c r="K96" s="27"/>
      <c r="L96" s="66"/>
      <c r="M96" s="27"/>
      <c r="N96" s="124"/>
    </row>
    <row r="97" spans="1:14" ht="15.75">
      <c r="A97" s="26"/>
      <c r="B97" s="27" t="s">
        <v>68</v>
      </c>
      <c r="C97" s="65"/>
      <c r="D97" s="27"/>
      <c r="E97" s="27"/>
      <c r="F97" s="27"/>
      <c r="G97" s="27"/>
      <c r="H97" s="27"/>
      <c r="I97" s="27"/>
      <c r="J97" s="37">
        <f>-J143</f>
        <v>0</v>
      </c>
      <c r="K97" s="37"/>
      <c r="L97" s="58"/>
      <c r="M97" s="27"/>
      <c r="N97" s="124"/>
    </row>
    <row r="98" spans="1:14" ht="15.75">
      <c r="A98" s="26"/>
      <c r="B98" s="27" t="s">
        <v>69</v>
      </c>
      <c r="C98" s="27"/>
      <c r="D98" s="27"/>
      <c r="E98" s="27"/>
      <c r="F98" s="27"/>
      <c r="G98" s="27"/>
      <c r="H98" s="27"/>
      <c r="I98" s="27"/>
      <c r="J98" s="37">
        <f>-H143</f>
        <v>0</v>
      </c>
      <c r="K98" s="37"/>
      <c r="L98" s="58"/>
      <c r="M98" s="27"/>
      <c r="N98" s="124"/>
    </row>
    <row r="99" spans="1:14" ht="15.75">
      <c r="A99" s="26"/>
      <c r="B99" s="27" t="s">
        <v>70</v>
      </c>
      <c r="C99" s="27"/>
      <c r="D99" s="27"/>
      <c r="E99" s="27"/>
      <c r="F99" s="27"/>
      <c r="G99" s="27"/>
      <c r="H99" s="27"/>
      <c r="I99" s="27"/>
      <c r="J99" s="37">
        <v>-84101</v>
      </c>
      <c r="K99" s="37"/>
      <c r="L99" s="58"/>
      <c r="M99" s="27"/>
      <c r="N99" s="124"/>
    </row>
    <row r="100" spans="1:14" ht="15.75">
      <c r="A100" s="26"/>
      <c r="B100" s="27" t="s">
        <v>71</v>
      </c>
      <c r="C100" s="27"/>
      <c r="D100" s="27"/>
      <c r="E100" s="27"/>
      <c r="F100" s="27"/>
      <c r="G100" s="27"/>
      <c r="H100" s="27"/>
      <c r="I100" s="27"/>
      <c r="J100" s="37">
        <v>-18500</v>
      </c>
      <c r="K100" s="37"/>
      <c r="L100" s="58"/>
      <c r="M100" s="27"/>
      <c r="N100" s="124"/>
    </row>
    <row r="101" spans="1:14" ht="15.75">
      <c r="A101" s="26"/>
      <c r="B101" s="27" t="s">
        <v>72</v>
      </c>
      <c r="C101" s="27"/>
      <c r="D101" s="27"/>
      <c r="E101" s="27"/>
      <c r="F101" s="27"/>
      <c r="G101" s="27"/>
      <c r="H101" s="27"/>
      <c r="I101" s="27"/>
      <c r="J101" s="37">
        <f>SUM(J82:J100)</f>
        <v>-102601</v>
      </c>
      <c r="K101" s="37"/>
      <c r="L101" s="37">
        <f>SUM(L82:L100)</f>
        <v>-6814</v>
      </c>
      <c r="M101" s="27"/>
      <c r="N101" s="124"/>
    </row>
    <row r="102" spans="1:14" ht="15.75">
      <c r="A102" s="26"/>
      <c r="B102" s="27" t="s">
        <v>73</v>
      </c>
      <c r="C102" s="27"/>
      <c r="D102" s="27"/>
      <c r="E102" s="27"/>
      <c r="F102" s="27"/>
      <c r="G102" s="27"/>
      <c r="H102" s="27"/>
      <c r="I102" s="27"/>
      <c r="J102" s="37">
        <f>J81+J101</f>
        <v>0</v>
      </c>
      <c r="K102" s="37"/>
      <c r="L102" s="37">
        <f>L81+L101</f>
        <v>0</v>
      </c>
      <c r="M102" s="27"/>
      <c r="N102" s="124"/>
    </row>
    <row r="103" spans="1:14" ht="12.75" customHeight="1">
      <c r="A103" s="26"/>
      <c r="B103" s="27"/>
      <c r="C103" s="27"/>
      <c r="D103" s="27"/>
      <c r="E103" s="27"/>
      <c r="F103" s="27"/>
      <c r="G103" s="27"/>
      <c r="H103" s="27"/>
      <c r="I103" s="27"/>
      <c r="J103" s="37"/>
      <c r="K103" s="37"/>
      <c r="L103" s="37"/>
      <c r="M103" s="27"/>
      <c r="N103" s="124"/>
    </row>
    <row r="104" spans="1:14" ht="7.5" customHeight="1">
      <c r="A104" s="8"/>
      <c r="B104" s="10"/>
      <c r="C104" s="10"/>
      <c r="D104" s="10"/>
      <c r="E104" s="10"/>
      <c r="F104" s="10"/>
      <c r="G104" s="10"/>
      <c r="H104" s="10"/>
      <c r="I104" s="10"/>
      <c r="J104" s="10"/>
      <c r="K104" s="10"/>
      <c r="L104" s="57"/>
      <c r="M104" s="10"/>
      <c r="N104" s="124"/>
    </row>
    <row r="105" spans="1:14" ht="18" customHeight="1" thickBot="1">
      <c r="A105" s="129"/>
      <c r="B105" s="136" t="str">
        <f>B51</f>
        <v>PM2 INVESTOR REPORT QUARTER ENDING AUGUST 2004</v>
      </c>
      <c r="C105" s="131"/>
      <c r="D105" s="131"/>
      <c r="E105" s="131"/>
      <c r="F105" s="131"/>
      <c r="G105" s="131"/>
      <c r="H105" s="131"/>
      <c r="I105" s="131"/>
      <c r="J105" s="131"/>
      <c r="K105" s="131"/>
      <c r="L105" s="135"/>
      <c r="M105" s="134"/>
      <c r="N105" s="124"/>
    </row>
    <row r="106" spans="1:14" ht="12" customHeight="1">
      <c r="A106" s="2"/>
      <c r="B106" s="5"/>
      <c r="C106" s="5"/>
      <c r="D106" s="5"/>
      <c r="E106" s="5"/>
      <c r="F106" s="5"/>
      <c r="G106" s="5"/>
      <c r="H106" s="5"/>
      <c r="I106" s="5"/>
      <c r="J106" s="5"/>
      <c r="K106" s="5"/>
      <c r="L106" s="67"/>
      <c r="M106" s="5"/>
      <c r="N106" s="124"/>
    </row>
    <row r="107" spans="1:14" ht="15.75">
      <c r="A107" s="8"/>
      <c r="B107" s="56" t="s">
        <v>74</v>
      </c>
      <c r="C107" s="16"/>
      <c r="D107" s="10"/>
      <c r="E107" s="10"/>
      <c r="F107" s="10"/>
      <c r="G107" s="10"/>
      <c r="H107" s="10"/>
      <c r="I107" s="10"/>
      <c r="J107" s="10"/>
      <c r="K107" s="10"/>
      <c r="L107" s="57"/>
      <c r="M107" s="10"/>
      <c r="N107" s="124"/>
    </row>
    <row r="108" spans="1:14" ht="15.75">
      <c r="A108" s="8"/>
      <c r="B108" s="22"/>
      <c r="C108" s="16"/>
      <c r="D108" s="10"/>
      <c r="E108" s="10"/>
      <c r="F108" s="10"/>
      <c r="G108" s="10"/>
      <c r="H108" s="10"/>
      <c r="I108" s="10"/>
      <c r="J108" s="10"/>
      <c r="K108" s="10"/>
      <c r="L108" s="57"/>
      <c r="M108" s="10"/>
      <c r="N108" s="124"/>
    </row>
    <row r="109" spans="1:14" ht="15.75">
      <c r="A109" s="8"/>
      <c r="B109" s="154" t="s">
        <v>75</v>
      </c>
      <c r="C109" s="16"/>
      <c r="D109" s="10"/>
      <c r="E109" s="10"/>
      <c r="F109" s="10"/>
      <c r="G109" s="10"/>
      <c r="H109" s="10"/>
      <c r="I109" s="10"/>
      <c r="J109" s="10"/>
      <c r="K109" s="10"/>
      <c r="L109" s="57"/>
      <c r="M109" s="10"/>
      <c r="N109" s="124"/>
    </row>
    <row r="110" spans="1:14" ht="15.75">
      <c r="A110" s="26"/>
      <c r="B110" s="27" t="s">
        <v>76</v>
      </c>
      <c r="C110" s="27"/>
      <c r="D110" s="27"/>
      <c r="E110" s="27"/>
      <c r="F110" s="27"/>
      <c r="G110" s="27"/>
      <c r="H110" s="27"/>
      <c r="I110" s="27"/>
      <c r="J110" s="27"/>
      <c r="K110" s="27"/>
      <c r="L110" s="58">
        <v>4995</v>
      </c>
      <c r="M110" s="27"/>
      <c r="N110" s="124"/>
    </row>
    <row r="111" spans="1:14" ht="15.75">
      <c r="A111" s="26"/>
      <c r="B111" s="27" t="s">
        <v>77</v>
      </c>
      <c r="C111" s="27"/>
      <c r="D111" s="27"/>
      <c r="E111" s="27"/>
      <c r="F111" s="27"/>
      <c r="G111" s="27"/>
      <c r="H111" s="27"/>
      <c r="I111" s="27"/>
      <c r="J111" s="27"/>
      <c r="K111" s="27"/>
      <c r="L111" s="58">
        <v>4995</v>
      </c>
      <c r="M111" s="27"/>
      <c r="N111" s="124"/>
    </row>
    <row r="112" spans="1:14" ht="15.75">
      <c r="A112" s="26"/>
      <c r="B112" s="27" t="s">
        <v>78</v>
      </c>
      <c r="C112" s="27"/>
      <c r="D112" s="27"/>
      <c r="E112" s="27"/>
      <c r="F112" s="27"/>
      <c r="G112" s="27"/>
      <c r="H112" s="27"/>
      <c r="I112" s="27"/>
      <c r="J112" s="27"/>
      <c r="K112" s="27"/>
      <c r="L112" s="58">
        <v>0</v>
      </c>
      <c r="M112" s="27"/>
      <c r="N112" s="124"/>
    </row>
    <row r="113" spans="1:14" ht="15.75">
      <c r="A113" s="26"/>
      <c r="B113" s="27" t="s">
        <v>218</v>
      </c>
      <c r="C113" s="27"/>
      <c r="D113" s="27"/>
      <c r="E113" s="27"/>
      <c r="F113" s="27"/>
      <c r="G113" s="27"/>
      <c r="H113" s="27"/>
      <c r="I113" s="27"/>
      <c r="J113" s="27"/>
      <c r="K113" s="27"/>
      <c r="L113" s="58">
        <v>-4995</v>
      </c>
      <c r="M113" s="27"/>
      <c r="N113" s="124"/>
    </row>
    <row r="114" spans="1:14" ht="15.75">
      <c r="A114" s="26"/>
      <c r="B114" s="27" t="s">
        <v>79</v>
      </c>
      <c r="C114" s="27"/>
      <c r="D114" s="27"/>
      <c r="E114" s="27"/>
      <c r="F114" s="27"/>
      <c r="G114" s="27"/>
      <c r="H114" s="27"/>
      <c r="I114" s="27"/>
      <c r="J114" s="27"/>
      <c r="K114" s="27"/>
      <c r="L114" s="58">
        <v>0</v>
      </c>
      <c r="M114" s="27"/>
      <c r="N114" s="124"/>
    </row>
    <row r="115" spans="1:14" ht="15.75">
      <c r="A115" s="26"/>
      <c r="B115" s="27" t="s">
        <v>80</v>
      </c>
      <c r="C115" s="27"/>
      <c r="D115" s="27"/>
      <c r="E115" s="27"/>
      <c r="F115" s="27"/>
      <c r="G115" s="27"/>
      <c r="H115" s="27"/>
      <c r="I115" s="27"/>
      <c r="J115" s="27"/>
      <c r="K115" s="27"/>
      <c r="L115" s="58">
        <v>0</v>
      </c>
      <c r="M115" s="27"/>
      <c r="N115" s="124"/>
    </row>
    <row r="116" spans="1:14" ht="15.75">
      <c r="A116" s="26"/>
      <c r="B116" s="27" t="s">
        <v>58</v>
      </c>
      <c r="C116" s="27"/>
      <c r="D116" s="27"/>
      <c r="E116" s="27"/>
      <c r="F116" s="27"/>
      <c r="G116" s="27"/>
      <c r="H116" s="27"/>
      <c r="I116" s="27"/>
      <c r="J116" s="27"/>
      <c r="K116" s="27"/>
      <c r="L116" s="58">
        <v>0</v>
      </c>
      <c r="M116" s="27"/>
      <c r="N116" s="124"/>
    </row>
    <row r="117" spans="1:14" ht="15.75">
      <c r="A117" s="26"/>
      <c r="B117" s="27" t="s">
        <v>59</v>
      </c>
      <c r="C117" s="27"/>
      <c r="D117" s="27"/>
      <c r="E117" s="27"/>
      <c r="F117" s="27"/>
      <c r="G117" s="27"/>
      <c r="H117" s="27"/>
      <c r="I117" s="27"/>
      <c r="J117" s="27"/>
      <c r="K117" s="27"/>
      <c r="L117" s="58">
        <v>0</v>
      </c>
      <c r="M117" s="27"/>
      <c r="N117" s="124"/>
    </row>
    <row r="118" spans="1:14" ht="15.75">
      <c r="A118" s="26"/>
      <c r="B118" s="27" t="s">
        <v>81</v>
      </c>
      <c r="C118" s="27"/>
      <c r="D118" s="27"/>
      <c r="E118" s="27"/>
      <c r="F118" s="27"/>
      <c r="G118" s="27"/>
      <c r="H118" s="27"/>
      <c r="I118" s="27"/>
      <c r="J118" s="27"/>
      <c r="K118" s="27"/>
      <c r="L118" s="58">
        <f>SUM(L111:L117)</f>
        <v>0</v>
      </c>
      <c r="M118" s="27"/>
      <c r="N118" s="124"/>
    </row>
    <row r="119" spans="1:14" ht="15.75">
      <c r="A119" s="26"/>
      <c r="B119" s="27"/>
      <c r="C119" s="27"/>
      <c r="D119" s="27"/>
      <c r="E119" s="27"/>
      <c r="F119" s="27"/>
      <c r="G119" s="27"/>
      <c r="H119" s="27"/>
      <c r="I119" s="27"/>
      <c r="J119" s="27"/>
      <c r="K119" s="27"/>
      <c r="L119" s="68"/>
      <c r="M119" s="27"/>
      <c r="N119" s="124"/>
    </row>
    <row r="120" spans="1:14" ht="15.75">
      <c r="A120" s="8"/>
      <c r="B120" s="154" t="s">
        <v>82</v>
      </c>
      <c r="C120" s="10"/>
      <c r="D120" s="10"/>
      <c r="E120" s="10"/>
      <c r="F120" s="10"/>
      <c r="G120" s="10"/>
      <c r="H120" s="10"/>
      <c r="I120" s="10"/>
      <c r="J120" s="10"/>
      <c r="K120" s="10"/>
      <c r="L120" s="57"/>
      <c r="M120" s="10"/>
      <c r="N120" s="124"/>
    </row>
    <row r="121" spans="1:14" ht="15.75">
      <c r="A121" s="26"/>
      <c r="B121" s="27" t="s">
        <v>83</v>
      </c>
      <c r="C121" s="27"/>
      <c r="D121" s="69"/>
      <c r="E121" s="27"/>
      <c r="F121" s="27"/>
      <c r="G121" s="27"/>
      <c r="H121" s="27"/>
      <c r="I121" s="27"/>
      <c r="J121" s="27"/>
      <c r="K121" s="27"/>
      <c r="L121" s="70" t="s">
        <v>154</v>
      </c>
      <c r="M121" s="27"/>
      <c r="N121" s="124"/>
    </row>
    <row r="122" spans="1:14" ht="15.75">
      <c r="A122" s="26"/>
      <c r="B122" s="27" t="s">
        <v>84</v>
      </c>
      <c r="C122" s="138"/>
      <c r="D122" s="138"/>
      <c r="E122" s="138"/>
      <c r="F122" s="138"/>
      <c r="G122" s="138"/>
      <c r="H122" s="138"/>
      <c r="I122" s="138"/>
      <c r="J122" s="138"/>
      <c r="K122" s="138"/>
      <c r="L122" s="70" t="s">
        <v>154</v>
      </c>
      <c r="M122" s="27"/>
      <c r="N122" s="124"/>
    </row>
    <row r="123" spans="1:14" ht="15.75">
      <c r="A123" s="26"/>
      <c r="B123" s="27" t="s">
        <v>85</v>
      </c>
      <c r="C123" s="27"/>
      <c r="D123" s="27"/>
      <c r="E123" s="27"/>
      <c r="F123" s="27"/>
      <c r="G123" s="27"/>
      <c r="H123" s="27"/>
      <c r="I123" s="27"/>
      <c r="J123" s="27"/>
      <c r="K123" s="27"/>
      <c r="L123" s="70" t="s">
        <v>154</v>
      </c>
      <c r="M123" s="27"/>
      <c r="N123" s="124"/>
    </row>
    <row r="124" spans="1:14" ht="15.75">
      <c r="A124" s="26"/>
      <c r="B124" s="27" t="s">
        <v>86</v>
      </c>
      <c r="C124" s="27"/>
      <c r="D124" s="27"/>
      <c r="E124" s="27"/>
      <c r="F124" s="27"/>
      <c r="G124" s="27"/>
      <c r="H124" s="27"/>
      <c r="I124" s="27"/>
      <c r="J124" s="27"/>
      <c r="K124" s="27"/>
      <c r="L124" s="70" t="s">
        <v>154</v>
      </c>
      <c r="M124" s="27"/>
      <c r="N124" s="124"/>
    </row>
    <row r="125" spans="1:14" ht="15.75">
      <c r="A125" s="26"/>
      <c r="B125" s="27"/>
      <c r="C125" s="27"/>
      <c r="D125" s="27"/>
      <c r="E125" s="27"/>
      <c r="F125" s="27"/>
      <c r="G125" s="27"/>
      <c r="H125" s="27"/>
      <c r="I125" s="27"/>
      <c r="J125" s="27"/>
      <c r="K125" s="27"/>
      <c r="L125" s="68"/>
      <c r="M125" s="27"/>
      <c r="N125" s="124"/>
    </row>
    <row r="126" spans="1:14" ht="15.75">
      <c r="A126" s="8"/>
      <c r="B126" s="154" t="s">
        <v>87</v>
      </c>
      <c r="C126" s="16"/>
      <c r="D126" s="10"/>
      <c r="E126" s="10"/>
      <c r="F126" s="10"/>
      <c r="G126" s="10"/>
      <c r="H126" s="10"/>
      <c r="I126" s="10"/>
      <c r="J126" s="10"/>
      <c r="K126" s="10"/>
      <c r="L126" s="71"/>
      <c r="M126" s="10"/>
      <c r="N126" s="124"/>
    </row>
    <row r="127" spans="1:14" ht="15.75">
      <c r="A127" s="26"/>
      <c r="B127" s="27" t="s">
        <v>88</v>
      </c>
      <c r="C127" s="27"/>
      <c r="D127" s="27"/>
      <c r="E127" s="27"/>
      <c r="F127" s="27"/>
      <c r="G127" s="27"/>
      <c r="H127" s="27"/>
      <c r="I127" s="27"/>
      <c r="J127" s="27"/>
      <c r="K127" s="27"/>
      <c r="L127" s="58">
        <v>0</v>
      </c>
      <c r="M127" s="27"/>
      <c r="N127" s="124"/>
    </row>
    <row r="128" spans="1:14" ht="15.75">
      <c r="A128" s="26"/>
      <c r="B128" s="27" t="s">
        <v>89</v>
      </c>
      <c r="C128" s="27"/>
      <c r="D128" s="27"/>
      <c r="E128" s="27"/>
      <c r="F128" s="27"/>
      <c r="G128" s="27"/>
      <c r="H128" s="27"/>
      <c r="I128" s="27"/>
      <c r="J128" s="27"/>
      <c r="K128" s="27"/>
      <c r="L128" s="58">
        <v>0</v>
      </c>
      <c r="M128" s="27"/>
      <c r="N128" s="124"/>
    </row>
    <row r="129" spans="1:14" ht="15.75">
      <c r="A129" s="26"/>
      <c r="B129" s="27" t="s">
        <v>90</v>
      </c>
      <c r="C129" s="27"/>
      <c r="D129" s="27"/>
      <c r="E129" s="27"/>
      <c r="F129" s="27"/>
      <c r="G129" s="27"/>
      <c r="H129" s="27"/>
      <c r="I129" s="27"/>
      <c r="J129" s="27"/>
      <c r="K129" s="27"/>
      <c r="L129" s="58">
        <f>L128+L127</f>
        <v>0</v>
      </c>
      <c r="M129" s="27"/>
      <c r="N129" s="124"/>
    </row>
    <row r="130" spans="1:14" ht="15.75">
      <c r="A130" s="26"/>
      <c r="B130" s="27" t="s">
        <v>91</v>
      </c>
      <c r="C130" s="27"/>
      <c r="D130" s="27"/>
      <c r="E130" s="27"/>
      <c r="F130" s="27"/>
      <c r="G130" s="27"/>
      <c r="H130" s="72"/>
      <c r="I130" s="27"/>
      <c r="J130" s="27"/>
      <c r="K130" s="27"/>
      <c r="L130" s="58">
        <v>0</v>
      </c>
      <c r="M130" s="27"/>
      <c r="N130" s="124"/>
    </row>
    <row r="131" spans="1:14" ht="15.75">
      <c r="A131" s="26"/>
      <c r="B131" s="27" t="s">
        <v>92</v>
      </c>
      <c r="C131" s="27"/>
      <c r="D131" s="27"/>
      <c r="E131" s="27"/>
      <c r="F131" s="27"/>
      <c r="G131" s="27"/>
      <c r="H131" s="27"/>
      <c r="I131" s="27"/>
      <c r="J131" s="27"/>
      <c r="K131" s="27"/>
      <c r="L131" s="58">
        <f>L129+L130</f>
        <v>0</v>
      </c>
      <c r="M131" s="27"/>
      <c r="N131" s="124"/>
    </row>
    <row r="132" spans="1:14" ht="7.5" customHeight="1">
      <c r="A132" s="26"/>
      <c r="B132" s="27"/>
      <c r="C132" s="27"/>
      <c r="D132" s="27"/>
      <c r="E132" s="27"/>
      <c r="F132" s="27"/>
      <c r="G132" s="27"/>
      <c r="H132" s="27"/>
      <c r="I132" s="27"/>
      <c r="J132" s="27"/>
      <c r="K132" s="27"/>
      <c r="L132" s="68"/>
      <c r="M132" s="27"/>
      <c r="N132" s="124"/>
    </row>
    <row r="133" spans="1:14" ht="6" customHeight="1">
      <c r="A133" s="2"/>
      <c r="B133" s="5"/>
      <c r="C133" s="5"/>
      <c r="D133" s="5"/>
      <c r="E133" s="5"/>
      <c r="F133" s="5"/>
      <c r="G133" s="5"/>
      <c r="H133" s="5"/>
      <c r="I133" s="5"/>
      <c r="J133" s="5"/>
      <c r="K133" s="5"/>
      <c r="L133" s="67"/>
      <c r="M133" s="5"/>
      <c r="N133" s="124"/>
    </row>
    <row r="134" spans="1:14" ht="15.75">
      <c r="A134" s="8"/>
      <c r="B134" s="154" t="s">
        <v>93</v>
      </c>
      <c r="C134" s="16"/>
      <c r="D134" s="10"/>
      <c r="E134" s="10"/>
      <c r="F134" s="10"/>
      <c r="G134" s="10"/>
      <c r="H134" s="10"/>
      <c r="I134" s="10"/>
      <c r="J134" s="10"/>
      <c r="K134" s="10"/>
      <c r="L134" s="57"/>
      <c r="M134" s="10"/>
      <c r="N134" s="124"/>
    </row>
    <row r="135" spans="1:14" ht="15.75">
      <c r="A135" s="8"/>
      <c r="B135" s="22"/>
      <c r="C135" s="16"/>
      <c r="D135" s="10"/>
      <c r="E135" s="10"/>
      <c r="F135" s="10"/>
      <c r="G135" s="10"/>
      <c r="H135" s="10"/>
      <c r="I135" s="10"/>
      <c r="J135" s="10"/>
      <c r="K135" s="10"/>
      <c r="L135" s="57"/>
      <c r="M135" s="10"/>
      <c r="N135" s="124"/>
    </row>
    <row r="136" spans="1:14" ht="15.75">
      <c r="A136" s="26"/>
      <c r="B136" s="27" t="s">
        <v>94</v>
      </c>
      <c r="C136" s="73"/>
      <c r="D136" s="27"/>
      <c r="E136" s="27"/>
      <c r="F136" s="27"/>
      <c r="G136" s="27"/>
      <c r="H136" s="27"/>
      <c r="I136" s="27"/>
      <c r="J136" s="27"/>
      <c r="K136" s="27"/>
      <c r="L136" s="58">
        <f>L59</f>
        <v>0</v>
      </c>
      <c r="M136" s="27"/>
      <c r="N136" s="124"/>
    </row>
    <row r="137" spans="1:14" ht="15.75">
      <c r="A137" s="26"/>
      <c r="B137" s="27" t="s">
        <v>95</v>
      </c>
      <c r="C137" s="73"/>
      <c r="D137" s="27"/>
      <c r="E137" s="27"/>
      <c r="F137" s="27"/>
      <c r="G137" s="27"/>
      <c r="H137" s="27"/>
      <c r="I137" s="27"/>
      <c r="J137" s="27"/>
      <c r="K137" s="27"/>
      <c r="L137" s="58">
        <f>L71</f>
        <v>0</v>
      </c>
      <c r="M137" s="27"/>
      <c r="N137" s="124"/>
    </row>
    <row r="138" spans="1:14" ht="7.5" customHeight="1">
      <c r="A138" s="26"/>
      <c r="B138" s="27"/>
      <c r="C138" s="27"/>
      <c r="D138" s="27"/>
      <c r="E138" s="27"/>
      <c r="F138" s="27"/>
      <c r="G138" s="27"/>
      <c r="H138" s="27"/>
      <c r="I138" s="27"/>
      <c r="J138" s="27"/>
      <c r="K138" s="27"/>
      <c r="L138" s="68"/>
      <c r="M138" s="27"/>
      <c r="N138" s="124"/>
    </row>
    <row r="139" spans="1:14" ht="15.75">
      <c r="A139" s="2"/>
      <c r="B139" s="5"/>
      <c r="C139" s="5"/>
      <c r="D139" s="5"/>
      <c r="E139" s="5"/>
      <c r="F139" s="5"/>
      <c r="G139" s="5"/>
      <c r="H139" s="5"/>
      <c r="I139" s="5"/>
      <c r="J139" s="5"/>
      <c r="K139" s="5"/>
      <c r="L139" s="67"/>
      <c r="M139" s="5"/>
      <c r="N139" s="124"/>
    </row>
    <row r="140" spans="1:14" ht="15.75">
      <c r="A140" s="8"/>
      <c r="B140" s="154" t="s">
        <v>96</v>
      </c>
      <c r="C140" s="143"/>
      <c r="D140" s="143"/>
      <c r="E140" s="143"/>
      <c r="F140" s="143"/>
      <c r="G140" s="143"/>
      <c r="H140" s="155" t="s">
        <v>169</v>
      </c>
      <c r="I140" s="155"/>
      <c r="J140" s="155" t="s">
        <v>176</v>
      </c>
      <c r="K140" s="143"/>
      <c r="L140" s="156" t="s">
        <v>188</v>
      </c>
      <c r="M140" s="12"/>
      <c r="N140" s="124"/>
    </row>
    <row r="141" spans="1:14" ht="15.75">
      <c r="A141" s="26"/>
      <c r="B141" s="27" t="s">
        <v>97</v>
      </c>
      <c r="C141" s="27"/>
      <c r="D141" s="27"/>
      <c r="E141" s="27"/>
      <c r="F141" s="27"/>
      <c r="G141" s="27"/>
      <c r="H141" s="58">
        <v>20000</v>
      </c>
      <c r="I141" s="27"/>
      <c r="J141" s="46"/>
      <c r="K141" s="27"/>
      <c r="L141" s="58"/>
      <c r="M141" s="27"/>
      <c r="N141" s="124"/>
    </row>
    <row r="142" spans="1:14" ht="15.75">
      <c r="A142" s="26"/>
      <c r="B142" s="27" t="s">
        <v>98</v>
      </c>
      <c r="C142" s="27"/>
      <c r="D142" s="27"/>
      <c r="E142" s="27"/>
      <c r="F142" s="27"/>
      <c r="G142" s="27"/>
      <c r="H142" s="58">
        <v>19434</v>
      </c>
      <c r="I142" s="27"/>
      <c r="J142" s="58">
        <v>566</v>
      </c>
      <c r="K142" s="27"/>
      <c r="L142" s="58">
        <f>J142+H142</f>
        <v>20000</v>
      </c>
      <c r="M142" s="27"/>
      <c r="N142" s="124"/>
    </row>
    <row r="143" spans="1:14" ht="15.75">
      <c r="A143" s="26"/>
      <c r="B143" s="27" t="s">
        <v>99</v>
      </c>
      <c r="C143" s="27"/>
      <c r="D143" s="27"/>
      <c r="E143" s="27"/>
      <c r="F143" s="27"/>
      <c r="G143" s="27"/>
      <c r="H143" s="58">
        <v>0</v>
      </c>
      <c r="I143" s="27"/>
      <c r="J143" s="58">
        <v>0</v>
      </c>
      <c r="K143" s="27"/>
      <c r="L143" s="58">
        <f>J143+H143</f>
        <v>0</v>
      </c>
      <c r="M143" s="27"/>
      <c r="N143" s="124"/>
    </row>
    <row r="144" spans="1:14" ht="15.75">
      <c r="A144" s="26"/>
      <c r="B144" s="27" t="s">
        <v>100</v>
      </c>
      <c r="C144" s="27"/>
      <c r="D144" s="27"/>
      <c r="E144" s="27"/>
      <c r="F144" s="27"/>
      <c r="G144" s="27"/>
      <c r="H144" s="58">
        <f>H142+H143</f>
        <v>19434</v>
      </c>
      <c r="I144" s="27"/>
      <c r="J144" s="58">
        <f>J143+J142</f>
        <v>566</v>
      </c>
      <c r="K144" s="27"/>
      <c r="L144" s="58">
        <f>J144+H144</f>
        <v>20000</v>
      </c>
      <c r="M144" s="27"/>
      <c r="N144" s="124"/>
    </row>
    <row r="145" spans="1:14" ht="15.75">
      <c r="A145" s="26"/>
      <c r="B145" s="27" t="s">
        <v>101</v>
      </c>
      <c r="C145" s="27"/>
      <c r="D145" s="27"/>
      <c r="E145" s="27"/>
      <c r="F145" s="27"/>
      <c r="G145" s="27"/>
      <c r="H145" s="58">
        <f>H141-H144-J144</f>
        <v>0</v>
      </c>
      <c r="I145" s="27"/>
      <c r="J145" s="46"/>
      <c r="K145" s="27"/>
      <c r="L145" s="58"/>
      <c r="M145" s="27"/>
      <c r="N145" s="124"/>
    </row>
    <row r="146" spans="1:14" ht="7.5" customHeight="1">
      <c r="A146" s="26"/>
      <c r="B146" s="27"/>
      <c r="C146" s="27"/>
      <c r="D146" s="27"/>
      <c r="E146" s="27"/>
      <c r="F146" s="27"/>
      <c r="G146" s="27"/>
      <c r="H146" s="27"/>
      <c r="I146" s="27"/>
      <c r="J146" s="27"/>
      <c r="K146" s="27"/>
      <c r="L146" s="68"/>
      <c r="M146" s="27"/>
      <c r="N146" s="124"/>
    </row>
    <row r="147" spans="1:14" ht="9" customHeight="1">
      <c r="A147" s="2"/>
      <c r="B147" s="5"/>
      <c r="C147" s="5"/>
      <c r="D147" s="5"/>
      <c r="E147" s="5"/>
      <c r="F147" s="5"/>
      <c r="G147" s="5"/>
      <c r="H147" s="5"/>
      <c r="I147" s="5"/>
      <c r="J147" s="5"/>
      <c r="K147" s="5"/>
      <c r="L147" s="67"/>
      <c r="M147" s="5"/>
      <c r="N147" s="124"/>
    </row>
    <row r="148" spans="1:14" ht="15.75">
      <c r="A148" s="8"/>
      <c r="B148" s="154" t="s">
        <v>102</v>
      </c>
      <c r="C148" s="16"/>
      <c r="D148" s="10"/>
      <c r="E148" s="10"/>
      <c r="F148" s="10"/>
      <c r="G148" s="10"/>
      <c r="H148" s="10"/>
      <c r="I148" s="10"/>
      <c r="J148" s="10"/>
      <c r="K148" s="10"/>
      <c r="L148" s="74"/>
      <c r="M148" s="10"/>
      <c r="N148" s="124"/>
    </row>
    <row r="149" spans="1:14" ht="15.75">
      <c r="A149" s="26"/>
      <c r="B149" s="27" t="s">
        <v>103</v>
      </c>
      <c r="C149" s="27"/>
      <c r="D149" s="27"/>
      <c r="E149" s="27"/>
      <c r="F149" s="27"/>
      <c r="G149" s="27"/>
      <c r="H149" s="27"/>
      <c r="I149" s="27"/>
      <c r="J149" s="27"/>
      <c r="K149" s="27"/>
      <c r="L149" s="66">
        <f>(L81+L83+L84+L85+L86-L77)/-L87</f>
        <v>1.5346260387811634</v>
      </c>
      <c r="M149" s="27" t="s">
        <v>189</v>
      </c>
      <c r="N149" s="124"/>
    </row>
    <row r="150" spans="1:14" ht="15.75">
      <c r="A150" s="26"/>
      <c r="B150" s="27" t="s">
        <v>104</v>
      </c>
      <c r="C150" s="27"/>
      <c r="D150" s="27"/>
      <c r="E150" s="27"/>
      <c r="F150" s="27"/>
      <c r="G150" s="27"/>
      <c r="H150" s="27"/>
      <c r="I150" s="27"/>
      <c r="J150" s="27"/>
      <c r="K150" s="27"/>
      <c r="L150" s="66">
        <v>1.41</v>
      </c>
      <c r="M150" s="27" t="s">
        <v>189</v>
      </c>
      <c r="N150" s="124"/>
    </row>
    <row r="151" spans="1:14" ht="15.75">
      <c r="A151" s="26"/>
      <c r="B151" s="27" t="s">
        <v>105</v>
      </c>
      <c r="C151" s="27"/>
      <c r="D151" s="27"/>
      <c r="E151" s="27"/>
      <c r="F151" s="27"/>
      <c r="G151" s="27"/>
      <c r="H151" s="27"/>
      <c r="I151" s="27"/>
      <c r="J151" s="27"/>
      <c r="K151" s="27"/>
      <c r="L151" s="66">
        <f>((L81-L77)+SUM(L83:L87))/-L88</f>
        <v>2.1849056603773587</v>
      </c>
      <c r="M151" s="27" t="s">
        <v>189</v>
      </c>
      <c r="N151" s="124"/>
    </row>
    <row r="152" spans="1:14" ht="15.75">
      <c r="A152" s="26"/>
      <c r="B152" s="27" t="s">
        <v>106</v>
      </c>
      <c r="C152" s="27"/>
      <c r="D152" s="27"/>
      <c r="E152" s="27"/>
      <c r="F152" s="27"/>
      <c r="G152" s="27"/>
      <c r="H152" s="27"/>
      <c r="I152" s="27"/>
      <c r="J152" s="27"/>
      <c r="K152" s="27"/>
      <c r="L152" s="75">
        <v>2.72</v>
      </c>
      <c r="M152" s="27" t="s">
        <v>189</v>
      </c>
      <c r="N152" s="124"/>
    </row>
    <row r="153" spans="1:14" ht="12.75" customHeight="1">
      <c r="A153" s="26"/>
      <c r="B153" s="27"/>
      <c r="C153" s="27"/>
      <c r="D153" s="27"/>
      <c r="E153" s="27"/>
      <c r="F153" s="27"/>
      <c r="G153" s="27"/>
      <c r="H153" s="27"/>
      <c r="I153" s="27"/>
      <c r="J153" s="27"/>
      <c r="K153" s="27"/>
      <c r="L153" s="27"/>
      <c r="M153" s="27"/>
      <c r="N153" s="124"/>
    </row>
    <row r="154" spans="1:14" ht="12.75" customHeight="1">
      <c r="A154" s="8"/>
      <c r="B154" s="10"/>
      <c r="C154" s="10"/>
      <c r="D154" s="10"/>
      <c r="E154" s="10"/>
      <c r="F154" s="10"/>
      <c r="G154" s="10"/>
      <c r="H154" s="10"/>
      <c r="I154" s="10"/>
      <c r="J154" s="10"/>
      <c r="K154" s="10"/>
      <c r="L154" s="10"/>
      <c r="M154" s="10"/>
      <c r="N154" s="124"/>
    </row>
    <row r="155" spans="1:14" ht="16.5" thickBot="1">
      <c r="A155" s="129"/>
      <c r="B155" s="136" t="str">
        <f>B105</f>
        <v>PM2 INVESTOR REPORT QUARTER ENDING AUGUST 2004</v>
      </c>
      <c r="C155" s="131"/>
      <c r="D155" s="131"/>
      <c r="E155" s="131"/>
      <c r="F155" s="131"/>
      <c r="G155" s="131"/>
      <c r="H155" s="131"/>
      <c r="I155" s="131"/>
      <c r="J155" s="131"/>
      <c r="K155" s="131"/>
      <c r="L155" s="131"/>
      <c r="M155" s="134"/>
      <c r="N155" s="124"/>
    </row>
    <row r="156" spans="1:14" ht="15.75">
      <c r="A156" s="2"/>
      <c r="B156" s="140"/>
      <c r="C156" s="140"/>
      <c r="D156" s="140"/>
      <c r="E156" s="140"/>
      <c r="F156" s="140"/>
      <c r="G156" s="140"/>
      <c r="H156" s="140"/>
      <c r="I156" s="140"/>
      <c r="J156" s="140"/>
      <c r="K156" s="140"/>
      <c r="L156" s="140"/>
      <c r="M156" s="140"/>
      <c r="N156" s="124"/>
    </row>
    <row r="157" spans="1:14" ht="15.75">
      <c r="A157" s="77"/>
      <c r="B157" s="56" t="s">
        <v>107</v>
      </c>
      <c r="C157" s="78"/>
      <c r="D157" s="78"/>
      <c r="E157" s="78"/>
      <c r="F157" s="78"/>
      <c r="G157" s="20"/>
      <c r="H157" s="20"/>
      <c r="I157" s="20"/>
      <c r="J157" s="20">
        <v>38230</v>
      </c>
      <c r="K157" s="18"/>
      <c r="L157" s="18"/>
      <c r="M157" s="10"/>
      <c r="N157" s="124"/>
    </row>
    <row r="158" spans="1:14" ht="15.75">
      <c r="A158" s="80"/>
      <c r="B158" s="81"/>
      <c r="C158" s="82"/>
      <c r="D158" s="82"/>
      <c r="E158" s="82"/>
      <c r="F158" s="82"/>
      <c r="G158" s="83"/>
      <c r="H158" s="83"/>
      <c r="I158" s="83"/>
      <c r="J158" s="83"/>
      <c r="K158" s="10"/>
      <c r="L158" s="10"/>
      <c r="M158" s="10"/>
      <c r="N158" s="124"/>
    </row>
    <row r="159" spans="1:14" ht="15.75">
      <c r="A159" s="84"/>
      <c r="B159" s="85" t="s">
        <v>108</v>
      </c>
      <c r="C159" s="86"/>
      <c r="D159" s="86"/>
      <c r="E159" s="86"/>
      <c r="F159" s="86"/>
      <c r="G159" s="72"/>
      <c r="H159" s="72"/>
      <c r="I159" s="72"/>
      <c r="J159" s="87">
        <v>0.0736</v>
      </c>
      <c r="K159" s="27"/>
      <c r="L159" s="27"/>
      <c r="M159" s="27"/>
      <c r="N159" s="124"/>
    </row>
    <row r="160" spans="1:14" ht="15.75">
      <c r="A160" s="84"/>
      <c r="B160" s="85" t="s">
        <v>109</v>
      </c>
      <c r="C160" s="86"/>
      <c r="D160" s="86"/>
      <c r="E160" s="86"/>
      <c r="F160" s="86"/>
      <c r="G160" s="72"/>
      <c r="H160" s="72"/>
      <c r="I160" s="72"/>
      <c r="J160" s="87">
        <v>0.0554</v>
      </c>
      <c r="K160" s="27"/>
      <c r="L160" s="27"/>
      <c r="M160" s="27"/>
      <c r="N160" s="124"/>
    </row>
    <row r="161" spans="1:14" ht="15.75">
      <c r="A161" s="84"/>
      <c r="B161" s="85" t="s">
        <v>110</v>
      </c>
      <c r="C161" s="86"/>
      <c r="D161" s="86"/>
      <c r="E161" s="86"/>
      <c r="F161" s="86"/>
      <c r="G161" s="72"/>
      <c r="H161" s="72"/>
      <c r="I161" s="72"/>
      <c r="J161" s="87">
        <f>J159-J160</f>
        <v>0.0182</v>
      </c>
      <c r="K161" s="27"/>
      <c r="L161" s="27"/>
      <c r="M161" s="27"/>
      <c r="N161" s="124"/>
    </row>
    <row r="162" spans="1:14" ht="15.75">
      <c r="A162" s="84"/>
      <c r="B162" s="85" t="s">
        <v>111</v>
      </c>
      <c r="C162" s="86"/>
      <c r="D162" s="86"/>
      <c r="E162" s="86"/>
      <c r="F162" s="86"/>
      <c r="G162" s="72"/>
      <c r="H162" s="72"/>
      <c r="I162" s="72"/>
      <c r="J162" s="87">
        <v>0</v>
      </c>
      <c r="K162" s="27"/>
      <c r="L162" s="27"/>
      <c r="M162" s="27"/>
      <c r="N162" s="124"/>
    </row>
    <row r="163" spans="1:14" ht="15.75">
      <c r="A163" s="84"/>
      <c r="B163" s="85" t="s">
        <v>112</v>
      </c>
      <c r="C163" s="86"/>
      <c r="D163" s="86"/>
      <c r="E163" s="86"/>
      <c r="F163" s="86"/>
      <c r="G163" s="72"/>
      <c r="H163" s="72"/>
      <c r="I163" s="72"/>
      <c r="J163" s="87">
        <v>0</v>
      </c>
      <c r="K163" s="27"/>
      <c r="L163" s="27"/>
      <c r="M163" s="27"/>
      <c r="N163" s="124"/>
    </row>
    <row r="164" spans="1:14" ht="15.75">
      <c r="A164" s="84"/>
      <c r="B164" s="85" t="s">
        <v>113</v>
      </c>
      <c r="C164" s="86"/>
      <c r="D164" s="86"/>
      <c r="E164" s="86"/>
      <c r="F164" s="86"/>
      <c r="G164" s="72"/>
      <c r="H164" s="72"/>
      <c r="I164" s="72"/>
      <c r="J164" s="87">
        <f>J162-J163</f>
        <v>0</v>
      </c>
      <c r="K164" s="27"/>
      <c r="L164" s="27"/>
      <c r="M164" s="27"/>
      <c r="N164" s="124"/>
    </row>
    <row r="165" spans="1:14" ht="15.75">
      <c r="A165" s="84"/>
      <c r="B165" s="85" t="s">
        <v>114</v>
      </c>
      <c r="C165" s="86"/>
      <c r="D165" s="86"/>
      <c r="E165" s="86"/>
      <c r="F165" s="86"/>
      <c r="G165" s="72"/>
      <c r="H165" s="72"/>
      <c r="I165" s="72"/>
      <c r="J165" s="88" t="s">
        <v>177</v>
      </c>
      <c r="K165" s="27"/>
      <c r="L165" s="27"/>
      <c r="M165" s="27"/>
      <c r="N165" s="124"/>
    </row>
    <row r="166" spans="1:14" ht="15.75">
      <c r="A166" s="84"/>
      <c r="B166" s="85" t="s">
        <v>115</v>
      </c>
      <c r="C166" s="86"/>
      <c r="D166" s="86"/>
      <c r="E166" s="86"/>
      <c r="F166" s="86"/>
      <c r="G166" s="72"/>
      <c r="H166" s="72"/>
      <c r="I166" s="72"/>
      <c r="J166" s="88" t="s">
        <v>178</v>
      </c>
      <c r="K166" s="27"/>
      <c r="L166" s="27"/>
      <c r="M166" s="27"/>
      <c r="N166" s="124"/>
    </row>
    <row r="167" spans="1:14" ht="15.75">
      <c r="A167" s="84"/>
      <c r="B167" s="85" t="s">
        <v>116</v>
      </c>
      <c r="C167" s="86"/>
      <c r="D167" s="86"/>
      <c r="E167" s="86"/>
      <c r="F167" s="86"/>
      <c r="G167" s="72"/>
      <c r="H167" s="72"/>
      <c r="I167" s="72"/>
      <c r="J167" s="89">
        <v>0</v>
      </c>
      <c r="K167" s="27" t="s">
        <v>182</v>
      </c>
      <c r="L167" s="27"/>
      <c r="M167" s="27"/>
      <c r="N167" s="124"/>
    </row>
    <row r="168" spans="1:14" ht="15.75">
      <c r="A168" s="84"/>
      <c r="B168" s="85" t="s">
        <v>117</v>
      </c>
      <c r="C168" s="86"/>
      <c r="D168" s="86"/>
      <c r="E168" s="86"/>
      <c r="F168" s="86"/>
      <c r="G168" s="72"/>
      <c r="H168" s="72"/>
      <c r="I168" s="72"/>
      <c r="J168" s="89">
        <v>0</v>
      </c>
      <c r="K168" s="27" t="s">
        <v>182</v>
      </c>
      <c r="L168" s="27"/>
      <c r="M168" s="27"/>
      <c r="N168" s="124"/>
    </row>
    <row r="169" spans="1:14" ht="15.75">
      <c r="A169" s="84"/>
      <c r="B169" s="85" t="s">
        <v>118</v>
      </c>
      <c r="C169" s="86"/>
      <c r="D169" s="86"/>
      <c r="E169" s="86"/>
      <c r="F169" s="86"/>
      <c r="G169" s="72"/>
      <c r="H169" s="72"/>
      <c r="I169" s="72"/>
      <c r="J169" s="87">
        <f>F56/'May 2004'!L56</f>
        <v>1</v>
      </c>
      <c r="K169" s="27"/>
      <c r="L169" s="27"/>
      <c r="M169" s="27"/>
      <c r="N169" s="124"/>
    </row>
    <row r="170" spans="1:14" ht="15.75">
      <c r="A170" s="84"/>
      <c r="B170" s="85" t="s">
        <v>119</v>
      </c>
      <c r="C170" s="86"/>
      <c r="D170" s="86"/>
      <c r="E170" s="86"/>
      <c r="F170" s="86"/>
      <c r="G170" s="72"/>
      <c r="H170" s="72"/>
      <c r="I170" s="72"/>
      <c r="J170" s="87">
        <v>1</v>
      </c>
      <c r="K170" s="27"/>
      <c r="L170" s="27"/>
      <c r="M170" s="27"/>
      <c r="N170" s="124"/>
    </row>
    <row r="171" spans="1:14" ht="15.75">
      <c r="A171" s="84"/>
      <c r="B171" s="85"/>
      <c r="C171" s="85"/>
      <c r="D171" s="85"/>
      <c r="E171" s="85"/>
      <c r="F171" s="85"/>
      <c r="G171" s="27"/>
      <c r="H171" s="27"/>
      <c r="I171" s="27"/>
      <c r="J171" s="68"/>
      <c r="K171" s="27"/>
      <c r="L171" s="90"/>
      <c r="M171" s="27"/>
      <c r="N171" s="124"/>
    </row>
    <row r="172" spans="1:14" ht="15.75">
      <c r="A172" s="91"/>
      <c r="B172" s="17" t="s">
        <v>120</v>
      </c>
      <c r="C172" s="92"/>
      <c r="D172" s="93"/>
      <c r="E172" s="92"/>
      <c r="F172" s="93"/>
      <c r="G172" s="92"/>
      <c r="H172" s="93"/>
      <c r="I172" s="63" t="s">
        <v>170</v>
      </c>
      <c r="J172" s="94" t="s">
        <v>179</v>
      </c>
      <c r="K172" s="18"/>
      <c r="L172" s="10"/>
      <c r="M172" s="10"/>
      <c r="N172" s="124"/>
    </row>
    <row r="173" spans="1:14" ht="15.75">
      <c r="A173" s="95"/>
      <c r="B173" s="85" t="s">
        <v>121</v>
      </c>
      <c r="C173" s="59"/>
      <c r="D173" s="59"/>
      <c r="E173" s="59"/>
      <c r="F173" s="27"/>
      <c r="G173" s="27"/>
      <c r="H173" s="27"/>
      <c r="I173" s="28">
        <v>0</v>
      </c>
      <c r="J173" s="96">
        <v>0</v>
      </c>
      <c r="K173" s="27"/>
      <c r="L173" s="90"/>
      <c r="M173" s="97"/>
      <c r="N173" s="124"/>
    </row>
    <row r="174" spans="1:14" ht="15.75">
      <c r="A174" s="95"/>
      <c r="B174" s="85" t="s">
        <v>214</v>
      </c>
      <c r="C174" s="59"/>
      <c r="D174" s="59"/>
      <c r="E174" s="59"/>
      <c r="F174" s="27"/>
      <c r="G174" s="27"/>
      <c r="H174" s="27"/>
      <c r="I174" s="28">
        <v>0</v>
      </c>
      <c r="J174" s="96">
        <v>0</v>
      </c>
      <c r="K174" s="27"/>
      <c r="L174" s="90"/>
      <c r="M174" s="97"/>
      <c r="N174" s="124"/>
    </row>
    <row r="175" spans="1:14" ht="15.75">
      <c r="A175" s="95"/>
      <c r="B175" s="85" t="s">
        <v>122</v>
      </c>
      <c r="C175" s="59"/>
      <c r="D175" s="59"/>
      <c r="E175" s="59"/>
      <c r="F175" s="27"/>
      <c r="G175" s="27"/>
      <c r="H175" s="27"/>
      <c r="I175" s="28">
        <v>0</v>
      </c>
      <c r="J175" s="96">
        <v>0</v>
      </c>
      <c r="K175" s="27"/>
      <c r="L175" s="90"/>
      <c r="M175" s="97"/>
      <c r="N175" s="124"/>
    </row>
    <row r="176" spans="1:14" ht="15.75">
      <c r="A176" s="95"/>
      <c r="B176" s="157" t="s">
        <v>123</v>
      </c>
      <c r="C176" s="59"/>
      <c r="D176" s="59"/>
      <c r="E176" s="59"/>
      <c r="F176" s="27"/>
      <c r="G176" s="27"/>
      <c r="H176" s="27"/>
      <c r="I176" s="27"/>
      <c r="J176" s="96">
        <v>0</v>
      </c>
      <c r="K176" s="27"/>
      <c r="L176" s="90"/>
      <c r="M176" s="97"/>
      <c r="N176" s="124"/>
    </row>
    <row r="177" spans="1:14" ht="15.75">
      <c r="A177" s="95"/>
      <c r="B177" s="157" t="s">
        <v>124</v>
      </c>
      <c r="C177" s="59"/>
      <c r="D177" s="59"/>
      <c r="E177" s="59"/>
      <c r="F177" s="27"/>
      <c r="G177" s="27"/>
      <c r="H177" s="27"/>
      <c r="I177" s="27"/>
      <c r="J177" s="96">
        <v>25878</v>
      </c>
      <c r="K177" s="27"/>
      <c r="L177" s="90"/>
      <c r="M177" s="97"/>
      <c r="N177" s="124"/>
    </row>
    <row r="178" spans="1:14" ht="15.75">
      <c r="A178" s="98"/>
      <c r="B178" s="157" t="s">
        <v>125</v>
      </c>
      <c r="C178" s="59"/>
      <c r="D178" s="85"/>
      <c r="E178" s="85"/>
      <c r="F178" s="85"/>
      <c r="G178" s="27"/>
      <c r="H178" s="27"/>
      <c r="I178" s="27"/>
      <c r="J178" s="96">
        <v>0</v>
      </c>
      <c r="K178" s="27"/>
      <c r="L178" s="90"/>
      <c r="M178" s="99"/>
      <c r="N178" s="124"/>
    </row>
    <row r="179" spans="1:14" ht="15.75">
      <c r="A179" s="95"/>
      <c r="B179" s="85" t="s">
        <v>126</v>
      </c>
      <c r="C179" s="59"/>
      <c r="D179" s="59"/>
      <c r="E179" s="59"/>
      <c r="F179" s="59"/>
      <c r="G179" s="27"/>
      <c r="H179" s="27"/>
      <c r="I179" s="27">
        <v>0</v>
      </c>
      <c r="J179" s="96">
        <f>+L128</f>
        <v>0</v>
      </c>
      <c r="K179" s="27"/>
      <c r="L179" s="90"/>
      <c r="M179" s="99"/>
      <c r="N179" s="124"/>
    </row>
    <row r="180" spans="1:14" ht="15.75">
      <c r="A180" s="95"/>
      <c r="B180" s="85" t="s">
        <v>127</v>
      </c>
      <c r="C180" s="59"/>
      <c r="D180" s="59"/>
      <c r="E180" s="59"/>
      <c r="F180" s="59"/>
      <c r="G180" s="27"/>
      <c r="H180" s="27"/>
      <c r="I180" s="27">
        <f>'May 2004'!I178+I179</f>
        <v>3</v>
      </c>
      <c r="J180" s="96">
        <f>'May 2004'!J178+J179</f>
        <v>7</v>
      </c>
      <c r="K180" s="27"/>
      <c r="L180" s="90"/>
      <c r="M180" s="99"/>
      <c r="N180" s="124"/>
    </row>
    <row r="181" spans="1:14" ht="15.75">
      <c r="A181" s="95"/>
      <c r="B181" s="85" t="s">
        <v>196</v>
      </c>
      <c r="C181" s="59"/>
      <c r="D181" s="59"/>
      <c r="E181" s="59"/>
      <c r="F181" s="59"/>
      <c r="G181" s="27"/>
      <c r="H181" s="27"/>
      <c r="I181" s="27"/>
      <c r="J181" s="96"/>
      <c r="K181" s="27"/>
      <c r="L181" s="90"/>
      <c r="M181" s="99"/>
      <c r="N181" s="124"/>
    </row>
    <row r="182" spans="1:14" ht="15.75">
      <c r="A182" s="98"/>
      <c r="B182" s="157" t="s">
        <v>128</v>
      </c>
      <c r="C182" s="59"/>
      <c r="D182" s="85"/>
      <c r="E182" s="85"/>
      <c r="F182" s="85"/>
      <c r="G182" s="27"/>
      <c r="H182" s="27"/>
      <c r="I182" s="27"/>
      <c r="J182" s="96"/>
      <c r="K182" s="27"/>
      <c r="L182" s="90"/>
      <c r="M182" s="99"/>
      <c r="N182" s="124"/>
    </row>
    <row r="183" spans="1:14" ht="15.75">
      <c r="A183" s="98"/>
      <c r="B183" s="85" t="s">
        <v>129</v>
      </c>
      <c r="C183" s="59"/>
      <c r="D183" s="85"/>
      <c r="E183" s="85"/>
      <c r="F183" s="85"/>
      <c r="G183" s="27"/>
      <c r="H183" s="27"/>
      <c r="I183" s="27"/>
      <c r="J183" s="96">
        <v>0</v>
      </c>
      <c r="K183" s="27"/>
      <c r="L183" s="90"/>
      <c r="M183" s="99"/>
      <c r="N183" s="124"/>
    </row>
    <row r="184" spans="1:14" ht="15.75">
      <c r="A184" s="95"/>
      <c r="B184" s="85" t="s">
        <v>130</v>
      </c>
      <c r="C184" s="59"/>
      <c r="D184" s="100"/>
      <c r="E184" s="100"/>
      <c r="F184" s="101"/>
      <c r="G184" s="27"/>
      <c r="H184" s="27"/>
      <c r="I184" s="27"/>
      <c r="J184" s="96">
        <v>0</v>
      </c>
      <c r="K184" s="27"/>
      <c r="L184" s="90"/>
      <c r="M184" s="99"/>
      <c r="N184" s="124"/>
    </row>
    <row r="185" spans="1:14" ht="15.75">
      <c r="A185" s="95"/>
      <c r="B185" s="85" t="s">
        <v>131</v>
      </c>
      <c r="C185" s="59"/>
      <c r="D185" s="100"/>
      <c r="E185" s="100"/>
      <c r="F185" s="101"/>
      <c r="G185" s="27"/>
      <c r="H185" s="27"/>
      <c r="I185" s="27"/>
      <c r="J185" s="96">
        <v>0</v>
      </c>
      <c r="K185" s="27"/>
      <c r="L185" s="90"/>
      <c r="M185" s="99"/>
      <c r="N185" s="124"/>
    </row>
    <row r="186" spans="1:14" ht="15.75">
      <c r="A186" s="95"/>
      <c r="B186" s="85" t="s">
        <v>132</v>
      </c>
      <c r="C186" s="59"/>
      <c r="D186" s="102"/>
      <c r="E186" s="100"/>
      <c r="F186" s="101"/>
      <c r="G186" s="27"/>
      <c r="H186" s="27"/>
      <c r="I186" s="27"/>
      <c r="J186" s="103">
        <v>0</v>
      </c>
      <c r="K186" s="27"/>
      <c r="L186" s="90"/>
      <c r="M186" s="99"/>
      <c r="N186" s="124"/>
    </row>
    <row r="187" spans="1:14" ht="15.75">
      <c r="A187" s="95"/>
      <c r="B187" s="85"/>
      <c r="C187" s="59"/>
      <c r="D187" s="102"/>
      <c r="E187" s="100"/>
      <c r="F187" s="101"/>
      <c r="G187" s="27"/>
      <c r="H187" s="27"/>
      <c r="I187" s="27"/>
      <c r="J187" s="103"/>
      <c r="K187" s="27"/>
      <c r="L187" s="90"/>
      <c r="M187" s="99"/>
      <c r="N187" s="124"/>
    </row>
    <row r="188" spans="1:14" ht="15.75">
      <c r="A188" s="8"/>
      <c r="B188" s="17" t="s">
        <v>133</v>
      </c>
      <c r="C188" s="63"/>
      <c r="D188" s="94"/>
      <c r="E188" s="63"/>
      <c r="F188" s="94"/>
      <c r="G188" s="63"/>
      <c r="H188" s="94" t="s">
        <v>170</v>
      </c>
      <c r="I188" s="63" t="s">
        <v>171</v>
      </c>
      <c r="J188" s="94" t="s">
        <v>180</v>
      </c>
      <c r="K188" s="63" t="s">
        <v>171</v>
      </c>
      <c r="L188" s="18"/>
      <c r="M188" s="104"/>
      <c r="N188" s="124"/>
    </row>
    <row r="189" spans="1:14" ht="15.75">
      <c r="A189" s="26"/>
      <c r="B189" s="59" t="s">
        <v>134</v>
      </c>
      <c r="C189" s="105"/>
      <c r="D189" s="59"/>
      <c r="E189" s="105"/>
      <c r="F189" s="27"/>
      <c r="G189" s="105"/>
      <c r="H189" s="59">
        <v>0</v>
      </c>
      <c r="I189" s="105">
        <v>0</v>
      </c>
      <c r="J189" s="58">
        <v>0</v>
      </c>
      <c r="K189" s="106">
        <v>0</v>
      </c>
      <c r="L189" s="90"/>
      <c r="M189" s="99"/>
      <c r="N189" s="124"/>
    </row>
    <row r="190" spans="1:14" ht="15.75">
      <c r="A190" s="26"/>
      <c r="B190" s="59" t="s">
        <v>135</v>
      </c>
      <c r="C190" s="105"/>
      <c r="D190" s="59"/>
      <c r="E190" s="105"/>
      <c r="F190" s="27"/>
      <c r="G190" s="107"/>
      <c r="H190" s="59">
        <v>0</v>
      </c>
      <c r="I190" s="105">
        <v>0</v>
      </c>
      <c r="J190" s="58">
        <v>0</v>
      </c>
      <c r="K190" s="106">
        <v>0</v>
      </c>
      <c r="L190" s="90"/>
      <c r="M190" s="99"/>
      <c r="N190" s="124"/>
    </row>
    <row r="191" spans="1:14" ht="15.75">
      <c r="A191" s="26"/>
      <c r="B191" s="59" t="s">
        <v>136</v>
      </c>
      <c r="C191" s="105"/>
      <c r="D191" s="59"/>
      <c r="E191" s="105"/>
      <c r="F191" s="27"/>
      <c r="G191" s="107"/>
      <c r="H191" s="59">
        <v>0</v>
      </c>
      <c r="I191" s="105">
        <v>0</v>
      </c>
      <c r="J191" s="58">
        <v>0</v>
      </c>
      <c r="K191" s="106">
        <v>0</v>
      </c>
      <c r="L191" s="90"/>
      <c r="M191" s="99"/>
      <c r="N191" s="124"/>
    </row>
    <row r="192" spans="1:14" ht="15.75">
      <c r="A192" s="26"/>
      <c r="B192" s="59" t="s">
        <v>137</v>
      </c>
      <c r="C192" s="105"/>
      <c r="D192" s="59"/>
      <c r="E192" s="105"/>
      <c r="F192" s="27"/>
      <c r="G192" s="107"/>
      <c r="H192" s="59">
        <v>0</v>
      </c>
      <c r="I192" s="105">
        <v>0</v>
      </c>
      <c r="J192" s="58">
        <v>0</v>
      </c>
      <c r="K192" s="106">
        <v>0</v>
      </c>
      <c r="L192" s="90"/>
      <c r="M192" s="99"/>
      <c r="N192" s="124"/>
    </row>
    <row r="193" spans="1:14" ht="15.75">
      <c r="A193" s="26"/>
      <c r="B193" s="138"/>
      <c r="C193" s="105"/>
      <c r="D193" s="59"/>
      <c r="E193" s="105"/>
      <c r="F193" s="27"/>
      <c r="G193" s="107"/>
      <c r="H193" s="59"/>
      <c r="I193" s="105"/>
      <c r="J193" s="58"/>
      <c r="K193" s="106"/>
      <c r="L193" s="90"/>
      <c r="M193" s="99"/>
      <c r="N193" s="124"/>
    </row>
    <row r="194" spans="1:14" ht="15.75">
      <c r="A194" s="26"/>
      <c r="B194" s="27" t="s">
        <v>188</v>
      </c>
      <c r="C194" s="27"/>
      <c r="D194" s="27"/>
      <c r="E194" s="27"/>
      <c r="F194" s="27"/>
      <c r="G194" s="27"/>
      <c r="H194" s="37">
        <f>SUM(H189:H193)</f>
        <v>0</v>
      </c>
      <c r="I194" s="109">
        <f>SUM(I189:I193)</f>
        <v>0</v>
      </c>
      <c r="J194" s="58">
        <f>SUM(J189:J193)</f>
        <v>0</v>
      </c>
      <c r="K194" s="109">
        <f>SUM(K189:K193)</f>
        <v>0</v>
      </c>
      <c r="L194" s="27"/>
      <c r="M194" s="27"/>
      <c r="N194" s="124"/>
    </row>
    <row r="195" spans="1:14" ht="15.75">
      <c r="A195" s="26"/>
      <c r="B195" s="27"/>
      <c r="C195" s="27"/>
      <c r="D195" s="27"/>
      <c r="E195" s="27"/>
      <c r="F195" s="27"/>
      <c r="G195" s="27"/>
      <c r="H195" s="37"/>
      <c r="I195" s="109"/>
      <c r="J195" s="58"/>
      <c r="K195" s="109"/>
      <c r="L195" s="27"/>
      <c r="M195" s="27"/>
      <c r="N195" s="124"/>
    </row>
    <row r="196" spans="1:14" ht="15.75">
      <c r="A196" s="8"/>
      <c r="B196" s="10"/>
      <c r="C196" s="10"/>
      <c r="D196" s="10"/>
      <c r="E196" s="10"/>
      <c r="F196" s="10"/>
      <c r="G196" s="10"/>
      <c r="H196" s="60"/>
      <c r="I196" s="112"/>
      <c r="J196" s="113"/>
      <c r="K196" s="112"/>
      <c r="L196" s="10"/>
      <c r="M196" s="10"/>
      <c r="N196" s="124"/>
    </row>
    <row r="197" spans="1:14" ht="15.75">
      <c r="A197" s="114"/>
      <c r="B197" s="17" t="s">
        <v>138</v>
      </c>
      <c r="C197" s="115"/>
      <c r="D197" s="63" t="s">
        <v>146</v>
      </c>
      <c r="E197" s="18"/>
      <c r="F197" s="17" t="s">
        <v>159</v>
      </c>
      <c r="G197" s="116"/>
      <c r="H197" s="116"/>
      <c r="I197" s="116"/>
      <c r="J197" s="137"/>
      <c r="K197" s="137"/>
      <c r="L197" s="137"/>
      <c r="M197" s="137"/>
      <c r="N197" s="124"/>
    </row>
    <row r="198" spans="1:14" ht="15.75">
      <c r="A198" s="141"/>
      <c r="B198" s="137"/>
      <c r="C198" s="137"/>
      <c r="D198" s="10"/>
      <c r="E198" s="10"/>
      <c r="F198" s="10"/>
      <c r="G198" s="137"/>
      <c r="H198" s="137"/>
      <c r="I198" s="137"/>
      <c r="J198" s="137"/>
      <c r="K198" s="137"/>
      <c r="L198" s="137"/>
      <c r="M198" s="137"/>
      <c r="N198" s="124"/>
    </row>
    <row r="199" spans="1:14" ht="15.75">
      <c r="A199" s="141"/>
      <c r="B199" s="16" t="s">
        <v>139</v>
      </c>
      <c r="C199" s="118"/>
      <c r="D199" s="119" t="s">
        <v>147</v>
      </c>
      <c r="E199" s="16"/>
      <c r="F199" s="16" t="s">
        <v>160</v>
      </c>
      <c r="G199" s="118"/>
      <c r="H199" s="118"/>
      <c r="I199" s="137"/>
      <c r="J199" s="137"/>
      <c r="K199" s="137"/>
      <c r="L199" s="137"/>
      <c r="M199" s="137"/>
      <c r="N199" s="124"/>
    </row>
    <row r="200" spans="1:14" ht="15.75">
      <c r="A200" s="141"/>
      <c r="B200" s="16" t="s">
        <v>140</v>
      </c>
      <c r="C200" s="118"/>
      <c r="D200" s="119" t="s">
        <v>148</v>
      </c>
      <c r="E200" s="16"/>
      <c r="F200" s="16" t="s">
        <v>161</v>
      </c>
      <c r="G200" s="118"/>
      <c r="H200" s="118"/>
      <c r="I200" s="137"/>
      <c r="J200" s="137"/>
      <c r="K200" s="137"/>
      <c r="L200" s="137"/>
      <c r="M200" s="137"/>
      <c r="N200" s="124"/>
    </row>
    <row r="201" spans="1:14" ht="15.75">
      <c r="A201" s="141"/>
      <c r="B201" s="16"/>
      <c r="C201" s="118"/>
      <c r="D201" s="119"/>
      <c r="E201" s="16"/>
      <c r="F201" s="16"/>
      <c r="G201" s="118"/>
      <c r="H201" s="118"/>
      <c r="I201" s="137"/>
      <c r="J201" s="137"/>
      <c r="K201" s="137"/>
      <c r="L201" s="137"/>
      <c r="M201" s="137"/>
      <c r="N201" s="124"/>
    </row>
    <row r="202" spans="1:14" ht="15.75">
      <c r="A202" s="141"/>
      <c r="B202" s="16"/>
      <c r="C202" s="118"/>
      <c r="D202" s="119"/>
      <c r="E202" s="16"/>
      <c r="F202" s="16"/>
      <c r="G202" s="118"/>
      <c r="H202" s="118"/>
      <c r="I202" s="137"/>
      <c r="J202" s="137"/>
      <c r="K202" s="137"/>
      <c r="L202" s="137"/>
      <c r="M202" s="137"/>
      <c r="N202" s="124"/>
    </row>
    <row r="203" spans="1:14" ht="15.75">
      <c r="A203" s="141"/>
      <c r="B203" s="16" t="str">
        <f>B155</f>
        <v>PM2 INVESTOR REPORT QUARTER ENDING AUGUST 2004</v>
      </c>
      <c r="C203" s="118"/>
      <c r="D203" s="119"/>
      <c r="E203" s="16"/>
      <c r="F203" s="16"/>
      <c r="G203" s="118"/>
      <c r="H203" s="118"/>
      <c r="I203" s="137"/>
      <c r="J203" s="137"/>
      <c r="K203" s="137"/>
      <c r="L203" s="137"/>
      <c r="M203" s="137"/>
      <c r="N203" s="124"/>
    </row>
    <row r="204" spans="1:13" ht="15">
      <c r="A204" s="125"/>
      <c r="B204" s="125"/>
      <c r="C204" s="125"/>
      <c r="D204" s="125"/>
      <c r="E204" s="125"/>
      <c r="F204" s="125"/>
      <c r="G204" s="125"/>
      <c r="H204" s="125"/>
      <c r="I204" s="125"/>
      <c r="J204" s="125"/>
      <c r="K204" s="125"/>
      <c r="L204" s="125"/>
      <c r="M204" s="125"/>
    </row>
    <row r="206" spans="8:10" ht="15">
      <c r="H206" s="142"/>
      <c r="J206" s="142"/>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5" max="13" man="1"/>
    <brk id="155" max="13" man="1"/>
  </rowBreaks>
  <drawing r:id="rId1"/>
</worksheet>
</file>

<file path=xl/worksheets/sheet2.xml><?xml version="1.0" encoding="utf-8"?>
<worksheet xmlns="http://schemas.openxmlformats.org/spreadsheetml/2006/main" xmlns:r="http://schemas.openxmlformats.org/officeDocument/2006/relationships">
  <dimension ref="A1:N199"/>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2.105468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8</v>
      </c>
      <c r="C15" s="17"/>
      <c r="D15" s="18"/>
      <c r="E15" s="18"/>
      <c r="F15" s="18"/>
      <c r="G15" s="18"/>
      <c r="H15" s="18"/>
      <c r="I15" s="18"/>
      <c r="J15" s="18"/>
      <c r="K15" s="18"/>
      <c r="L15" s="20">
        <v>36585</v>
      </c>
      <c r="M15" s="18"/>
      <c r="N15" s="124"/>
    </row>
    <row r="16" spans="1:14" ht="15.75">
      <c r="A16" s="8"/>
      <c r="B16" s="17" t="s">
        <v>9</v>
      </c>
      <c r="C16" s="17"/>
      <c r="D16" s="18"/>
      <c r="E16" s="18"/>
      <c r="F16" s="18"/>
      <c r="G16" s="18"/>
      <c r="H16" s="18"/>
      <c r="I16" s="18"/>
      <c r="J16" s="18"/>
      <c r="K16" s="18"/>
      <c r="L16" s="20">
        <v>36787</v>
      </c>
      <c r="M16" s="18"/>
      <c r="N16" s="124"/>
    </row>
    <row r="17" spans="1:14" ht="15.75">
      <c r="A17" s="8"/>
      <c r="B17" s="10"/>
      <c r="C17" s="10"/>
      <c r="D17" s="10"/>
      <c r="E17" s="10"/>
      <c r="F17" s="10"/>
      <c r="G17" s="10"/>
      <c r="H17" s="10"/>
      <c r="I17" s="10"/>
      <c r="J17" s="10"/>
      <c r="K17" s="10"/>
      <c r="L17" s="21"/>
      <c r="M17" s="10"/>
      <c r="N17" s="124"/>
    </row>
    <row r="18" spans="1:14" ht="15.75">
      <c r="A18" s="8"/>
      <c r="B18" s="22" t="s">
        <v>10</v>
      </c>
      <c r="C18" s="10"/>
      <c r="D18" s="10"/>
      <c r="E18" s="10"/>
      <c r="F18" s="10"/>
      <c r="G18" s="10"/>
      <c r="H18" s="10"/>
      <c r="I18" s="10"/>
      <c r="J18" s="21" t="s">
        <v>172</v>
      </c>
      <c r="K18" s="10"/>
      <c r="L18" s="15"/>
      <c r="M18" s="10"/>
      <c r="N18" s="124"/>
    </row>
    <row r="19" spans="1:14" ht="15.75">
      <c r="A19" s="8"/>
      <c r="B19" s="10"/>
      <c r="C19" s="10"/>
      <c r="D19" s="10"/>
      <c r="E19" s="10"/>
      <c r="F19" s="10"/>
      <c r="G19" s="10"/>
      <c r="H19" s="10"/>
      <c r="I19" s="10"/>
      <c r="J19" s="10"/>
      <c r="K19" s="10"/>
      <c r="L19" s="23"/>
      <c r="M19" s="10"/>
      <c r="N19" s="124"/>
    </row>
    <row r="20" spans="1:14" ht="15.75">
      <c r="A20" s="8"/>
      <c r="B20" s="10"/>
      <c r="C20" s="144" t="s">
        <v>141</v>
      </c>
      <c r="D20" s="24"/>
      <c r="E20" s="24"/>
      <c r="F20" s="145" t="s">
        <v>149</v>
      </c>
      <c r="G20" s="145"/>
      <c r="H20" s="145" t="s">
        <v>162</v>
      </c>
      <c r="I20" s="25"/>
      <c r="J20" s="24"/>
      <c r="K20" s="15"/>
      <c r="L20" s="15"/>
      <c r="M20" s="10"/>
      <c r="N20" s="124"/>
    </row>
    <row r="21" spans="1:14" ht="15.75">
      <c r="A21" s="8"/>
      <c r="B21" s="10" t="s">
        <v>11</v>
      </c>
      <c r="C21" s="144" t="s">
        <v>142</v>
      </c>
      <c r="D21" s="24"/>
      <c r="E21" s="24"/>
      <c r="F21" s="24" t="s">
        <v>150</v>
      </c>
      <c r="G21" s="24"/>
      <c r="H21" s="24" t="s">
        <v>163</v>
      </c>
      <c r="I21" s="24"/>
      <c r="J21" s="24"/>
      <c r="K21" s="15"/>
      <c r="L21" s="15"/>
      <c r="M21" s="10"/>
      <c r="N21" s="124"/>
    </row>
    <row r="22" spans="1:14" ht="15.75">
      <c r="A22" s="26"/>
      <c r="B22" s="27" t="s">
        <v>12</v>
      </c>
      <c r="C22" s="28"/>
      <c r="D22" s="29"/>
      <c r="E22" s="29"/>
      <c r="F22" s="29" t="s">
        <v>151</v>
      </c>
      <c r="G22" s="29"/>
      <c r="H22" s="29" t="s">
        <v>164</v>
      </c>
      <c r="I22" s="29"/>
      <c r="J22" s="29"/>
      <c r="K22" s="30"/>
      <c r="L22" s="30"/>
      <c r="M22" s="27"/>
      <c r="N22" s="124"/>
    </row>
    <row r="23" spans="1:14" ht="15.75">
      <c r="A23" s="31"/>
      <c r="B23" s="32" t="s">
        <v>13</v>
      </c>
      <c r="C23" s="32"/>
      <c r="D23" s="33"/>
      <c r="E23" s="33"/>
      <c r="F23" s="33" t="s">
        <v>150</v>
      </c>
      <c r="G23" s="33"/>
      <c r="H23" s="33" t="s">
        <v>163</v>
      </c>
      <c r="I23" s="33"/>
      <c r="J23" s="29"/>
      <c r="K23" s="30"/>
      <c r="L23" s="30"/>
      <c r="M23" s="27"/>
      <c r="N23" s="124"/>
    </row>
    <row r="24" spans="1:14" ht="15.75">
      <c r="A24" s="31"/>
      <c r="B24" s="32" t="s">
        <v>14</v>
      </c>
      <c r="C24" s="32"/>
      <c r="D24" s="33"/>
      <c r="E24" s="33"/>
      <c r="F24" s="33" t="s">
        <v>151</v>
      </c>
      <c r="G24" s="33"/>
      <c r="H24" s="33" t="s">
        <v>164</v>
      </c>
      <c r="I24" s="33"/>
      <c r="J24" s="29"/>
      <c r="K24" s="30"/>
      <c r="L24" s="30"/>
      <c r="M24" s="27"/>
      <c r="N24" s="124"/>
    </row>
    <row r="25" spans="1:14" ht="15.75">
      <c r="A25" s="26"/>
      <c r="B25" s="27" t="s">
        <v>15</v>
      </c>
      <c r="C25" s="27"/>
      <c r="D25" s="28"/>
      <c r="E25" s="29"/>
      <c r="F25" s="28" t="s">
        <v>152</v>
      </c>
      <c r="G25" s="29"/>
      <c r="H25" s="28" t="s">
        <v>165</v>
      </c>
      <c r="I25" s="29"/>
      <c r="J25" s="28"/>
      <c r="K25" s="30"/>
      <c r="L25" s="30"/>
      <c r="M25" s="27"/>
      <c r="N25" s="124"/>
    </row>
    <row r="26" spans="1:14" ht="15.75">
      <c r="A26" s="26"/>
      <c r="B26" s="27"/>
      <c r="C26" s="27"/>
      <c r="D26" s="27"/>
      <c r="E26" s="29"/>
      <c r="F26" s="29"/>
      <c r="G26" s="29"/>
      <c r="H26" s="29"/>
      <c r="I26" s="29"/>
      <c r="J26" s="29"/>
      <c r="K26" s="30"/>
      <c r="L26" s="30"/>
      <c r="M26" s="27"/>
      <c r="N26" s="124"/>
    </row>
    <row r="27" spans="1:14" ht="15.75">
      <c r="A27" s="26"/>
      <c r="B27" s="27" t="s">
        <v>16</v>
      </c>
      <c r="C27" s="27"/>
      <c r="D27" s="34"/>
      <c r="E27" s="35"/>
      <c r="F27" s="34">
        <v>166500</v>
      </c>
      <c r="G27" s="34"/>
      <c r="H27" s="34">
        <v>18500</v>
      </c>
      <c r="I27" s="34"/>
      <c r="J27" s="34"/>
      <c r="K27" s="36"/>
      <c r="L27" s="34">
        <f>H27+F27</f>
        <v>185000</v>
      </c>
      <c r="M27" s="37"/>
      <c r="N27" s="124"/>
    </row>
    <row r="28" spans="1:14" ht="15.75">
      <c r="A28" s="26"/>
      <c r="B28" s="27" t="s">
        <v>17</v>
      </c>
      <c r="C28" s="38">
        <v>0.98672</v>
      </c>
      <c r="D28" s="34"/>
      <c r="E28" s="35"/>
      <c r="F28" s="34">
        <f>166500*C28</f>
        <v>164288.88</v>
      </c>
      <c r="G28" s="34"/>
      <c r="H28" s="34">
        <v>18500</v>
      </c>
      <c r="I28" s="34"/>
      <c r="J28" s="34"/>
      <c r="K28" s="36"/>
      <c r="L28" s="34">
        <f>H28+F28</f>
        <v>182788.88</v>
      </c>
      <c r="M28" s="37"/>
      <c r="N28" s="124"/>
    </row>
    <row r="29" spans="1:14" ht="12.75" customHeight="1">
      <c r="A29" s="31"/>
      <c r="B29" s="32" t="s">
        <v>18</v>
      </c>
      <c r="C29" s="39">
        <v>0.971032</v>
      </c>
      <c r="D29" s="40"/>
      <c r="E29" s="41"/>
      <c r="F29" s="40">
        <f>166500*C29*1</f>
        <v>161676.828</v>
      </c>
      <c r="G29" s="40"/>
      <c r="H29" s="40">
        <v>18500</v>
      </c>
      <c r="I29" s="40"/>
      <c r="J29" s="40"/>
      <c r="K29" s="42"/>
      <c r="L29" s="40">
        <f>H29+F29+D29</f>
        <v>180176.828</v>
      </c>
      <c r="M29" s="37"/>
      <c r="N29" s="124"/>
    </row>
    <row r="30" spans="1:14" ht="15.75">
      <c r="A30" s="26"/>
      <c r="B30" s="27" t="s">
        <v>19</v>
      </c>
      <c r="C30" s="43"/>
      <c r="D30" s="28"/>
      <c r="E30" s="27"/>
      <c r="F30" s="28" t="s">
        <v>153</v>
      </c>
      <c r="G30" s="28"/>
      <c r="H30" s="28" t="s">
        <v>166</v>
      </c>
      <c r="I30" s="28"/>
      <c r="J30" s="28"/>
      <c r="K30" s="30"/>
      <c r="L30" s="30"/>
      <c r="M30" s="27"/>
      <c r="N30" s="124"/>
    </row>
    <row r="31" spans="1:14" ht="15.75">
      <c r="A31" s="26"/>
      <c r="B31" s="27" t="s">
        <v>20</v>
      </c>
      <c r="C31" s="27"/>
      <c r="D31" s="44"/>
      <c r="E31" s="27"/>
      <c r="F31" s="44">
        <f>(6.50609)/100</f>
        <v>0.0650609</v>
      </c>
      <c r="G31" s="45"/>
      <c r="H31" s="44">
        <f>(7.08109)/100</f>
        <v>0.0708109</v>
      </c>
      <c r="I31" s="45"/>
      <c r="J31" s="44"/>
      <c r="K31" s="30"/>
      <c r="L31" s="45">
        <f>SUMPRODUCT(F31:H31,F28:H28)/L28</f>
        <v>0.06564285553252475</v>
      </c>
      <c r="M31" s="27"/>
      <c r="N31" s="124"/>
    </row>
    <row r="32" spans="1:14" ht="15.75">
      <c r="A32" s="26"/>
      <c r="B32" s="27" t="s">
        <v>21</v>
      </c>
      <c r="C32" s="27"/>
      <c r="D32" s="44"/>
      <c r="E32" s="27"/>
      <c r="F32" s="44">
        <f>(5.48632)/100</f>
        <v>0.0548632</v>
      </c>
      <c r="G32" s="45"/>
      <c r="H32" s="44">
        <f>(6.00632)/100</f>
        <v>0.0600632</v>
      </c>
      <c r="I32" s="45"/>
      <c r="J32" s="44"/>
      <c r="K32" s="30"/>
      <c r="L32" s="30"/>
      <c r="M32" s="27"/>
      <c r="N32" s="124"/>
    </row>
    <row r="33" spans="1:14" ht="15.75">
      <c r="A33" s="26"/>
      <c r="B33" s="27" t="s">
        <v>22</v>
      </c>
      <c r="C33" s="27"/>
      <c r="D33" s="28"/>
      <c r="E33" s="27"/>
      <c r="F33" s="28" t="s">
        <v>155</v>
      </c>
      <c r="G33" s="28"/>
      <c r="H33" s="28" t="s">
        <v>155</v>
      </c>
      <c r="I33" s="28"/>
      <c r="J33" s="28"/>
      <c r="K33" s="30"/>
      <c r="L33" s="30"/>
      <c r="M33" s="27"/>
      <c r="N33" s="124"/>
    </row>
    <row r="34" spans="1:14" ht="15.75">
      <c r="A34" s="26"/>
      <c r="B34" s="27" t="s">
        <v>23</v>
      </c>
      <c r="C34" s="27"/>
      <c r="D34" s="28"/>
      <c r="E34" s="27"/>
      <c r="F34" s="28" t="s">
        <v>156</v>
      </c>
      <c r="G34" s="28"/>
      <c r="H34" s="28" t="s">
        <v>156</v>
      </c>
      <c r="I34" s="28"/>
      <c r="J34" s="28"/>
      <c r="K34" s="30"/>
      <c r="L34" s="30"/>
      <c r="M34" s="27"/>
      <c r="N34" s="124"/>
    </row>
    <row r="35" spans="1:14" ht="15.75">
      <c r="A35" s="26"/>
      <c r="B35" s="27" t="s">
        <v>24</v>
      </c>
      <c r="C35" s="27"/>
      <c r="D35" s="28"/>
      <c r="E35" s="27"/>
      <c r="F35" s="28" t="s">
        <v>157</v>
      </c>
      <c r="G35" s="28"/>
      <c r="H35" s="28" t="s">
        <v>167</v>
      </c>
      <c r="I35" s="28"/>
      <c r="J35" s="28"/>
      <c r="K35" s="30"/>
      <c r="L35" s="30"/>
      <c r="M35" s="27"/>
      <c r="N35" s="124"/>
    </row>
    <row r="36" spans="1:14" ht="15.75">
      <c r="A36" s="26"/>
      <c r="B36" s="27"/>
      <c r="C36" s="27"/>
      <c r="D36" s="46"/>
      <c r="E36" s="46"/>
      <c r="F36" s="27"/>
      <c r="G36" s="46"/>
      <c r="H36" s="46"/>
      <c r="I36" s="46"/>
      <c r="J36" s="46"/>
      <c r="K36" s="46"/>
      <c r="L36" s="46"/>
      <c r="M36" s="27"/>
      <c r="N36" s="124"/>
    </row>
    <row r="37" spans="1:14" ht="15.75">
      <c r="A37" s="26"/>
      <c r="B37" s="27" t="s">
        <v>25</v>
      </c>
      <c r="C37" s="27"/>
      <c r="D37" s="27"/>
      <c r="E37" s="27"/>
      <c r="F37" s="27"/>
      <c r="G37" s="27"/>
      <c r="H37" s="27"/>
      <c r="I37" s="27"/>
      <c r="J37" s="27"/>
      <c r="K37" s="27"/>
      <c r="L37" s="45">
        <f>H27/F27</f>
        <v>0.1111111111111111</v>
      </c>
      <c r="M37" s="27"/>
      <c r="N37" s="124"/>
    </row>
    <row r="38" spans="1:14" ht="15.75">
      <c r="A38" s="26"/>
      <c r="B38" s="27" t="s">
        <v>26</v>
      </c>
      <c r="C38" s="27"/>
      <c r="D38" s="27"/>
      <c r="E38" s="27"/>
      <c r="F38" s="27"/>
      <c r="G38" s="27"/>
      <c r="H38" s="27"/>
      <c r="I38" s="27"/>
      <c r="J38" s="27"/>
      <c r="K38" s="27"/>
      <c r="L38" s="45">
        <f>H29/F29</f>
        <v>0.11442579761646486</v>
      </c>
      <c r="M38" s="27"/>
      <c r="N38" s="124"/>
    </row>
    <row r="39" spans="1:14" ht="15.75">
      <c r="A39" s="26"/>
      <c r="B39" s="27" t="s">
        <v>27</v>
      </c>
      <c r="C39" s="27"/>
      <c r="D39" s="27"/>
      <c r="E39" s="27"/>
      <c r="F39" s="27"/>
      <c r="G39" s="27"/>
      <c r="H39" s="27"/>
      <c r="I39" s="27"/>
      <c r="J39" s="28" t="s">
        <v>149</v>
      </c>
      <c r="K39" s="28" t="s">
        <v>181</v>
      </c>
      <c r="L39" s="34">
        <v>74000</v>
      </c>
      <c r="M39" s="27"/>
      <c r="N39" s="124"/>
    </row>
    <row r="40" spans="1:14" ht="15.75">
      <c r="A40" s="26"/>
      <c r="B40" s="27"/>
      <c r="C40" s="27"/>
      <c r="D40" s="27"/>
      <c r="E40" s="27"/>
      <c r="F40" s="27"/>
      <c r="G40" s="27"/>
      <c r="H40" s="27"/>
      <c r="I40" s="27"/>
      <c r="J40" s="27" t="s">
        <v>173</v>
      </c>
      <c r="K40" s="27"/>
      <c r="L40" s="47"/>
      <c r="M40" s="27"/>
      <c r="N40" s="124"/>
    </row>
    <row r="41" spans="1:14" ht="15.75">
      <c r="A41" s="26"/>
      <c r="B41" s="27" t="s">
        <v>28</v>
      </c>
      <c r="C41" s="27"/>
      <c r="D41" s="27"/>
      <c r="E41" s="27"/>
      <c r="F41" s="27"/>
      <c r="G41" s="27"/>
      <c r="H41" s="27"/>
      <c r="I41" s="27"/>
      <c r="J41" s="28"/>
      <c r="K41" s="28"/>
      <c r="L41" s="28" t="s">
        <v>184</v>
      </c>
      <c r="M41" s="27"/>
      <c r="N41" s="124"/>
    </row>
    <row r="42" spans="1:14" ht="15.75">
      <c r="A42" s="31"/>
      <c r="B42" s="32" t="s">
        <v>29</v>
      </c>
      <c r="C42" s="32"/>
      <c r="D42" s="32"/>
      <c r="E42" s="32"/>
      <c r="F42" s="32"/>
      <c r="G42" s="32"/>
      <c r="H42" s="32"/>
      <c r="I42" s="32"/>
      <c r="J42" s="48"/>
      <c r="K42" s="48"/>
      <c r="L42" s="49">
        <v>36784</v>
      </c>
      <c r="M42" s="27"/>
      <c r="N42" s="124"/>
    </row>
    <row r="43" spans="1:14" ht="15.75">
      <c r="A43" s="26"/>
      <c r="B43" s="27" t="s">
        <v>30</v>
      </c>
      <c r="C43" s="27"/>
      <c r="D43" s="27"/>
      <c r="E43" s="27"/>
      <c r="F43" s="27"/>
      <c r="G43" s="27"/>
      <c r="H43" s="27"/>
      <c r="I43" s="27">
        <f>L43-J43+1</f>
        <v>107</v>
      </c>
      <c r="J43" s="50">
        <v>36585</v>
      </c>
      <c r="K43" s="51"/>
      <c r="L43" s="50">
        <v>36691</v>
      </c>
      <c r="M43" s="27"/>
      <c r="N43" s="124"/>
    </row>
    <row r="44" spans="1:14" ht="15.75">
      <c r="A44" s="26"/>
      <c r="B44" s="27" t="s">
        <v>31</v>
      </c>
      <c r="C44" s="27"/>
      <c r="D44" s="27"/>
      <c r="E44" s="27"/>
      <c r="F44" s="27"/>
      <c r="G44" s="27"/>
      <c r="H44" s="27"/>
      <c r="I44" s="27">
        <f>L44-J44+1</f>
        <v>92</v>
      </c>
      <c r="J44" s="50">
        <v>36692</v>
      </c>
      <c r="K44" s="51"/>
      <c r="L44" s="50">
        <v>36783</v>
      </c>
      <c r="M44" s="27"/>
      <c r="N44" s="124"/>
    </row>
    <row r="45" spans="1:14" ht="15.75">
      <c r="A45" s="26"/>
      <c r="B45" s="27" t="s">
        <v>32</v>
      </c>
      <c r="C45" s="27"/>
      <c r="D45" s="27"/>
      <c r="E45" s="27"/>
      <c r="F45" s="27"/>
      <c r="G45" s="27"/>
      <c r="H45" s="27"/>
      <c r="I45" s="27"/>
      <c r="J45" s="50"/>
      <c r="K45" s="51"/>
      <c r="L45" s="50" t="s">
        <v>185</v>
      </c>
      <c r="M45" s="27"/>
      <c r="N45" s="124"/>
    </row>
    <row r="46" spans="1:14" ht="15.75">
      <c r="A46" s="26"/>
      <c r="B46" s="27" t="s">
        <v>33</v>
      </c>
      <c r="C46" s="27"/>
      <c r="D46" s="27"/>
      <c r="E46" s="27"/>
      <c r="F46" s="27"/>
      <c r="G46" s="27"/>
      <c r="H46" s="27"/>
      <c r="I46" s="27"/>
      <c r="J46" s="50"/>
      <c r="K46" s="51"/>
      <c r="L46" s="50">
        <v>36777</v>
      </c>
      <c r="M46" s="27"/>
      <c r="N46" s="124"/>
    </row>
    <row r="47" spans="1:14" ht="15.75">
      <c r="A47" s="26"/>
      <c r="B47" s="27"/>
      <c r="C47" s="27"/>
      <c r="D47" s="27"/>
      <c r="E47" s="27"/>
      <c r="F47" s="27"/>
      <c r="G47" s="27"/>
      <c r="H47" s="27"/>
      <c r="I47" s="27"/>
      <c r="J47" s="50"/>
      <c r="K47" s="51"/>
      <c r="L47" s="50"/>
      <c r="M47" s="27"/>
      <c r="N47" s="124"/>
    </row>
    <row r="48" spans="1:14" ht="15.75">
      <c r="A48" s="8"/>
      <c r="B48" s="10"/>
      <c r="C48" s="10"/>
      <c r="D48" s="10"/>
      <c r="E48" s="10"/>
      <c r="F48" s="10"/>
      <c r="G48" s="10"/>
      <c r="H48" s="10"/>
      <c r="I48" s="10"/>
      <c r="J48" s="52"/>
      <c r="K48" s="53"/>
      <c r="L48" s="52"/>
      <c r="M48" s="10"/>
      <c r="N48" s="124"/>
    </row>
    <row r="49" spans="1:14" ht="19.5" thickBot="1">
      <c r="A49" s="129"/>
      <c r="B49" s="130" t="s">
        <v>190</v>
      </c>
      <c r="C49" s="131"/>
      <c r="D49" s="131"/>
      <c r="E49" s="131"/>
      <c r="F49" s="131"/>
      <c r="G49" s="131"/>
      <c r="H49" s="131"/>
      <c r="I49" s="131"/>
      <c r="J49" s="132"/>
      <c r="K49" s="133"/>
      <c r="L49" s="132"/>
      <c r="M49" s="134"/>
      <c r="N49" s="124"/>
    </row>
    <row r="50" spans="1:14" ht="15.75">
      <c r="A50" s="2"/>
      <c r="B50" s="5"/>
      <c r="C50" s="5"/>
      <c r="D50" s="5"/>
      <c r="E50" s="5"/>
      <c r="F50" s="5"/>
      <c r="G50" s="5"/>
      <c r="H50" s="5"/>
      <c r="I50" s="5"/>
      <c r="J50" s="5"/>
      <c r="K50" s="5"/>
      <c r="L50" s="55"/>
      <c r="M50" s="5"/>
      <c r="N50" s="124"/>
    </row>
    <row r="51" spans="1:14" ht="15.75">
      <c r="A51" s="8"/>
      <c r="B51" s="56" t="s">
        <v>35</v>
      </c>
      <c r="C51" s="16"/>
      <c r="D51" s="10"/>
      <c r="E51" s="10"/>
      <c r="F51" s="10"/>
      <c r="G51" s="10"/>
      <c r="H51" s="10"/>
      <c r="I51" s="10"/>
      <c r="J51" s="10"/>
      <c r="K51" s="10"/>
      <c r="L51" s="57"/>
      <c r="M51" s="10"/>
      <c r="N51" s="124"/>
    </row>
    <row r="52" spans="1:14" ht="15.75">
      <c r="A52" s="8"/>
      <c r="B52" s="16"/>
      <c r="C52" s="16"/>
      <c r="D52" s="10"/>
      <c r="E52" s="10"/>
      <c r="F52" s="10"/>
      <c r="G52" s="10"/>
      <c r="H52" s="10"/>
      <c r="I52" s="10"/>
      <c r="J52" s="10"/>
      <c r="K52" s="10"/>
      <c r="L52" s="57"/>
      <c r="M52" s="10"/>
      <c r="N52" s="124"/>
    </row>
    <row r="53" spans="1:14" s="152" customFormat="1" ht="63">
      <c r="A53" s="146"/>
      <c r="B53" s="147" t="s">
        <v>36</v>
      </c>
      <c r="C53" s="148" t="s">
        <v>143</v>
      </c>
      <c r="D53" s="148" t="s">
        <v>145</v>
      </c>
      <c r="E53" s="148"/>
      <c r="F53" s="148" t="s">
        <v>158</v>
      </c>
      <c r="G53" s="148"/>
      <c r="H53" s="148" t="s">
        <v>168</v>
      </c>
      <c r="I53" s="148"/>
      <c r="J53" s="148" t="s">
        <v>174</v>
      </c>
      <c r="K53" s="148"/>
      <c r="L53" s="149" t="s">
        <v>186</v>
      </c>
      <c r="M53" s="150"/>
      <c r="N53" s="151"/>
    </row>
    <row r="54" spans="1:14" ht="15.75">
      <c r="A54" s="26"/>
      <c r="B54" s="27" t="s">
        <v>37</v>
      </c>
      <c r="C54" s="37">
        <v>158981</v>
      </c>
      <c r="D54" s="37">
        <v>182789</v>
      </c>
      <c r="E54" s="37"/>
      <c r="F54" s="37">
        <f>2612+1159</f>
        <v>3771</v>
      </c>
      <c r="G54" s="37"/>
      <c r="H54" s="37">
        <v>1159</v>
      </c>
      <c r="I54" s="37"/>
      <c r="J54" s="37">
        <v>0</v>
      </c>
      <c r="K54" s="37"/>
      <c r="L54" s="58">
        <f>D54-F54+H54-J54</f>
        <v>180177</v>
      </c>
      <c r="M54" s="27"/>
      <c r="N54" s="124"/>
    </row>
    <row r="55" spans="1:14" ht="15.75">
      <c r="A55" s="26"/>
      <c r="B55" s="27" t="s">
        <v>38</v>
      </c>
      <c r="C55" s="37">
        <v>141</v>
      </c>
      <c r="D55" s="37">
        <v>0</v>
      </c>
      <c r="E55" s="37"/>
      <c r="F55" s="37">
        <v>0</v>
      </c>
      <c r="G55" s="37"/>
      <c r="H55" s="37">
        <v>0</v>
      </c>
      <c r="I55" s="37"/>
      <c r="J55" s="37">
        <v>0</v>
      </c>
      <c r="K55" s="37"/>
      <c r="L55" s="58">
        <f>D55-F55+H55-J55</f>
        <v>0</v>
      </c>
      <c r="M55" s="27"/>
      <c r="N55" s="124"/>
    </row>
    <row r="56" spans="1:14" ht="15.75">
      <c r="A56" s="26"/>
      <c r="B56" s="27"/>
      <c r="C56" s="37"/>
      <c r="D56" s="37"/>
      <c r="E56" s="37"/>
      <c r="F56" s="37"/>
      <c r="G56" s="37"/>
      <c r="H56" s="37"/>
      <c r="I56" s="37"/>
      <c r="J56" s="37"/>
      <c r="K56" s="37"/>
      <c r="L56" s="58"/>
      <c r="M56" s="27"/>
      <c r="N56" s="124"/>
    </row>
    <row r="57" spans="1:14" ht="15.75">
      <c r="A57" s="26"/>
      <c r="B57" s="27" t="s">
        <v>39</v>
      </c>
      <c r="C57" s="37">
        <f>SUM(C54:C56)</f>
        <v>159122</v>
      </c>
      <c r="D57" s="37">
        <f>SUM(D54:D56)</f>
        <v>182789</v>
      </c>
      <c r="E57" s="37"/>
      <c r="F57" s="37">
        <f>SUM(F54:F56)</f>
        <v>3771</v>
      </c>
      <c r="G57" s="37"/>
      <c r="H57" s="37">
        <f>SUM(H54:H56)</f>
        <v>1159</v>
      </c>
      <c r="I57" s="37"/>
      <c r="J57" s="37">
        <f>SUM(J54:J56)</f>
        <v>0</v>
      </c>
      <c r="K57" s="37"/>
      <c r="L57" s="59">
        <f>SUM(L54:L56)</f>
        <v>180177</v>
      </c>
      <c r="M57" s="27"/>
      <c r="N57" s="124"/>
    </row>
    <row r="58" spans="1:14" ht="15.75">
      <c r="A58" s="26"/>
      <c r="B58" s="27"/>
      <c r="C58" s="37"/>
      <c r="D58" s="37"/>
      <c r="E58" s="37"/>
      <c r="F58" s="37"/>
      <c r="G58" s="37"/>
      <c r="H58" s="37"/>
      <c r="I58" s="37"/>
      <c r="J58" s="37"/>
      <c r="K58" s="37"/>
      <c r="L58" s="59"/>
      <c r="M58" s="27"/>
      <c r="N58" s="124"/>
    </row>
    <row r="59" spans="1:14" ht="15.75">
      <c r="A59" s="8"/>
      <c r="B59" s="143" t="s">
        <v>40</v>
      </c>
      <c r="C59" s="60"/>
      <c r="D59" s="60"/>
      <c r="E59" s="60"/>
      <c r="F59" s="60"/>
      <c r="G59" s="60"/>
      <c r="H59" s="60"/>
      <c r="I59" s="60"/>
      <c r="J59" s="60"/>
      <c r="K59" s="60"/>
      <c r="L59" s="61"/>
      <c r="M59" s="10"/>
      <c r="N59" s="124"/>
    </row>
    <row r="60" spans="1:14" ht="15.75">
      <c r="A60" s="8"/>
      <c r="B60" s="10"/>
      <c r="C60" s="60"/>
      <c r="D60" s="60"/>
      <c r="E60" s="60"/>
      <c r="F60" s="60"/>
      <c r="G60" s="60"/>
      <c r="H60" s="60"/>
      <c r="I60" s="60"/>
      <c r="J60" s="60"/>
      <c r="K60" s="60"/>
      <c r="L60" s="61"/>
      <c r="M60" s="10"/>
      <c r="N60" s="124"/>
    </row>
    <row r="61" spans="1:14" ht="15.75">
      <c r="A61" s="26"/>
      <c r="B61" s="27" t="s">
        <v>37</v>
      </c>
      <c r="C61" s="37"/>
      <c r="D61" s="37"/>
      <c r="E61" s="37"/>
      <c r="F61" s="37"/>
      <c r="G61" s="37"/>
      <c r="H61" s="37"/>
      <c r="I61" s="37"/>
      <c r="J61" s="37"/>
      <c r="K61" s="37"/>
      <c r="L61" s="59"/>
      <c r="M61" s="27"/>
      <c r="N61" s="124"/>
    </row>
    <row r="62" spans="1:14" ht="15.75">
      <c r="A62" s="26"/>
      <c r="B62" s="27" t="s">
        <v>38</v>
      </c>
      <c r="C62" s="37"/>
      <c r="D62" s="37"/>
      <c r="E62" s="37"/>
      <c r="F62" s="37"/>
      <c r="G62" s="37"/>
      <c r="H62" s="37"/>
      <c r="I62" s="37"/>
      <c r="J62" s="37"/>
      <c r="K62" s="37"/>
      <c r="L62" s="59"/>
      <c r="M62" s="27"/>
      <c r="N62" s="124"/>
    </row>
    <row r="63" spans="1:14" ht="15.75">
      <c r="A63" s="26"/>
      <c r="B63" s="27"/>
      <c r="C63" s="37"/>
      <c r="D63" s="37"/>
      <c r="E63" s="37"/>
      <c r="F63" s="37"/>
      <c r="G63" s="37"/>
      <c r="H63" s="37"/>
      <c r="I63" s="37"/>
      <c r="J63" s="37"/>
      <c r="K63" s="37"/>
      <c r="L63" s="59"/>
      <c r="M63" s="27"/>
      <c r="N63" s="124"/>
    </row>
    <row r="64" spans="1:14" ht="15.75">
      <c r="A64" s="26"/>
      <c r="B64" s="27" t="s">
        <v>39</v>
      </c>
      <c r="C64" s="37"/>
      <c r="D64" s="37"/>
      <c r="E64" s="37"/>
      <c r="F64" s="37"/>
      <c r="G64" s="37"/>
      <c r="H64" s="37"/>
      <c r="I64" s="37"/>
      <c r="J64" s="37"/>
      <c r="K64" s="37"/>
      <c r="L64" s="37"/>
      <c r="M64" s="27"/>
      <c r="N64" s="124"/>
    </row>
    <row r="65" spans="1:14" ht="15.75">
      <c r="A65" s="26"/>
      <c r="B65" s="27"/>
      <c r="C65" s="37"/>
      <c r="D65" s="37"/>
      <c r="E65" s="37"/>
      <c r="F65" s="37"/>
      <c r="G65" s="37"/>
      <c r="H65" s="37"/>
      <c r="I65" s="37"/>
      <c r="J65" s="37"/>
      <c r="K65" s="37"/>
      <c r="L65" s="37"/>
      <c r="M65" s="27"/>
      <c r="N65" s="124"/>
    </row>
    <row r="66" spans="1:14" ht="15.75">
      <c r="A66" s="26"/>
      <c r="B66" s="27" t="s">
        <v>41</v>
      </c>
      <c r="C66" s="37">
        <v>0</v>
      </c>
      <c r="D66" s="37">
        <v>0</v>
      </c>
      <c r="E66" s="37"/>
      <c r="F66" s="37"/>
      <c r="G66" s="37"/>
      <c r="H66" s="37"/>
      <c r="I66" s="37"/>
      <c r="J66" s="37"/>
      <c r="K66" s="37"/>
      <c r="L66" s="58">
        <f>D66-F66+H66-J66</f>
        <v>0</v>
      </c>
      <c r="M66" s="27"/>
      <c r="N66" s="124"/>
    </row>
    <row r="67" spans="1:14" ht="15.75">
      <c r="A67" s="26"/>
      <c r="B67" s="27" t="s">
        <v>42</v>
      </c>
      <c r="C67" s="37">
        <v>25878</v>
      </c>
      <c r="D67" s="37">
        <v>0</v>
      </c>
      <c r="E67" s="37"/>
      <c r="F67" s="37"/>
      <c r="G67" s="37"/>
      <c r="H67" s="37"/>
      <c r="I67" s="37"/>
      <c r="J67" s="37"/>
      <c r="K67" s="37"/>
      <c r="L67" s="59">
        <v>0</v>
      </c>
      <c r="M67" s="27"/>
      <c r="N67" s="124"/>
    </row>
    <row r="68" spans="1:14" ht="15.75">
      <c r="A68" s="26"/>
      <c r="B68" s="27" t="s">
        <v>43</v>
      </c>
      <c r="C68" s="37">
        <v>0</v>
      </c>
      <c r="D68" s="37">
        <f>L123</f>
        <v>0</v>
      </c>
      <c r="E68" s="37"/>
      <c r="F68" s="37"/>
      <c r="G68" s="37"/>
      <c r="H68" s="37"/>
      <c r="I68" s="37"/>
      <c r="J68" s="37"/>
      <c r="K68" s="37"/>
      <c r="L68" s="59">
        <f>SUM(C68:K68)</f>
        <v>0</v>
      </c>
      <c r="M68" s="27"/>
      <c r="N68" s="124"/>
    </row>
    <row r="69" spans="1:14" ht="15.75">
      <c r="A69" s="26"/>
      <c r="B69" s="27" t="s">
        <v>44</v>
      </c>
      <c r="C69" s="59">
        <f>SUM(C57:C68)</f>
        <v>185000</v>
      </c>
      <c r="D69" s="59">
        <f>SUM(D57:D68)</f>
        <v>182789</v>
      </c>
      <c r="E69" s="37"/>
      <c r="F69" s="59"/>
      <c r="G69" s="37"/>
      <c r="H69" s="59"/>
      <c r="I69" s="37"/>
      <c r="J69" s="59"/>
      <c r="K69" s="37"/>
      <c r="L69" s="59">
        <f>SUM(L57:L68)</f>
        <v>180177</v>
      </c>
      <c r="M69" s="27"/>
      <c r="N69" s="124"/>
    </row>
    <row r="70" spans="1:14" ht="15.75">
      <c r="A70" s="8"/>
      <c r="B70" s="10"/>
      <c r="C70" s="10"/>
      <c r="D70" s="10"/>
      <c r="E70" s="10"/>
      <c r="F70" s="10"/>
      <c r="G70" s="10"/>
      <c r="H70" s="10"/>
      <c r="I70" s="10"/>
      <c r="J70" s="10"/>
      <c r="K70" s="10"/>
      <c r="L70" s="10"/>
      <c r="M70" s="10"/>
      <c r="N70" s="124"/>
    </row>
    <row r="71" spans="1:14" ht="15.75">
      <c r="A71" s="8"/>
      <c r="B71" s="56" t="s">
        <v>45</v>
      </c>
      <c r="C71" s="17"/>
      <c r="D71" s="17"/>
      <c r="E71" s="17"/>
      <c r="F71" s="17"/>
      <c r="G71" s="17"/>
      <c r="H71" s="17"/>
      <c r="I71" s="63"/>
      <c r="J71" s="63" t="s">
        <v>175</v>
      </c>
      <c r="K71" s="63"/>
      <c r="L71" s="63" t="s">
        <v>187</v>
      </c>
      <c r="M71" s="10"/>
      <c r="N71" s="124"/>
    </row>
    <row r="72" spans="1:14" ht="15.75">
      <c r="A72" s="26"/>
      <c r="B72" s="27" t="s">
        <v>46</v>
      </c>
      <c r="C72" s="27"/>
      <c r="D72" s="27"/>
      <c r="E72" s="27"/>
      <c r="F72" s="27"/>
      <c r="G72" s="27"/>
      <c r="H72" s="27"/>
      <c r="I72" s="27"/>
      <c r="J72" s="37">
        <v>0</v>
      </c>
      <c r="K72" s="27"/>
      <c r="L72" s="58">
        <v>0</v>
      </c>
      <c r="M72" s="27"/>
      <c r="N72" s="124"/>
    </row>
    <row r="73" spans="1:14" ht="15.75">
      <c r="A73" s="26"/>
      <c r="B73" s="27" t="s">
        <v>47</v>
      </c>
      <c r="C73" s="46" t="s">
        <v>144</v>
      </c>
      <c r="D73" s="64">
        <v>36769</v>
      </c>
      <c r="E73" s="27"/>
      <c r="F73" s="27"/>
      <c r="G73" s="27"/>
      <c r="H73" s="27"/>
      <c r="I73" s="27"/>
      <c r="J73" s="37">
        <v>3771</v>
      </c>
      <c r="K73" s="27"/>
      <c r="L73" s="58"/>
      <c r="M73" s="27"/>
      <c r="N73" s="124"/>
    </row>
    <row r="74" spans="1:14" ht="15.75">
      <c r="A74" s="26"/>
      <c r="B74" s="27" t="s">
        <v>48</v>
      </c>
      <c r="C74" s="27"/>
      <c r="D74" s="27"/>
      <c r="E74" s="27"/>
      <c r="F74" s="27"/>
      <c r="G74" s="27"/>
      <c r="H74" s="27"/>
      <c r="I74" s="27"/>
      <c r="J74" s="37"/>
      <c r="K74" s="27"/>
      <c r="L74" s="58">
        <f>3177+379</f>
        <v>3556</v>
      </c>
      <c r="M74" s="27"/>
      <c r="N74" s="124"/>
    </row>
    <row r="75" spans="1:14" ht="15.75">
      <c r="A75" s="26"/>
      <c r="B75" s="27" t="s">
        <v>49</v>
      </c>
      <c r="C75" s="27"/>
      <c r="D75" s="27"/>
      <c r="E75" s="27"/>
      <c r="F75" s="27"/>
      <c r="G75" s="27"/>
      <c r="H75" s="27"/>
      <c r="I75" s="27"/>
      <c r="J75" s="37"/>
      <c r="K75" s="27"/>
      <c r="L75" s="58">
        <v>158</v>
      </c>
      <c r="M75" s="27"/>
      <c r="N75" s="124"/>
    </row>
    <row r="76" spans="1:14" ht="15.75">
      <c r="A76" s="26"/>
      <c r="B76" s="27" t="s">
        <v>50</v>
      </c>
      <c r="C76" s="27"/>
      <c r="D76" s="27"/>
      <c r="E76" s="27"/>
      <c r="F76" s="27"/>
      <c r="G76" s="27"/>
      <c r="H76" s="27"/>
      <c r="I76" s="27"/>
      <c r="J76" s="37">
        <f>SUM(J72:J75)</f>
        <v>3771</v>
      </c>
      <c r="K76" s="27"/>
      <c r="L76" s="59">
        <f>SUM(L72:L75)</f>
        <v>3714</v>
      </c>
      <c r="M76" s="27"/>
      <c r="N76" s="124"/>
    </row>
    <row r="77" spans="1:14" ht="15.75">
      <c r="A77" s="26"/>
      <c r="B77" s="27" t="s">
        <v>51</v>
      </c>
      <c r="C77" s="27"/>
      <c r="D77" s="27"/>
      <c r="E77" s="27"/>
      <c r="F77" s="27"/>
      <c r="G77" s="27"/>
      <c r="H77" s="27"/>
      <c r="I77" s="27"/>
      <c r="J77" s="37">
        <v>0</v>
      </c>
      <c r="K77" s="27"/>
      <c r="L77" s="58">
        <v>0</v>
      </c>
      <c r="M77" s="27"/>
      <c r="N77" s="124"/>
    </row>
    <row r="78" spans="1:14" ht="15.75">
      <c r="A78" s="26"/>
      <c r="B78" s="27" t="s">
        <v>52</v>
      </c>
      <c r="C78" s="27"/>
      <c r="D78" s="27"/>
      <c r="E78" s="27"/>
      <c r="F78" s="27"/>
      <c r="G78" s="27"/>
      <c r="H78" s="27"/>
      <c r="I78" s="27"/>
      <c r="J78" s="37">
        <f>J76+J77</f>
        <v>3771</v>
      </c>
      <c r="K78" s="27"/>
      <c r="L78" s="59">
        <f>L76+L77</f>
        <v>3714</v>
      </c>
      <c r="M78" s="27"/>
      <c r="N78" s="124"/>
    </row>
    <row r="79" spans="1:14" ht="15.75">
      <c r="A79" s="26"/>
      <c r="B79" s="153" t="s">
        <v>53</v>
      </c>
      <c r="C79" s="65"/>
      <c r="D79" s="27"/>
      <c r="E79" s="27"/>
      <c r="F79" s="27"/>
      <c r="G79" s="27"/>
      <c r="H79" s="27"/>
      <c r="I79" s="27"/>
      <c r="J79" s="37"/>
      <c r="K79" s="27"/>
      <c r="L79" s="58"/>
      <c r="M79" s="27"/>
      <c r="N79" s="124"/>
    </row>
    <row r="80" spans="1:14" ht="15.75">
      <c r="A80" s="26">
        <v>1</v>
      </c>
      <c r="B80" s="27" t="s">
        <v>54</v>
      </c>
      <c r="C80" s="27"/>
      <c r="D80" s="27"/>
      <c r="E80" s="27"/>
      <c r="F80" s="27"/>
      <c r="G80" s="27"/>
      <c r="H80" s="27"/>
      <c r="I80" s="27"/>
      <c r="J80" s="27"/>
      <c r="K80" s="27"/>
      <c r="L80" s="58">
        <v>0</v>
      </c>
      <c r="M80" s="27"/>
      <c r="N80" s="124"/>
    </row>
    <row r="81" spans="1:14" ht="15.75">
      <c r="A81" s="26">
        <v>2</v>
      </c>
      <c r="B81" s="27" t="s">
        <v>55</v>
      </c>
      <c r="C81" s="27"/>
      <c r="D81" s="27"/>
      <c r="E81" s="27"/>
      <c r="F81" s="27"/>
      <c r="G81" s="27"/>
      <c r="H81" s="27"/>
      <c r="I81" s="27"/>
      <c r="J81" s="27"/>
      <c r="K81" s="27"/>
      <c r="L81" s="58">
        <v>-4</v>
      </c>
      <c r="M81" s="27"/>
      <c r="N81" s="124"/>
    </row>
    <row r="82" spans="1:14" ht="15.75">
      <c r="A82" s="26">
        <v>3</v>
      </c>
      <c r="B82" s="27" t="s">
        <v>56</v>
      </c>
      <c r="C82" s="27"/>
      <c r="D82" s="27"/>
      <c r="E82" s="27"/>
      <c r="F82" s="27"/>
      <c r="G82" s="27"/>
      <c r="H82" s="27"/>
      <c r="I82" s="27"/>
      <c r="J82" s="27"/>
      <c r="K82" s="27"/>
      <c r="L82" s="58">
        <v>-149</v>
      </c>
      <c r="M82" s="27"/>
      <c r="N82" s="124"/>
    </row>
    <row r="83" spans="1:14" ht="15.75">
      <c r="A83" s="26">
        <v>4</v>
      </c>
      <c r="B83" s="27" t="s">
        <v>57</v>
      </c>
      <c r="C83" s="27"/>
      <c r="D83" s="27"/>
      <c r="E83" s="27"/>
      <c r="F83" s="27"/>
      <c r="G83" s="27"/>
      <c r="H83" s="27"/>
      <c r="I83" s="27"/>
      <c r="J83" s="27"/>
      <c r="K83" s="27"/>
      <c r="L83" s="58">
        <v>-36</v>
      </c>
      <c r="M83" s="27"/>
      <c r="N83" s="124"/>
    </row>
    <row r="84" spans="1:14" ht="15.75">
      <c r="A84" s="26">
        <v>5</v>
      </c>
      <c r="B84" s="27" t="s">
        <v>58</v>
      </c>
      <c r="C84" s="27"/>
      <c r="D84" s="27"/>
      <c r="E84" s="27"/>
      <c r="F84" s="27"/>
      <c r="G84" s="27"/>
      <c r="H84" s="27"/>
      <c r="I84" s="27"/>
      <c r="J84" s="27"/>
      <c r="K84" s="27"/>
      <c r="L84" s="58">
        <v>-2687</v>
      </c>
      <c r="M84" s="27"/>
      <c r="N84" s="124"/>
    </row>
    <row r="85" spans="1:14" ht="15.75">
      <c r="A85" s="26">
        <v>6</v>
      </c>
      <c r="B85" s="27" t="s">
        <v>59</v>
      </c>
      <c r="C85" s="27"/>
      <c r="D85" s="27"/>
      <c r="E85" s="27"/>
      <c r="F85" s="27"/>
      <c r="G85" s="27"/>
      <c r="H85" s="27"/>
      <c r="I85" s="27"/>
      <c r="J85" s="27"/>
      <c r="K85" s="27"/>
      <c r="L85" s="58">
        <v>-329</v>
      </c>
      <c r="M85" s="27"/>
      <c r="N85" s="124"/>
    </row>
    <row r="86" spans="1:14" ht="15.75">
      <c r="A86" s="26">
        <v>7</v>
      </c>
      <c r="B86" s="27" t="s">
        <v>60</v>
      </c>
      <c r="C86" s="27"/>
      <c r="D86" s="27"/>
      <c r="E86" s="27"/>
      <c r="F86" s="27"/>
      <c r="G86" s="27"/>
      <c r="H86" s="27"/>
      <c r="I86" s="27"/>
      <c r="J86" s="27"/>
      <c r="K86" s="27"/>
      <c r="L86" s="58">
        <v>-3</v>
      </c>
      <c r="M86" s="27"/>
      <c r="N86" s="124"/>
    </row>
    <row r="87" spans="1:14" ht="15.75">
      <c r="A87" s="26">
        <v>8</v>
      </c>
      <c r="B87" s="27" t="s">
        <v>61</v>
      </c>
      <c r="C87" s="27"/>
      <c r="D87" s="27"/>
      <c r="E87" s="27"/>
      <c r="F87" s="27"/>
      <c r="G87" s="27"/>
      <c r="H87" s="27"/>
      <c r="I87" s="27"/>
      <c r="J87" s="27"/>
      <c r="K87" s="27"/>
      <c r="L87" s="58">
        <v>0</v>
      </c>
      <c r="M87" s="27"/>
      <c r="N87" s="124"/>
    </row>
    <row r="88" spans="1:14" ht="15.75">
      <c r="A88" s="26">
        <v>9</v>
      </c>
      <c r="B88" s="27" t="s">
        <v>62</v>
      </c>
      <c r="C88" s="27"/>
      <c r="D88" s="27"/>
      <c r="E88" s="27"/>
      <c r="F88" s="27"/>
      <c r="G88" s="27"/>
      <c r="H88" s="27"/>
      <c r="I88" s="27"/>
      <c r="J88" s="27"/>
      <c r="K88" s="27"/>
      <c r="L88" s="58">
        <v>0</v>
      </c>
      <c r="M88" s="27"/>
      <c r="N88" s="124"/>
    </row>
    <row r="89" spans="1:14" ht="15.75">
      <c r="A89" s="26">
        <v>10</v>
      </c>
      <c r="B89" s="27" t="s">
        <v>63</v>
      </c>
      <c r="C89" s="27"/>
      <c r="D89" s="27"/>
      <c r="E89" s="27"/>
      <c r="F89" s="27"/>
      <c r="G89" s="27"/>
      <c r="H89" s="27"/>
      <c r="I89" s="27"/>
      <c r="J89" s="27"/>
      <c r="K89" s="27"/>
      <c r="L89" s="58">
        <v>0</v>
      </c>
      <c r="M89" s="27"/>
      <c r="N89" s="124"/>
    </row>
    <row r="90" spans="1:14" ht="15.75">
      <c r="A90" s="26">
        <v>11</v>
      </c>
      <c r="B90" s="27" t="s">
        <v>64</v>
      </c>
      <c r="C90" s="27"/>
      <c r="D90" s="27"/>
      <c r="E90" s="27"/>
      <c r="F90" s="27"/>
      <c r="G90" s="27"/>
      <c r="H90" s="27"/>
      <c r="I90" s="27"/>
      <c r="J90" s="27"/>
      <c r="K90" s="27"/>
      <c r="L90" s="58">
        <v>0</v>
      </c>
      <c r="M90" s="27"/>
      <c r="N90" s="124"/>
    </row>
    <row r="91" spans="1:14" ht="15.75">
      <c r="A91" s="26">
        <v>12</v>
      </c>
      <c r="B91" s="27" t="s">
        <v>65</v>
      </c>
      <c r="C91" s="27"/>
      <c r="D91" s="27"/>
      <c r="E91" s="27"/>
      <c r="F91" s="27"/>
      <c r="G91" s="27"/>
      <c r="H91" s="27"/>
      <c r="I91" s="27"/>
      <c r="J91" s="27"/>
      <c r="K91" s="27"/>
      <c r="L91" s="58">
        <f>-43-193</f>
        <v>-236</v>
      </c>
      <c r="M91" s="27"/>
      <c r="N91" s="124"/>
    </row>
    <row r="92" spans="1:14" ht="15.75">
      <c r="A92" s="26">
        <v>13</v>
      </c>
      <c r="B92" s="27" t="s">
        <v>66</v>
      </c>
      <c r="C92" s="27"/>
      <c r="D92" s="27"/>
      <c r="E92" s="27"/>
      <c r="F92" s="27"/>
      <c r="G92" s="27"/>
      <c r="H92" s="27"/>
      <c r="I92" s="27"/>
      <c r="J92" s="27"/>
      <c r="K92" s="27"/>
      <c r="L92" s="58">
        <f>-SUM(L78:L91)</f>
        <v>-270</v>
      </c>
      <c r="M92" s="27"/>
      <c r="N92" s="124"/>
    </row>
    <row r="93" spans="1:14" ht="15.75">
      <c r="A93" s="26"/>
      <c r="B93" s="153" t="s">
        <v>67</v>
      </c>
      <c r="C93" s="65"/>
      <c r="D93" s="27"/>
      <c r="E93" s="27"/>
      <c r="F93" s="27"/>
      <c r="G93" s="27"/>
      <c r="H93" s="27"/>
      <c r="I93" s="27"/>
      <c r="J93" s="27"/>
      <c r="K93" s="27"/>
      <c r="L93" s="66"/>
      <c r="M93" s="27"/>
      <c r="N93" s="124"/>
    </row>
    <row r="94" spans="1:14" ht="15.75">
      <c r="A94" s="26"/>
      <c r="B94" s="27" t="s">
        <v>68</v>
      </c>
      <c r="C94" s="65"/>
      <c r="D94" s="27"/>
      <c r="E94" s="27"/>
      <c r="F94" s="27"/>
      <c r="G94" s="27"/>
      <c r="H94" s="27"/>
      <c r="I94" s="27"/>
      <c r="J94" s="37">
        <f>-J139</f>
        <v>-116</v>
      </c>
      <c r="K94" s="37"/>
      <c r="L94" s="58"/>
      <c r="M94" s="27"/>
      <c r="N94" s="124"/>
    </row>
    <row r="95" spans="1:14" ht="15.75">
      <c r="A95" s="26"/>
      <c r="B95" s="27" t="s">
        <v>69</v>
      </c>
      <c r="C95" s="27"/>
      <c r="D95" s="27"/>
      <c r="E95" s="27"/>
      <c r="F95" s="27"/>
      <c r="G95" s="27"/>
      <c r="H95" s="27"/>
      <c r="I95" s="27"/>
      <c r="J95" s="37">
        <f>-H139</f>
        <v>-1043</v>
      </c>
      <c r="K95" s="37"/>
      <c r="L95" s="58"/>
      <c r="M95" s="27"/>
      <c r="N95" s="124"/>
    </row>
    <row r="96" spans="1:14" ht="15.75">
      <c r="A96" s="26"/>
      <c r="B96" s="27" t="s">
        <v>70</v>
      </c>
      <c r="C96" s="27"/>
      <c r="D96" s="27"/>
      <c r="E96" s="27"/>
      <c r="F96" s="27"/>
      <c r="G96" s="27"/>
      <c r="H96" s="27"/>
      <c r="I96" s="27"/>
      <c r="J96" s="37">
        <v>-2612</v>
      </c>
      <c r="K96" s="37"/>
      <c r="L96" s="58"/>
      <c r="M96" s="27"/>
      <c r="N96" s="124"/>
    </row>
    <row r="97" spans="1:14" ht="15.75">
      <c r="A97" s="26"/>
      <c r="B97" s="27" t="s">
        <v>71</v>
      </c>
      <c r="C97" s="27"/>
      <c r="D97" s="27"/>
      <c r="E97" s="27"/>
      <c r="F97" s="27"/>
      <c r="G97" s="27"/>
      <c r="H97" s="27"/>
      <c r="I97" s="27"/>
      <c r="J97" s="37">
        <v>0</v>
      </c>
      <c r="K97" s="37"/>
      <c r="L97" s="58"/>
      <c r="M97" s="27"/>
      <c r="N97" s="124"/>
    </row>
    <row r="98" spans="1:14" ht="15.75">
      <c r="A98" s="26"/>
      <c r="B98" s="27" t="s">
        <v>72</v>
      </c>
      <c r="C98" s="27"/>
      <c r="D98" s="27"/>
      <c r="E98" s="27"/>
      <c r="F98" s="27"/>
      <c r="G98" s="27"/>
      <c r="H98" s="27"/>
      <c r="I98" s="27"/>
      <c r="J98" s="37">
        <f>SUM(J79:J97)</f>
        <v>-3771</v>
      </c>
      <c r="K98" s="37"/>
      <c r="L98" s="37">
        <f>SUM(L79:L97)</f>
        <v>-3714</v>
      </c>
      <c r="M98" s="27"/>
      <c r="N98" s="124"/>
    </row>
    <row r="99" spans="1:14" ht="15.75">
      <c r="A99" s="26"/>
      <c r="B99" s="27" t="s">
        <v>73</v>
      </c>
      <c r="C99" s="27"/>
      <c r="D99" s="27"/>
      <c r="E99" s="27"/>
      <c r="F99" s="27"/>
      <c r="G99" s="27"/>
      <c r="H99" s="27"/>
      <c r="I99" s="27"/>
      <c r="J99" s="37">
        <f>J78+J98</f>
        <v>0</v>
      </c>
      <c r="K99" s="37"/>
      <c r="L99" s="37">
        <f>L78+L98</f>
        <v>0</v>
      </c>
      <c r="M99" s="27"/>
      <c r="N99" s="124"/>
    </row>
    <row r="100" spans="1:14" ht="12" customHeight="1">
      <c r="A100" s="8"/>
      <c r="B100" s="10"/>
      <c r="C100" s="10"/>
      <c r="D100" s="10"/>
      <c r="E100" s="10"/>
      <c r="F100" s="10"/>
      <c r="G100" s="10"/>
      <c r="H100" s="10"/>
      <c r="I100" s="10"/>
      <c r="J100" s="10"/>
      <c r="K100" s="10"/>
      <c r="L100" s="57"/>
      <c r="M100" s="10"/>
      <c r="N100" s="124"/>
    </row>
    <row r="101" spans="1:14" ht="12" customHeight="1">
      <c r="A101" s="8"/>
      <c r="B101" s="10"/>
      <c r="C101" s="10"/>
      <c r="D101" s="10"/>
      <c r="E101" s="10"/>
      <c r="F101" s="10"/>
      <c r="G101" s="10"/>
      <c r="H101" s="10"/>
      <c r="I101" s="10"/>
      <c r="J101" s="10"/>
      <c r="K101" s="10"/>
      <c r="L101" s="57"/>
      <c r="M101" s="10"/>
      <c r="N101" s="124"/>
    </row>
    <row r="102" spans="1:14" ht="18" customHeight="1" thickBot="1">
      <c r="A102" s="129"/>
      <c r="B102" s="130" t="s">
        <v>190</v>
      </c>
      <c r="C102" s="131"/>
      <c r="D102" s="131"/>
      <c r="E102" s="131"/>
      <c r="F102" s="131"/>
      <c r="G102" s="131"/>
      <c r="H102" s="131"/>
      <c r="I102" s="131"/>
      <c r="J102" s="131"/>
      <c r="K102" s="131"/>
      <c r="L102" s="135"/>
      <c r="M102" s="134"/>
      <c r="N102" s="124"/>
    </row>
    <row r="103" spans="1:14" ht="12" customHeight="1">
      <c r="A103" s="2"/>
      <c r="B103" s="5"/>
      <c r="C103" s="5"/>
      <c r="D103" s="5"/>
      <c r="E103" s="5"/>
      <c r="F103" s="5"/>
      <c r="G103" s="5"/>
      <c r="H103" s="5"/>
      <c r="I103" s="5"/>
      <c r="J103" s="5"/>
      <c r="K103" s="5"/>
      <c r="L103" s="67"/>
      <c r="M103" s="5"/>
      <c r="N103" s="124"/>
    </row>
    <row r="104" spans="1:14" ht="15.75">
      <c r="A104" s="8"/>
      <c r="B104" s="56" t="s">
        <v>74</v>
      </c>
      <c r="C104" s="16"/>
      <c r="D104" s="10"/>
      <c r="E104" s="10"/>
      <c r="F104" s="10"/>
      <c r="G104" s="10"/>
      <c r="H104" s="10"/>
      <c r="I104" s="10"/>
      <c r="J104" s="10"/>
      <c r="K104" s="10"/>
      <c r="L104" s="57"/>
      <c r="M104" s="10"/>
      <c r="N104" s="124"/>
    </row>
    <row r="105" spans="1:14" ht="15.75">
      <c r="A105" s="8"/>
      <c r="B105" s="22"/>
      <c r="C105" s="16"/>
      <c r="D105" s="10"/>
      <c r="E105" s="10"/>
      <c r="F105" s="10"/>
      <c r="G105" s="10"/>
      <c r="H105" s="10"/>
      <c r="I105" s="10"/>
      <c r="J105" s="10"/>
      <c r="K105" s="10"/>
      <c r="L105" s="57"/>
      <c r="M105" s="10"/>
      <c r="N105" s="124"/>
    </row>
    <row r="106" spans="1:14" ht="15.75">
      <c r="A106" s="8"/>
      <c r="B106" s="154" t="s">
        <v>75</v>
      </c>
      <c r="C106" s="16"/>
      <c r="D106" s="10"/>
      <c r="E106" s="10"/>
      <c r="F106" s="10"/>
      <c r="G106" s="10"/>
      <c r="H106" s="10"/>
      <c r="I106" s="10"/>
      <c r="J106" s="10"/>
      <c r="K106" s="10"/>
      <c r="L106" s="57"/>
      <c r="M106" s="10"/>
      <c r="N106" s="124"/>
    </row>
    <row r="107" spans="1:14" ht="15.75">
      <c r="A107" s="26"/>
      <c r="B107" s="27" t="s">
        <v>76</v>
      </c>
      <c r="C107" s="27"/>
      <c r="D107" s="27"/>
      <c r="E107" s="27"/>
      <c r="F107" s="27"/>
      <c r="G107" s="27"/>
      <c r="H107" s="27"/>
      <c r="I107" s="27"/>
      <c r="J107" s="27"/>
      <c r="K107" s="27"/>
      <c r="L107" s="58">
        <v>4995</v>
      </c>
      <c r="M107" s="27"/>
      <c r="N107" s="124"/>
    </row>
    <row r="108" spans="1:14" ht="15.75">
      <c r="A108" s="26"/>
      <c r="B108" s="27" t="s">
        <v>77</v>
      </c>
      <c r="C108" s="27"/>
      <c r="D108" s="27"/>
      <c r="E108" s="27"/>
      <c r="F108" s="27"/>
      <c r="G108" s="27"/>
      <c r="H108" s="27"/>
      <c r="I108" s="27"/>
      <c r="J108" s="27"/>
      <c r="K108" s="27"/>
      <c r="L108" s="58">
        <v>4995</v>
      </c>
      <c r="M108" s="27"/>
      <c r="N108" s="124"/>
    </row>
    <row r="109" spans="1:14" ht="15.75">
      <c r="A109" s="26"/>
      <c r="B109" s="27" t="s">
        <v>78</v>
      </c>
      <c r="C109" s="27"/>
      <c r="D109" s="27"/>
      <c r="E109" s="27"/>
      <c r="F109" s="27"/>
      <c r="G109" s="27"/>
      <c r="H109" s="27"/>
      <c r="I109" s="27"/>
      <c r="J109" s="27"/>
      <c r="K109" s="27"/>
      <c r="L109" s="58">
        <v>0</v>
      </c>
      <c r="M109" s="27"/>
      <c r="N109" s="124"/>
    </row>
    <row r="110" spans="1:14" ht="15.75">
      <c r="A110" s="26"/>
      <c r="B110" s="27" t="s">
        <v>79</v>
      </c>
      <c r="C110" s="27"/>
      <c r="D110" s="27"/>
      <c r="E110" s="27"/>
      <c r="F110" s="27"/>
      <c r="G110" s="27"/>
      <c r="H110" s="27"/>
      <c r="I110" s="27"/>
      <c r="J110" s="27"/>
      <c r="K110" s="27"/>
      <c r="L110" s="58"/>
      <c r="M110" s="27"/>
      <c r="N110" s="124"/>
    </row>
    <row r="111" spans="1:14" ht="15.75">
      <c r="A111" s="26"/>
      <c r="B111" s="27" t="s">
        <v>80</v>
      </c>
      <c r="C111" s="27"/>
      <c r="D111" s="27"/>
      <c r="E111" s="27"/>
      <c r="F111" s="27"/>
      <c r="G111" s="27"/>
      <c r="H111" s="27"/>
      <c r="I111" s="27"/>
      <c r="J111" s="27"/>
      <c r="K111" s="27"/>
      <c r="L111" s="58">
        <v>0</v>
      </c>
      <c r="M111" s="27"/>
      <c r="N111" s="124"/>
    </row>
    <row r="112" spans="1:14" ht="15.75">
      <c r="A112" s="26"/>
      <c r="B112" s="27" t="s">
        <v>58</v>
      </c>
      <c r="C112" s="27"/>
      <c r="D112" s="27"/>
      <c r="E112" s="27"/>
      <c r="F112" s="27"/>
      <c r="G112" s="27"/>
      <c r="H112" s="27"/>
      <c r="I112" s="27"/>
      <c r="J112" s="27"/>
      <c r="K112" s="27"/>
      <c r="L112" s="58">
        <v>0</v>
      </c>
      <c r="M112" s="27"/>
      <c r="N112" s="124"/>
    </row>
    <row r="113" spans="1:14" ht="15.75">
      <c r="A113" s="26"/>
      <c r="B113" s="27" t="s">
        <v>59</v>
      </c>
      <c r="C113" s="27"/>
      <c r="D113" s="27"/>
      <c r="E113" s="27"/>
      <c r="F113" s="27"/>
      <c r="G113" s="27"/>
      <c r="H113" s="27"/>
      <c r="I113" s="27"/>
      <c r="J113" s="27"/>
      <c r="K113" s="27"/>
      <c r="L113" s="58">
        <v>0</v>
      </c>
      <c r="M113" s="27"/>
      <c r="N113" s="124"/>
    </row>
    <row r="114" spans="1:14" ht="15.75">
      <c r="A114" s="26"/>
      <c r="B114" s="27" t="s">
        <v>81</v>
      </c>
      <c r="C114" s="27"/>
      <c r="D114" s="27"/>
      <c r="E114" s="27"/>
      <c r="F114" s="27"/>
      <c r="G114" s="27"/>
      <c r="H114" s="27"/>
      <c r="I114" s="27"/>
      <c r="J114" s="27"/>
      <c r="K114" s="27"/>
      <c r="L114" s="58">
        <f>SUM(L108:L113)</f>
        <v>4995</v>
      </c>
      <c r="M114" s="27"/>
      <c r="N114" s="124"/>
    </row>
    <row r="115" spans="1:14" ht="15.75">
      <c r="A115" s="26"/>
      <c r="B115" s="27"/>
      <c r="C115" s="27"/>
      <c r="D115" s="27"/>
      <c r="E115" s="27"/>
      <c r="F115" s="27"/>
      <c r="G115" s="27"/>
      <c r="H115" s="27"/>
      <c r="I115" s="27"/>
      <c r="J115" s="27"/>
      <c r="K115" s="27"/>
      <c r="L115" s="68"/>
      <c r="M115" s="27"/>
      <c r="N115" s="124"/>
    </row>
    <row r="116" spans="1:14" ht="15.75">
      <c r="A116" s="8"/>
      <c r="B116" s="154" t="s">
        <v>82</v>
      </c>
      <c r="C116" s="10"/>
      <c r="D116" s="10"/>
      <c r="E116" s="10"/>
      <c r="F116" s="10"/>
      <c r="G116" s="10"/>
      <c r="H116" s="10"/>
      <c r="I116" s="10"/>
      <c r="J116" s="10"/>
      <c r="K116" s="10"/>
      <c r="L116" s="57"/>
      <c r="M116" s="10"/>
      <c r="N116" s="124"/>
    </row>
    <row r="117" spans="1:14" ht="15.75">
      <c r="A117" s="26"/>
      <c r="B117" s="27" t="s">
        <v>83</v>
      </c>
      <c r="C117" s="27"/>
      <c r="D117" s="69"/>
      <c r="E117" s="27"/>
      <c r="F117" s="27"/>
      <c r="G117" s="27"/>
      <c r="H117" s="27"/>
      <c r="I117" s="27"/>
      <c r="J117" s="27"/>
      <c r="K117" s="27"/>
      <c r="L117" s="70" t="s">
        <v>154</v>
      </c>
      <c r="M117" s="27"/>
      <c r="N117" s="124"/>
    </row>
    <row r="118" spans="1:14" ht="15.75">
      <c r="A118" s="26"/>
      <c r="B118" s="27" t="s">
        <v>84</v>
      </c>
      <c r="C118" s="30"/>
      <c r="D118" s="30"/>
      <c r="E118" s="30"/>
      <c r="F118" s="30"/>
      <c r="G118" s="30"/>
      <c r="H118" s="30"/>
      <c r="I118" s="30"/>
      <c r="J118" s="30"/>
      <c r="K118" s="30"/>
      <c r="L118" s="70" t="s">
        <v>154</v>
      </c>
      <c r="M118" s="27"/>
      <c r="N118" s="124"/>
    </row>
    <row r="119" spans="1:14" ht="15.75">
      <c r="A119" s="26"/>
      <c r="B119" s="27" t="s">
        <v>85</v>
      </c>
      <c r="C119" s="27"/>
      <c r="D119" s="27"/>
      <c r="E119" s="27"/>
      <c r="F119" s="27"/>
      <c r="G119" s="27"/>
      <c r="H119" s="27"/>
      <c r="I119" s="27"/>
      <c r="J119" s="27"/>
      <c r="K119" s="27"/>
      <c r="L119" s="70" t="s">
        <v>154</v>
      </c>
      <c r="M119" s="27"/>
      <c r="N119" s="124"/>
    </row>
    <row r="120" spans="1:14" ht="15.75">
      <c r="A120" s="26"/>
      <c r="B120" s="27" t="s">
        <v>86</v>
      </c>
      <c r="C120" s="27"/>
      <c r="D120" s="27"/>
      <c r="E120" s="27"/>
      <c r="F120" s="27"/>
      <c r="G120" s="27"/>
      <c r="H120" s="27"/>
      <c r="I120" s="27"/>
      <c r="J120" s="27"/>
      <c r="K120" s="27"/>
      <c r="L120" s="70" t="s">
        <v>154</v>
      </c>
      <c r="M120" s="27"/>
      <c r="N120" s="124"/>
    </row>
    <row r="121" spans="1:14" ht="15.75">
      <c r="A121" s="26"/>
      <c r="B121" s="27"/>
      <c r="C121" s="27"/>
      <c r="D121" s="27"/>
      <c r="E121" s="27"/>
      <c r="F121" s="27"/>
      <c r="G121" s="27"/>
      <c r="H121" s="27"/>
      <c r="I121" s="27"/>
      <c r="J121" s="27"/>
      <c r="K121" s="27"/>
      <c r="L121" s="68"/>
      <c r="M121" s="27"/>
      <c r="N121" s="124"/>
    </row>
    <row r="122" spans="1:14" ht="15.75">
      <c r="A122" s="8"/>
      <c r="B122" s="154" t="s">
        <v>87</v>
      </c>
      <c r="C122" s="16"/>
      <c r="D122" s="10"/>
      <c r="E122" s="10"/>
      <c r="F122" s="10"/>
      <c r="G122" s="10"/>
      <c r="H122" s="10"/>
      <c r="I122" s="10"/>
      <c r="J122" s="10"/>
      <c r="K122" s="10"/>
      <c r="L122" s="71"/>
      <c r="M122" s="10"/>
      <c r="N122" s="124"/>
    </row>
    <row r="123" spans="1:14" ht="15.75">
      <c r="A123" s="26"/>
      <c r="B123" s="27" t="s">
        <v>88</v>
      </c>
      <c r="C123" s="27"/>
      <c r="D123" s="27"/>
      <c r="E123" s="27"/>
      <c r="F123" s="27"/>
      <c r="G123" s="27"/>
      <c r="H123" s="27"/>
      <c r="I123" s="27"/>
      <c r="J123" s="27"/>
      <c r="K123" s="27"/>
      <c r="L123" s="58">
        <v>0</v>
      </c>
      <c r="M123" s="27"/>
      <c r="N123" s="124"/>
    </row>
    <row r="124" spans="1:14" ht="15.75">
      <c r="A124" s="26"/>
      <c r="B124" s="27" t="s">
        <v>89</v>
      </c>
      <c r="C124" s="27"/>
      <c r="D124" s="27"/>
      <c r="E124" s="27"/>
      <c r="F124" s="27"/>
      <c r="G124" s="27"/>
      <c r="H124" s="27"/>
      <c r="I124" s="27"/>
      <c r="J124" s="27"/>
      <c r="K124" s="27"/>
      <c r="L124" s="58">
        <v>0</v>
      </c>
      <c r="M124" s="27"/>
      <c r="N124" s="124"/>
    </row>
    <row r="125" spans="1:14" ht="15.75">
      <c r="A125" s="26"/>
      <c r="B125" s="27" t="s">
        <v>90</v>
      </c>
      <c r="C125" s="27"/>
      <c r="D125" s="27"/>
      <c r="E125" s="27"/>
      <c r="F125" s="27"/>
      <c r="G125" s="27"/>
      <c r="H125" s="27"/>
      <c r="I125" s="27"/>
      <c r="J125" s="27"/>
      <c r="K125" s="27"/>
      <c r="L125" s="58">
        <f>L124+L123</f>
        <v>0</v>
      </c>
      <c r="M125" s="27"/>
      <c r="N125" s="124"/>
    </row>
    <row r="126" spans="1:14" ht="15.75">
      <c r="A126" s="26"/>
      <c r="B126" s="27" t="s">
        <v>91</v>
      </c>
      <c r="C126" s="27"/>
      <c r="D126" s="27"/>
      <c r="E126" s="27"/>
      <c r="F126" s="27"/>
      <c r="G126" s="27"/>
      <c r="H126" s="72"/>
      <c r="I126" s="27"/>
      <c r="J126" s="27"/>
      <c r="K126" s="27"/>
      <c r="L126" s="58">
        <v>0</v>
      </c>
      <c r="M126" s="27"/>
      <c r="N126" s="124"/>
    </row>
    <row r="127" spans="1:14" ht="15.75">
      <c r="A127" s="26"/>
      <c r="B127" s="27" t="s">
        <v>92</v>
      </c>
      <c r="C127" s="27"/>
      <c r="D127" s="27"/>
      <c r="E127" s="27"/>
      <c r="F127" s="27"/>
      <c r="G127" s="27"/>
      <c r="H127" s="27"/>
      <c r="I127" s="27"/>
      <c r="J127" s="27"/>
      <c r="K127" s="27"/>
      <c r="L127" s="58">
        <f>L125+L126</f>
        <v>0</v>
      </c>
      <c r="M127" s="27"/>
      <c r="N127" s="124"/>
    </row>
    <row r="128" spans="1:14" ht="7.5" customHeight="1">
      <c r="A128" s="26"/>
      <c r="B128" s="27"/>
      <c r="C128" s="27"/>
      <c r="D128" s="27"/>
      <c r="E128" s="27"/>
      <c r="F128" s="27"/>
      <c r="G128" s="27"/>
      <c r="H128" s="27"/>
      <c r="I128" s="27"/>
      <c r="J128" s="27"/>
      <c r="K128" s="27"/>
      <c r="L128" s="68"/>
      <c r="M128" s="27"/>
      <c r="N128" s="124"/>
    </row>
    <row r="129" spans="1:14" ht="6" customHeight="1">
      <c r="A129" s="2"/>
      <c r="B129" s="5"/>
      <c r="C129" s="5"/>
      <c r="D129" s="5"/>
      <c r="E129" s="5"/>
      <c r="F129" s="5"/>
      <c r="G129" s="5"/>
      <c r="H129" s="5"/>
      <c r="I129" s="5"/>
      <c r="J129" s="5"/>
      <c r="K129" s="5"/>
      <c r="L129" s="67"/>
      <c r="M129" s="5"/>
      <c r="N129" s="124"/>
    </row>
    <row r="130" spans="1:14" ht="15.75">
      <c r="A130" s="8"/>
      <c r="B130" s="154" t="s">
        <v>93</v>
      </c>
      <c r="C130" s="16"/>
      <c r="D130" s="10"/>
      <c r="E130" s="10"/>
      <c r="F130" s="10"/>
      <c r="G130" s="10"/>
      <c r="H130" s="10"/>
      <c r="I130" s="10"/>
      <c r="J130" s="10"/>
      <c r="K130" s="10"/>
      <c r="L130" s="57"/>
      <c r="M130" s="10"/>
      <c r="N130" s="124"/>
    </row>
    <row r="131" spans="1:14" ht="15.75">
      <c r="A131" s="8"/>
      <c r="B131" s="22"/>
      <c r="C131" s="16"/>
      <c r="D131" s="10"/>
      <c r="E131" s="10"/>
      <c r="F131" s="10"/>
      <c r="G131" s="10"/>
      <c r="H131" s="10"/>
      <c r="I131" s="10"/>
      <c r="J131" s="10"/>
      <c r="K131" s="10"/>
      <c r="L131" s="57"/>
      <c r="M131" s="10"/>
      <c r="N131" s="124"/>
    </row>
    <row r="132" spans="1:14" ht="15.75">
      <c r="A132" s="26"/>
      <c r="B132" s="27" t="s">
        <v>94</v>
      </c>
      <c r="C132" s="73"/>
      <c r="D132" s="27"/>
      <c r="E132" s="27"/>
      <c r="F132" s="27"/>
      <c r="G132" s="27"/>
      <c r="H132" s="27"/>
      <c r="I132" s="27"/>
      <c r="J132" s="27"/>
      <c r="K132" s="27"/>
      <c r="L132" s="58">
        <f>L57</f>
        <v>180177</v>
      </c>
      <c r="M132" s="27"/>
      <c r="N132" s="124"/>
    </row>
    <row r="133" spans="1:14" ht="15.75">
      <c r="A133" s="26"/>
      <c r="B133" s="27" t="s">
        <v>95</v>
      </c>
      <c r="C133" s="73"/>
      <c r="D133" s="27"/>
      <c r="E133" s="27"/>
      <c r="F133" s="27"/>
      <c r="G133" s="27"/>
      <c r="H133" s="27"/>
      <c r="I133" s="27"/>
      <c r="J133" s="27"/>
      <c r="K133" s="27"/>
      <c r="L133" s="58">
        <f>L69</f>
        <v>180177</v>
      </c>
      <c r="M133" s="27"/>
      <c r="N133" s="124"/>
    </row>
    <row r="134" spans="1:14" ht="7.5" customHeight="1">
      <c r="A134" s="26"/>
      <c r="B134" s="27"/>
      <c r="C134" s="27"/>
      <c r="D134" s="27"/>
      <c r="E134" s="27"/>
      <c r="F134" s="27"/>
      <c r="G134" s="27"/>
      <c r="H134" s="27"/>
      <c r="I134" s="27"/>
      <c r="J134" s="27"/>
      <c r="K134" s="27"/>
      <c r="L134" s="68"/>
      <c r="M134" s="27"/>
      <c r="N134" s="124"/>
    </row>
    <row r="135" spans="1:14" ht="15.75">
      <c r="A135" s="2"/>
      <c r="B135" s="5"/>
      <c r="C135" s="5"/>
      <c r="D135" s="5"/>
      <c r="E135" s="5"/>
      <c r="F135" s="5"/>
      <c r="G135" s="5"/>
      <c r="H135" s="5"/>
      <c r="I135" s="5"/>
      <c r="J135" s="5"/>
      <c r="K135" s="5"/>
      <c r="L135" s="67"/>
      <c r="M135" s="5"/>
      <c r="N135" s="124"/>
    </row>
    <row r="136" spans="1:14" ht="15.75">
      <c r="A136" s="8"/>
      <c r="B136" s="154" t="s">
        <v>96</v>
      </c>
      <c r="C136" s="143"/>
      <c r="D136" s="143"/>
      <c r="E136" s="143"/>
      <c r="F136" s="143"/>
      <c r="G136" s="143"/>
      <c r="H136" s="155" t="s">
        <v>169</v>
      </c>
      <c r="I136" s="155"/>
      <c r="J136" s="155" t="s">
        <v>176</v>
      </c>
      <c r="K136" s="143"/>
      <c r="L136" s="156" t="s">
        <v>188</v>
      </c>
      <c r="M136" s="12"/>
      <c r="N136" s="124"/>
    </row>
    <row r="137" spans="1:14" ht="15.75">
      <c r="A137" s="26"/>
      <c r="B137" s="27" t="s">
        <v>97</v>
      </c>
      <c r="C137" s="27"/>
      <c r="D137" s="27"/>
      <c r="E137" s="27"/>
      <c r="F137" s="27"/>
      <c r="G137" s="27"/>
      <c r="H137" s="58">
        <v>20000</v>
      </c>
      <c r="I137" s="27"/>
      <c r="J137" s="46"/>
      <c r="K137" s="27"/>
      <c r="L137" s="58"/>
      <c r="M137" s="27"/>
      <c r="N137" s="124"/>
    </row>
    <row r="138" spans="1:14" ht="15.75">
      <c r="A138" s="26"/>
      <c r="B138" s="27" t="s">
        <v>98</v>
      </c>
      <c r="C138" s="27"/>
      <c r="D138" s="27"/>
      <c r="E138" s="27"/>
      <c r="F138" s="27"/>
      <c r="G138" s="27"/>
      <c r="H138" s="58">
        <v>1075</v>
      </c>
      <c r="I138" s="27"/>
      <c r="J138" s="58">
        <v>215</v>
      </c>
      <c r="K138" s="27"/>
      <c r="L138" s="58">
        <f>J138+H138</f>
        <v>1290</v>
      </c>
      <c r="M138" s="27"/>
      <c r="N138" s="124"/>
    </row>
    <row r="139" spans="1:14" ht="15.75">
      <c r="A139" s="26"/>
      <c r="B139" s="27" t="s">
        <v>99</v>
      </c>
      <c r="C139" s="27"/>
      <c r="D139" s="27"/>
      <c r="E139" s="27"/>
      <c r="F139" s="27"/>
      <c r="G139" s="27"/>
      <c r="H139" s="58">
        <v>1043</v>
      </c>
      <c r="I139" s="27"/>
      <c r="J139" s="58">
        <v>116</v>
      </c>
      <c r="K139" s="27"/>
      <c r="L139" s="58">
        <f>J139+H139</f>
        <v>1159</v>
      </c>
      <c r="M139" s="27"/>
      <c r="N139" s="124"/>
    </row>
    <row r="140" spans="1:14" ht="15.75">
      <c r="A140" s="26"/>
      <c r="B140" s="27" t="s">
        <v>100</v>
      </c>
      <c r="C140" s="27"/>
      <c r="D140" s="27"/>
      <c r="E140" s="27"/>
      <c r="F140" s="27"/>
      <c r="G140" s="27"/>
      <c r="H140" s="58">
        <f>H138+H139</f>
        <v>2118</v>
      </c>
      <c r="I140" s="27"/>
      <c r="J140" s="58">
        <f>J139+J138</f>
        <v>331</v>
      </c>
      <c r="K140" s="27"/>
      <c r="L140" s="58">
        <f>J140+H140</f>
        <v>2449</v>
      </c>
      <c r="M140" s="27"/>
      <c r="N140" s="124"/>
    </row>
    <row r="141" spans="1:14" ht="15.75">
      <c r="A141" s="26"/>
      <c r="B141" s="27" t="s">
        <v>101</v>
      </c>
      <c r="C141" s="27"/>
      <c r="D141" s="27"/>
      <c r="E141" s="27"/>
      <c r="F141" s="27"/>
      <c r="G141" s="27"/>
      <c r="H141" s="58">
        <f>H137-H140-J140</f>
        <v>17551</v>
      </c>
      <c r="I141" s="27"/>
      <c r="J141" s="46"/>
      <c r="K141" s="27"/>
      <c r="L141" s="58"/>
      <c r="M141" s="27"/>
      <c r="N141" s="124"/>
    </row>
    <row r="142" spans="1:14" ht="7.5" customHeight="1">
      <c r="A142" s="26"/>
      <c r="B142" s="27"/>
      <c r="C142" s="27"/>
      <c r="D142" s="27"/>
      <c r="E142" s="27"/>
      <c r="F142" s="27"/>
      <c r="G142" s="27"/>
      <c r="H142" s="27"/>
      <c r="I142" s="27"/>
      <c r="J142" s="27"/>
      <c r="K142" s="27"/>
      <c r="L142" s="68"/>
      <c r="M142" s="27"/>
      <c r="N142" s="124"/>
    </row>
    <row r="143" spans="1:14" ht="9" customHeight="1">
      <c r="A143" s="2"/>
      <c r="B143" s="5"/>
      <c r="C143" s="5"/>
      <c r="D143" s="5"/>
      <c r="E143" s="5"/>
      <c r="F143" s="5"/>
      <c r="G143" s="5"/>
      <c r="H143" s="5"/>
      <c r="I143" s="5"/>
      <c r="J143" s="5"/>
      <c r="K143" s="5"/>
      <c r="L143" s="67"/>
      <c r="M143" s="5"/>
      <c r="N143" s="124"/>
    </row>
    <row r="144" spans="1:14" ht="15.75">
      <c r="A144" s="8"/>
      <c r="B144" s="154" t="s">
        <v>102</v>
      </c>
      <c r="C144" s="16"/>
      <c r="D144" s="10"/>
      <c r="E144" s="10"/>
      <c r="F144" s="10"/>
      <c r="G144" s="10"/>
      <c r="H144" s="10"/>
      <c r="I144" s="10"/>
      <c r="J144" s="10"/>
      <c r="K144" s="10"/>
      <c r="L144" s="74"/>
      <c r="M144" s="10"/>
      <c r="N144" s="124"/>
    </row>
    <row r="145" spans="1:14" ht="15.75">
      <c r="A145" s="26"/>
      <c r="B145" s="27" t="s">
        <v>103</v>
      </c>
      <c r="C145" s="27"/>
      <c r="D145" s="27"/>
      <c r="E145" s="27"/>
      <c r="F145" s="27"/>
      <c r="G145" s="27"/>
      <c r="H145" s="27"/>
      <c r="I145" s="27"/>
      <c r="J145" s="27"/>
      <c r="K145" s="27"/>
      <c r="L145" s="66">
        <f>(L78+L80+L81+L82+L83)/-L84</f>
        <v>1.311871976181615</v>
      </c>
      <c r="M145" s="27" t="s">
        <v>189</v>
      </c>
      <c r="N145" s="124"/>
    </row>
    <row r="146" spans="1:14" ht="15.75">
      <c r="A146" s="26"/>
      <c r="B146" s="27" t="s">
        <v>104</v>
      </c>
      <c r="C146" s="27"/>
      <c r="D146" s="27"/>
      <c r="E146" s="27"/>
      <c r="F146" s="27"/>
      <c r="G146" s="27"/>
      <c r="H146" s="27"/>
      <c r="I146" s="27"/>
      <c r="J146" s="27"/>
      <c r="K146" s="27"/>
      <c r="L146" s="66">
        <v>1.21</v>
      </c>
      <c r="M146" s="27" t="s">
        <v>189</v>
      </c>
      <c r="N146" s="124"/>
    </row>
    <row r="147" spans="1:14" ht="15.75">
      <c r="A147" s="26"/>
      <c r="B147" s="27" t="s">
        <v>105</v>
      </c>
      <c r="C147" s="27"/>
      <c r="D147" s="27"/>
      <c r="E147" s="27"/>
      <c r="F147" s="27"/>
      <c r="G147" s="27"/>
      <c r="H147" s="27"/>
      <c r="I147" s="27"/>
      <c r="J147" s="27"/>
      <c r="K147" s="27"/>
      <c r="L147" s="66">
        <f>(L78+SUM(L80:L84))/-L85</f>
        <v>2.547112462006079</v>
      </c>
      <c r="M147" s="27" t="s">
        <v>189</v>
      </c>
      <c r="N147" s="124"/>
    </row>
    <row r="148" spans="1:14" ht="15.75">
      <c r="A148" s="26"/>
      <c r="B148" s="27" t="s">
        <v>106</v>
      </c>
      <c r="C148" s="27"/>
      <c r="D148" s="27"/>
      <c r="E148" s="27"/>
      <c r="F148" s="27"/>
      <c r="G148" s="27"/>
      <c r="H148" s="27"/>
      <c r="I148" s="27"/>
      <c r="J148" s="27"/>
      <c r="K148" s="27"/>
      <c r="L148" s="75">
        <v>1.72</v>
      </c>
      <c r="M148" s="27" t="s">
        <v>189</v>
      </c>
      <c r="N148" s="124"/>
    </row>
    <row r="149" spans="1:14" ht="12.75" customHeight="1">
      <c r="A149" s="26"/>
      <c r="B149" s="27"/>
      <c r="C149" s="27"/>
      <c r="D149" s="27"/>
      <c r="E149" s="27"/>
      <c r="F149" s="27"/>
      <c r="G149" s="27"/>
      <c r="H149" s="27"/>
      <c r="I149" s="27"/>
      <c r="J149" s="27"/>
      <c r="K149" s="27"/>
      <c r="L149" s="27"/>
      <c r="M149" s="27"/>
      <c r="N149" s="124"/>
    </row>
    <row r="150" spans="1:14" ht="15.75">
      <c r="A150" s="8"/>
      <c r="B150" s="10"/>
      <c r="C150" s="10"/>
      <c r="D150" s="10"/>
      <c r="E150" s="10"/>
      <c r="F150" s="10"/>
      <c r="G150" s="10"/>
      <c r="H150" s="10"/>
      <c r="I150" s="10"/>
      <c r="J150" s="10"/>
      <c r="K150" s="10"/>
      <c r="L150" s="10"/>
      <c r="M150" s="10"/>
      <c r="N150" s="124"/>
    </row>
    <row r="151" spans="1:14" ht="19.5" thickBot="1">
      <c r="A151" s="129"/>
      <c r="B151" s="130" t="s">
        <v>190</v>
      </c>
      <c r="C151" s="131"/>
      <c r="D151" s="131"/>
      <c r="E151" s="131"/>
      <c r="F151" s="131"/>
      <c r="G151" s="131"/>
      <c r="H151" s="131"/>
      <c r="I151" s="131"/>
      <c r="J151" s="131"/>
      <c r="K151" s="131"/>
      <c r="L151" s="131"/>
      <c r="M151" s="134"/>
      <c r="N151" s="124"/>
    </row>
    <row r="152" spans="1:14" ht="15.75">
      <c r="A152" s="2"/>
      <c r="B152" s="76"/>
      <c r="C152" s="76"/>
      <c r="D152" s="76"/>
      <c r="E152" s="76"/>
      <c r="F152" s="76"/>
      <c r="G152" s="76"/>
      <c r="H152" s="76"/>
      <c r="I152" s="76"/>
      <c r="J152" s="76"/>
      <c r="K152" s="76"/>
      <c r="L152" s="76"/>
      <c r="M152" s="76"/>
      <c r="N152" s="124"/>
    </row>
    <row r="153" spans="1:14" ht="15.75">
      <c r="A153" s="77"/>
      <c r="B153" s="56" t="s">
        <v>107</v>
      </c>
      <c r="C153" s="78"/>
      <c r="D153" s="78"/>
      <c r="E153" s="78"/>
      <c r="F153" s="78"/>
      <c r="G153" s="20"/>
      <c r="H153" s="20"/>
      <c r="I153" s="20"/>
      <c r="J153" s="20">
        <v>36769</v>
      </c>
      <c r="K153" s="18"/>
      <c r="L153" s="18"/>
      <c r="M153" s="10"/>
      <c r="N153" s="124"/>
    </row>
    <row r="154" spans="1:14" ht="15.75">
      <c r="A154" s="80"/>
      <c r="B154" s="81"/>
      <c r="C154" s="82"/>
      <c r="D154" s="82"/>
      <c r="E154" s="82"/>
      <c r="F154" s="82"/>
      <c r="G154" s="83"/>
      <c r="H154" s="83"/>
      <c r="I154" s="83"/>
      <c r="J154" s="83"/>
      <c r="K154" s="10"/>
      <c r="L154" s="10"/>
      <c r="M154" s="10"/>
      <c r="N154" s="124"/>
    </row>
    <row r="155" spans="1:14" ht="15.75">
      <c r="A155" s="84"/>
      <c r="B155" s="85" t="s">
        <v>108</v>
      </c>
      <c r="C155" s="86"/>
      <c r="D155" s="86"/>
      <c r="E155" s="86"/>
      <c r="F155" s="86"/>
      <c r="G155" s="72"/>
      <c r="H155" s="72"/>
      <c r="I155" s="72"/>
      <c r="J155" s="87">
        <v>0.0736</v>
      </c>
      <c r="K155" s="27"/>
      <c r="L155" s="27"/>
      <c r="M155" s="27"/>
      <c r="N155" s="124"/>
    </row>
    <row r="156" spans="1:14" ht="15.75">
      <c r="A156" s="84"/>
      <c r="B156" s="85" t="s">
        <v>109</v>
      </c>
      <c r="C156" s="86"/>
      <c r="D156" s="86"/>
      <c r="E156" s="86"/>
      <c r="F156" s="86"/>
      <c r="G156" s="72"/>
      <c r="H156" s="72"/>
      <c r="I156" s="72"/>
      <c r="J156" s="87">
        <v>0.0554</v>
      </c>
      <c r="K156" s="27"/>
      <c r="L156" s="27"/>
      <c r="M156" s="27"/>
      <c r="N156" s="124"/>
    </row>
    <row r="157" spans="1:14" ht="15.75">
      <c r="A157" s="84"/>
      <c r="B157" s="85" t="s">
        <v>110</v>
      </c>
      <c r="C157" s="86"/>
      <c r="D157" s="86"/>
      <c r="E157" s="86"/>
      <c r="F157" s="86"/>
      <c r="G157" s="72"/>
      <c r="H157" s="72"/>
      <c r="I157" s="72"/>
      <c r="J157" s="87">
        <f>J155-J156</f>
        <v>0.0182</v>
      </c>
      <c r="K157" s="27"/>
      <c r="L157" s="27"/>
      <c r="M157" s="27"/>
      <c r="N157" s="124"/>
    </row>
    <row r="158" spans="1:14" ht="15.75">
      <c r="A158" s="84"/>
      <c r="B158" s="85" t="s">
        <v>111</v>
      </c>
      <c r="C158" s="86"/>
      <c r="D158" s="86"/>
      <c r="E158" s="86"/>
      <c r="F158" s="86"/>
      <c r="G158" s="72"/>
      <c r="H158" s="72"/>
      <c r="I158" s="72"/>
      <c r="J158" s="87">
        <v>0.07535</v>
      </c>
      <c r="K158" s="27"/>
      <c r="L158" s="27"/>
      <c r="M158" s="27"/>
      <c r="N158" s="124"/>
    </row>
    <row r="159" spans="1:14" ht="15.75">
      <c r="A159" s="84"/>
      <c r="B159" s="85" t="s">
        <v>112</v>
      </c>
      <c r="C159" s="86"/>
      <c r="D159" s="86"/>
      <c r="E159" s="86"/>
      <c r="F159" s="86"/>
      <c r="G159" s="72"/>
      <c r="H159" s="72"/>
      <c r="I159" s="72"/>
      <c r="J159" s="87">
        <f>L31</f>
        <v>0.06564285553252475</v>
      </c>
      <c r="K159" s="27"/>
      <c r="L159" s="27"/>
      <c r="M159" s="27"/>
      <c r="N159" s="124"/>
    </row>
    <row r="160" spans="1:14" ht="15.75">
      <c r="A160" s="84"/>
      <c r="B160" s="85" t="s">
        <v>113</v>
      </c>
      <c r="C160" s="86"/>
      <c r="D160" s="86"/>
      <c r="E160" s="86"/>
      <c r="F160" s="86"/>
      <c r="G160" s="72"/>
      <c r="H160" s="72"/>
      <c r="I160" s="72"/>
      <c r="J160" s="87">
        <f>J158-J159</f>
        <v>0.009707144467475254</v>
      </c>
      <c r="K160" s="27"/>
      <c r="L160" s="27"/>
      <c r="M160" s="27"/>
      <c r="N160" s="124"/>
    </row>
    <row r="161" spans="1:14" ht="15.75">
      <c r="A161" s="84"/>
      <c r="B161" s="85" t="s">
        <v>114</v>
      </c>
      <c r="C161" s="86"/>
      <c r="D161" s="86"/>
      <c r="E161" s="86"/>
      <c r="F161" s="86"/>
      <c r="G161" s="72"/>
      <c r="H161" s="72"/>
      <c r="I161" s="72"/>
      <c r="J161" s="88" t="s">
        <v>177</v>
      </c>
      <c r="K161" s="27"/>
      <c r="L161" s="27"/>
      <c r="M161" s="27"/>
      <c r="N161" s="124"/>
    </row>
    <row r="162" spans="1:14" ht="15.75">
      <c r="A162" s="84"/>
      <c r="B162" s="85" t="s">
        <v>115</v>
      </c>
      <c r="C162" s="86"/>
      <c r="D162" s="86"/>
      <c r="E162" s="86"/>
      <c r="F162" s="86"/>
      <c r="G162" s="72"/>
      <c r="H162" s="72"/>
      <c r="I162" s="72"/>
      <c r="J162" s="88" t="s">
        <v>178</v>
      </c>
      <c r="K162" s="27"/>
      <c r="L162" s="27"/>
      <c r="M162" s="27"/>
      <c r="N162" s="124"/>
    </row>
    <row r="163" spans="1:14" ht="15.75">
      <c r="A163" s="84"/>
      <c r="B163" s="85" t="s">
        <v>116</v>
      </c>
      <c r="C163" s="86"/>
      <c r="D163" s="86"/>
      <c r="E163" s="86"/>
      <c r="F163" s="86"/>
      <c r="G163" s="72"/>
      <c r="H163" s="72"/>
      <c r="I163" s="72"/>
      <c r="J163" s="89">
        <v>19.6</v>
      </c>
      <c r="K163" s="27" t="s">
        <v>182</v>
      </c>
      <c r="L163" s="27"/>
      <c r="M163" s="27"/>
      <c r="N163" s="124"/>
    </row>
    <row r="164" spans="1:14" ht="15.75">
      <c r="A164" s="84"/>
      <c r="B164" s="85" t="s">
        <v>117</v>
      </c>
      <c r="C164" s="86"/>
      <c r="D164" s="86"/>
      <c r="E164" s="86"/>
      <c r="F164" s="86"/>
      <c r="G164" s="72"/>
      <c r="H164" s="72"/>
      <c r="I164" s="72"/>
      <c r="J164" s="89">
        <v>19.145</v>
      </c>
      <c r="K164" s="27" t="s">
        <v>182</v>
      </c>
      <c r="L164" s="27"/>
      <c r="M164" s="27"/>
      <c r="N164" s="124"/>
    </row>
    <row r="165" spans="1:14" ht="15.75">
      <c r="A165" s="84"/>
      <c r="B165" s="85" t="s">
        <v>118</v>
      </c>
      <c r="C165" s="86"/>
      <c r="D165" s="86"/>
      <c r="E165" s="86"/>
      <c r="F165" s="86"/>
      <c r="G165" s="72"/>
      <c r="H165" s="72"/>
      <c r="I165" s="72"/>
      <c r="J165" s="87">
        <f>F54/'May 2000'!L54</f>
        <v>0.020630344276734377</v>
      </c>
      <c r="K165" s="27"/>
      <c r="L165" s="27"/>
      <c r="M165" s="27"/>
      <c r="N165" s="124"/>
    </row>
    <row r="166" spans="1:14" ht="15.75">
      <c r="A166" s="84"/>
      <c r="B166" s="85" t="s">
        <v>119</v>
      </c>
      <c r="C166" s="86"/>
      <c r="D166" s="86"/>
      <c r="E166" s="86"/>
      <c r="F166" s="86"/>
      <c r="G166" s="72"/>
      <c r="H166" s="72"/>
      <c r="I166" s="72"/>
      <c r="J166" s="87">
        <v>0.0767</v>
      </c>
      <c r="K166" s="27"/>
      <c r="L166" s="27"/>
      <c r="M166" s="27"/>
      <c r="N166" s="124"/>
    </row>
    <row r="167" spans="1:14" ht="15.75">
      <c r="A167" s="84"/>
      <c r="B167" s="85"/>
      <c r="C167" s="85"/>
      <c r="D167" s="85"/>
      <c r="E167" s="85"/>
      <c r="F167" s="85"/>
      <c r="G167" s="27"/>
      <c r="H167" s="27"/>
      <c r="I167" s="27"/>
      <c r="J167" s="68"/>
      <c r="K167" s="27"/>
      <c r="L167" s="90"/>
      <c r="M167" s="27"/>
      <c r="N167" s="124"/>
    </row>
    <row r="168" spans="1:14" ht="15.75">
      <c r="A168" s="91"/>
      <c r="B168" s="17" t="s">
        <v>120</v>
      </c>
      <c r="C168" s="92"/>
      <c r="D168" s="93"/>
      <c r="E168" s="92"/>
      <c r="F168" s="93"/>
      <c r="G168" s="92"/>
      <c r="H168" s="93"/>
      <c r="I168" s="63" t="s">
        <v>170</v>
      </c>
      <c r="J168" s="94" t="s">
        <v>179</v>
      </c>
      <c r="K168" s="18"/>
      <c r="L168" s="10"/>
      <c r="M168" s="10"/>
      <c r="N168" s="124"/>
    </row>
    <row r="169" spans="1:14" ht="15.75">
      <c r="A169" s="95"/>
      <c r="B169" s="85" t="s">
        <v>121</v>
      </c>
      <c r="C169" s="59"/>
      <c r="D169" s="59"/>
      <c r="E169" s="59"/>
      <c r="F169" s="27"/>
      <c r="G169" s="27"/>
      <c r="H169" s="27"/>
      <c r="I169" s="28">
        <v>1</v>
      </c>
      <c r="J169" s="96">
        <v>40</v>
      </c>
      <c r="K169" s="27"/>
      <c r="L169" s="90"/>
      <c r="M169" s="97"/>
      <c r="N169" s="124"/>
    </row>
    <row r="170" spans="1:14" ht="15.75">
      <c r="A170" s="95"/>
      <c r="B170" s="85" t="s">
        <v>122</v>
      </c>
      <c r="C170" s="59"/>
      <c r="D170" s="59"/>
      <c r="E170" s="59"/>
      <c r="F170" s="27"/>
      <c r="G170" s="27"/>
      <c r="H170" s="27"/>
      <c r="I170" s="28">
        <v>0</v>
      </c>
      <c r="J170" s="96">
        <v>0</v>
      </c>
      <c r="K170" s="27"/>
      <c r="L170" s="90"/>
      <c r="M170" s="97"/>
      <c r="N170" s="124"/>
    </row>
    <row r="171" spans="1:14" ht="15.75">
      <c r="A171" s="95"/>
      <c r="B171" s="157" t="s">
        <v>123</v>
      </c>
      <c r="C171" s="59"/>
      <c r="D171" s="59"/>
      <c r="E171" s="59"/>
      <c r="F171" s="27"/>
      <c r="G171" s="27"/>
      <c r="H171" s="27"/>
      <c r="I171" s="27"/>
      <c r="J171" s="96">
        <v>0</v>
      </c>
      <c r="K171" s="27"/>
      <c r="L171" s="90"/>
      <c r="M171" s="97"/>
      <c r="N171" s="124"/>
    </row>
    <row r="172" spans="1:14" ht="15.75">
      <c r="A172" s="95"/>
      <c r="B172" s="157" t="s">
        <v>124</v>
      </c>
      <c r="C172" s="59"/>
      <c r="D172" s="59"/>
      <c r="E172" s="59"/>
      <c r="F172" s="27"/>
      <c r="G172" s="27"/>
      <c r="H172" s="27"/>
      <c r="I172" s="27"/>
      <c r="J172" s="96">
        <v>25878</v>
      </c>
      <c r="K172" s="27"/>
      <c r="L172" s="90"/>
      <c r="M172" s="97"/>
      <c r="N172" s="124"/>
    </row>
    <row r="173" spans="1:14" ht="15.75">
      <c r="A173" s="98"/>
      <c r="B173" s="157" t="s">
        <v>125</v>
      </c>
      <c r="C173" s="59"/>
      <c r="D173" s="85"/>
      <c r="E173" s="85"/>
      <c r="F173" s="85"/>
      <c r="G173" s="27"/>
      <c r="H173" s="27"/>
      <c r="I173" s="27"/>
      <c r="J173" s="96">
        <v>0</v>
      </c>
      <c r="K173" s="27"/>
      <c r="L173" s="90"/>
      <c r="M173" s="99"/>
      <c r="N173" s="124"/>
    </row>
    <row r="174" spans="1:14" ht="15.75">
      <c r="A174" s="95"/>
      <c r="B174" s="85" t="s">
        <v>126</v>
      </c>
      <c r="C174" s="59"/>
      <c r="D174" s="59"/>
      <c r="E174" s="59"/>
      <c r="F174" s="59"/>
      <c r="G174" s="27"/>
      <c r="H174" s="27"/>
      <c r="I174" s="27"/>
      <c r="J174" s="96">
        <v>0</v>
      </c>
      <c r="K174" s="27"/>
      <c r="L174" s="90"/>
      <c r="M174" s="99"/>
      <c r="N174" s="124"/>
    </row>
    <row r="175" spans="1:14" ht="15.75">
      <c r="A175" s="95"/>
      <c r="B175" s="85" t="s">
        <v>127</v>
      </c>
      <c r="C175" s="59"/>
      <c r="D175" s="59"/>
      <c r="E175" s="59"/>
      <c r="F175" s="59"/>
      <c r="G175" s="27"/>
      <c r="H175" s="27"/>
      <c r="I175" s="27"/>
      <c r="J175" s="96">
        <v>0</v>
      </c>
      <c r="K175" s="27"/>
      <c r="L175" s="90"/>
      <c r="M175" s="99"/>
      <c r="N175" s="124"/>
    </row>
    <row r="176" spans="1:14" ht="15.75">
      <c r="A176" s="98"/>
      <c r="B176" s="157" t="s">
        <v>128</v>
      </c>
      <c r="C176" s="59"/>
      <c r="D176" s="85"/>
      <c r="E176" s="85"/>
      <c r="F176" s="85"/>
      <c r="G176" s="27"/>
      <c r="H176" s="27"/>
      <c r="I176" s="27"/>
      <c r="J176" s="96"/>
      <c r="K176" s="27"/>
      <c r="L176" s="90"/>
      <c r="M176" s="99"/>
      <c r="N176" s="124"/>
    </row>
    <row r="177" spans="1:14" ht="15.75">
      <c r="A177" s="98"/>
      <c r="B177" s="85" t="s">
        <v>129</v>
      </c>
      <c r="C177" s="59"/>
      <c r="D177" s="85"/>
      <c r="E177" s="85"/>
      <c r="F177" s="85"/>
      <c r="G177" s="27"/>
      <c r="H177" s="27"/>
      <c r="I177" s="27"/>
      <c r="J177" s="96">
        <v>0</v>
      </c>
      <c r="K177" s="27"/>
      <c r="L177" s="90"/>
      <c r="M177" s="99"/>
      <c r="N177" s="124"/>
    </row>
    <row r="178" spans="1:14" ht="15.75">
      <c r="A178" s="95"/>
      <c r="B178" s="85" t="s">
        <v>130</v>
      </c>
      <c r="C178" s="59"/>
      <c r="D178" s="100"/>
      <c r="E178" s="100"/>
      <c r="F178" s="101"/>
      <c r="G178" s="27"/>
      <c r="H178" s="27"/>
      <c r="I178" s="27"/>
      <c r="J178" s="96">
        <v>0</v>
      </c>
      <c r="K178" s="27"/>
      <c r="L178" s="90"/>
      <c r="M178" s="99"/>
      <c r="N178" s="124"/>
    </row>
    <row r="179" spans="1:14" ht="15.75">
      <c r="A179" s="95"/>
      <c r="B179" s="85" t="s">
        <v>131</v>
      </c>
      <c r="C179" s="59"/>
      <c r="D179" s="100"/>
      <c r="E179" s="100"/>
      <c r="F179" s="101"/>
      <c r="G179" s="27"/>
      <c r="H179" s="27"/>
      <c r="I179" s="27"/>
      <c r="J179" s="96">
        <v>0</v>
      </c>
      <c r="K179" s="27"/>
      <c r="L179" s="90"/>
      <c r="M179" s="99"/>
      <c r="N179" s="124"/>
    </row>
    <row r="180" spans="1:14" ht="15.75">
      <c r="A180" s="95"/>
      <c r="B180" s="85" t="s">
        <v>132</v>
      </c>
      <c r="C180" s="59"/>
      <c r="D180" s="102"/>
      <c r="E180" s="100"/>
      <c r="F180" s="101"/>
      <c r="G180" s="27"/>
      <c r="H180" s="27"/>
      <c r="I180" s="27"/>
      <c r="J180" s="103">
        <v>0</v>
      </c>
      <c r="K180" s="27"/>
      <c r="L180" s="90"/>
      <c r="M180" s="99"/>
      <c r="N180" s="124"/>
    </row>
    <row r="181" spans="1:14" ht="15.75">
      <c r="A181" s="95"/>
      <c r="B181" s="85"/>
      <c r="C181" s="59"/>
      <c r="D181" s="102"/>
      <c r="E181" s="100"/>
      <c r="F181" s="101"/>
      <c r="G181" s="27"/>
      <c r="H181" s="27"/>
      <c r="I181" s="27"/>
      <c r="J181" s="103"/>
      <c r="K181" s="27"/>
      <c r="L181" s="90"/>
      <c r="M181" s="99"/>
      <c r="N181" s="124"/>
    </row>
    <row r="182" spans="1:14" ht="15.75">
      <c r="A182" s="8"/>
      <c r="B182" s="17" t="s">
        <v>133</v>
      </c>
      <c r="C182" s="63"/>
      <c r="D182" s="94"/>
      <c r="E182" s="63"/>
      <c r="F182" s="94"/>
      <c r="G182" s="63"/>
      <c r="H182" s="94" t="s">
        <v>170</v>
      </c>
      <c r="I182" s="63" t="s">
        <v>171</v>
      </c>
      <c r="J182" s="94" t="s">
        <v>180</v>
      </c>
      <c r="K182" s="63" t="s">
        <v>171</v>
      </c>
      <c r="L182" s="18"/>
      <c r="M182" s="104"/>
      <c r="N182" s="124"/>
    </row>
    <row r="183" spans="1:14" ht="15.75">
      <c r="A183" s="26"/>
      <c r="B183" s="59" t="s">
        <v>134</v>
      </c>
      <c r="C183" s="105"/>
      <c r="D183" s="59"/>
      <c r="E183" s="105"/>
      <c r="F183" s="27"/>
      <c r="G183" s="105"/>
      <c r="H183" s="59">
        <v>3446</v>
      </c>
      <c r="I183" s="105">
        <f>H183/H189</f>
        <v>0.9848528150900258</v>
      </c>
      <c r="J183" s="58">
        <v>178517</v>
      </c>
      <c r="K183" s="106">
        <f>J183/J189</f>
        <v>0.9907868373876799</v>
      </c>
      <c r="L183" s="90"/>
      <c r="M183" s="99"/>
      <c r="N183" s="124"/>
    </row>
    <row r="184" spans="1:14" ht="15.75">
      <c r="A184" s="26"/>
      <c r="B184" s="59" t="s">
        <v>135</v>
      </c>
      <c r="C184" s="105"/>
      <c r="D184" s="59"/>
      <c r="E184" s="105"/>
      <c r="F184" s="27"/>
      <c r="G184" s="107"/>
      <c r="H184" s="59">
        <v>15</v>
      </c>
      <c r="I184" s="105">
        <f>H184/H189</f>
        <v>0.004286939125464418</v>
      </c>
      <c r="J184" s="58">
        <v>610</v>
      </c>
      <c r="K184" s="106">
        <f>J184/J189</f>
        <v>0.003385559755129678</v>
      </c>
      <c r="L184" s="90"/>
      <c r="M184" s="99"/>
      <c r="N184" s="124"/>
    </row>
    <row r="185" spans="1:14" ht="15.75">
      <c r="A185" s="26"/>
      <c r="B185" s="59" t="s">
        <v>136</v>
      </c>
      <c r="C185" s="105"/>
      <c r="D185" s="59"/>
      <c r="E185" s="105"/>
      <c r="F185" s="27"/>
      <c r="G185" s="107"/>
      <c r="H185" s="59">
        <v>6</v>
      </c>
      <c r="I185" s="105">
        <f>H185/H189</f>
        <v>0.0017147756501857674</v>
      </c>
      <c r="J185" s="58">
        <v>151</v>
      </c>
      <c r="K185" s="106">
        <f>J185/J189</f>
        <v>0.0008380647918435761</v>
      </c>
      <c r="L185" s="90"/>
      <c r="M185" s="99"/>
      <c r="N185" s="124"/>
    </row>
    <row r="186" spans="1:14" ht="15.75">
      <c r="A186" s="26"/>
      <c r="B186" s="59" t="s">
        <v>137</v>
      </c>
      <c r="C186" s="105"/>
      <c r="D186" s="59"/>
      <c r="E186" s="105"/>
      <c r="F186" s="27"/>
      <c r="G186" s="107"/>
      <c r="H186" s="59">
        <f>4+28</f>
        <v>32</v>
      </c>
      <c r="I186" s="105">
        <f>H186/H189</f>
        <v>0.009145470134324093</v>
      </c>
      <c r="J186" s="58">
        <f>302+456+141</f>
        <v>899</v>
      </c>
      <c r="K186" s="106">
        <f>J186/$J189</f>
        <v>0.004989538065346854</v>
      </c>
      <c r="L186" s="90"/>
      <c r="M186" s="99"/>
      <c r="N186" s="124"/>
    </row>
    <row r="187" spans="1:14" ht="15.75">
      <c r="A187" s="26"/>
      <c r="B187" s="30"/>
      <c r="C187" s="105"/>
      <c r="D187" s="59"/>
      <c r="E187" s="105"/>
      <c r="F187" s="27"/>
      <c r="G187" s="107"/>
      <c r="H187" s="59"/>
      <c r="I187" s="105"/>
      <c r="J187" s="58"/>
      <c r="K187" s="106"/>
      <c r="L187" s="90"/>
      <c r="M187" s="99"/>
      <c r="N187" s="124"/>
    </row>
    <row r="188" spans="1:14" ht="15.75">
      <c r="A188" s="26"/>
      <c r="B188" s="59"/>
      <c r="C188" s="108"/>
      <c r="D188" s="97"/>
      <c r="E188" s="108"/>
      <c r="F188" s="27"/>
      <c r="G188" s="108"/>
      <c r="H188" s="97"/>
      <c r="I188" s="108"/>
      <c r="J188" s="58"/>
      <c r="K188" s="106"/>
      <c r="L188" s="90"/>
      <c r="M188" s="99"/>
      <c r="N188" s="124"/>
    </row>
    <row r="189" spans="1:14" ht="15.75">
      <c r="A189" s="26"/>
      <c r="B189" s="27"/>
      <c r="C189" s="27"/>
      <c r="D189" s="27"/>
      <c r="E189" s="27"/>
      <c r="F189" s="27"/>
      <c r="G189" s="27"/>
      <c r="H189" s="37">
        <f>SUM(H183:H187)</f>
        <v>3499</v>
      </c>
      <c r="I189" s="109">
        <f>SUM(I183:I188)</f>
        <v>1</v>
      </c>
      <c r="J189" s="58">
        <f>SUM(J183:J188)</f>
        <v>180177</v>
      </c>
      <c r="K189" s="109">
        <f>SUM(K183:K188)</f>
        <v>1</v>
      </c>
      <c r="L189" s="27"/>
      <c r="M189" s="27"/>
      <c r="N189" s="124"/>
    </row>
    <row r="190" spans="1:14" ht="15.75">
      <c r="A190" s="26"/>
      <c r="B190" s="27"/>
      <c r="C190" s="27"/>
      <c r="D190" s="27"/>
      <c r="E190" s="27"/>
      <c r="F190" s="27"/>
      <c r="G190" s="27"/>
      <c r="H190" s="37"/>
      <c r="I190" s="109"/>
      <c r="J190" s="58"/>
      <c r="K190" s="109"/>
      <c r="L190" s="27"/>
      <c r="M190" s="27"/>
      <c r="N190" s="124"/>
    </row>
    <row r="191" spans="1:14" ht="15.75">
      <c r="A191" s="8"/>
      <c r="B191" s="10"/>
      <c r="C191" s="10"/>
      <c r="D191" s="10"/>
      <c r="E191" s="10"/>
      <c r="F191" s="10"/>
      <c r="G191" s="10"/>
      <c r="H191" s="60"/>
      <c r="I191" s="112"/>
      <c r="J191" s="113"/>
      <c r="K191" s="112"/>
      <c r="L191" s="10"/>
      <c r="M191" s="10"/>
      <c r="N191" s="124"/>
    </row>
    <row r="192" spans="1:14" ht="15.75">
      <c r="A192" s="114"/>
      <c r="B192" s="17" t="s">
        <v>138</v>
      </c>
      <c r="C192" s="115"/>
      <c r="D192" s="63" t="s">
        <v>146</v>
      </c>
      <c r="E192" s="18"/>
      <c r="F192" s="17" t="s">
        <v>159</v>
      </c>
      <c r="G192" s="116"/>
      <c r="H192" s="116"/>
      <c r="I192" s="116"/>
      <c r="J192" s="15"/>
      <c r="K192" s="15"/>
      <c r="L192" s="15"/>
      <c r="M192" s="15"/>
      <c r="N192" s="124"/>
    </row>
    <row r="193" spans="1:14" ht="15.75">
      <c r="A193" s="117"/>
      <c r="B193" s="15"/>
      <c r="C193" s="15"/>
      <c r="D193" s="10"/>
      <c r="E193" s="10"/>
      <c r="F193" s="10"/>
      <c r="G193" s="15"/>
      <c r="H193" s="15"/>
      <c r="I193" s="15"/>
      <c r="J193" s="15"/>
      <c r="K193" s="15"/>
      <c r="L193" s="15"/>
      <c r="M193" s="15"/>
      <c r="N193" s="124"/>
    </row>
    <row r="194" spans="1:14" ht="15.75">
      <c r="A194" s="117"/>
      <c r="B194" s="16" t="s">
        <v>139</v>
      </c>
      <c r="C194" s="118"/>
      <c r="D194" s="119" t="s">
        <v>147</v>
      </c>
      <c r="E194" s="16"/>
      <c r="F194" s="16" t="s">
        <v>160</v>
      </c>
      <c r="G194" s="118"/>
      <c r="H194" s="118"/>
      <c r="I194" s="15"/>
      <c r="J194" s="15"/>
      <c r="K194" s="15"/>
      <c r="L194" s="15"/>
      <c r="M194" s="15"/>
      <c r="N194" s="124"/>
    </row>
    <row r="195" spans="1:14" ht="15.75">
      <c r="A195" s="117"/>
      <c r="B195" s="16" t="s">
        <v>140</v>
      </c>
      <c r="C195" s="118"/>
      <c r="D195" s="119" t="s">
        <v>191</v>
      </c>
      <c r="E195" s="16"/>
      <c r="F195" s="16" t="s">
        <v>161</v>
      </c>
      <c r="G195" s="118"/>
      <c r="H195" s="118"/>
      <c r="I195" s="15"/>
      <c r="J195" s="15"/>
      <c r="K195" s="15"/>
      <c r="L195" s="15"/>
      <c r="M195" s="15"/>
      <c r="N195" s="124"/>
    </row>
    <row r="196" spans="1:14" ht="15.75">
      <c r="A196" s="117"/>
      <c r="B196" s="16"/>
      <c r="C196" s="118"/>
      <c r="D196" s="119"/>
      <c r="E196" s="16"/>
      <c r="F196" s="16"/>
      <c r="G196" s="118"/>
      <c r="H196" s="118"/>
      <c r="I196" s="15"/>
      <c r="J196" s="15"/>
      <c r="K196" s="15"/>
      <c r="L196" s="15"/>
      <c r="M196" s="15"/>
      <c r="N196" s="124"/>
    </row>
    <row r="197" spans="1:14" ht="15.75">
      <c r="A197" s="117"/>
      <c r="B197" s="16"/>
      <c r="C197" s="118"/>
      <c r="D197" s="119"/>
      <c r="E197" s="16"/>
      <c r="F197" s="16"/>
      <c r="G197" s="118"/>
      <c r="H197" s="118"/>
      <c r="I197" s="15"/>
      <c r="J197" s="15"/>
      <c r="K197" s="15"/>
      <c r="L197" s="15"/>
      <c r="M197" s="15"/>
      <c r="N197" s="124"/>
    </row>
    <row r="198" spans="1:14" ht="18.75">
      <c r="A198" s="117"/>
      <c r="B198" s="54" t="s">
        <v>190</v>
      </c>
      <c r="C198" s="15"/>
      <c r="D198" s="15"/>
      <c r="E198" s="15"/>
      <c r="F198" s="15"/>
      <c r="G198" s="15"/>
      <c r="H198" s="15"/>
      <c r="I198" s="15"/>
      <c r="J198" s="15"/>
      <c r="K198" s="15"/>
      <c r="L198" s="15"/>
      <c r="M198" s="15"/>
      <c r="N198" s="124"/>
    </row>
    <row r="199" spans="1:13" ht="15">
      <c r="A199" s="125"/>
      <c r="B199" s="125"/>
      <c r="C199" s="125"/>
      <c r="D199" s="125"/>
      <c r="E199" s="125"/>
      <c r="F199" s="125"/>
      <c r="G199" s="125"/>
      <c r="H199" s="125"/>
      <c r="I199" s="125"/>
      <c r="J199" s="125"/>
      <c r="K199" s="125"/>
      <c r="L199" s="125"/>
      <c r="M199"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49" max="13" man="1"/>
    <brk id="102" max="13" man="1"/>
    <brk id="151" max="13" man="1"/>
  </rowBreaks>
  <drawing r:id="rId1"/>
</worksheet>
</file>

<file path=xl/worksheets/sheet3.xml><?xml version="1.0" encoding="utf-8"?>
<worksheet xmlns="http://schemas.openxmlformats.org/spreadsheetml/2006/main" xmlns:r="http://schemas.openxmlformats.org/officeDocument/2006/relationships">
  <dimension ref="A1:N199"/>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105468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8</v>
      </c>
      <c r="C15" s="17"/>
      <c r="D15" s="18"/>
      <c r="E15" s="18"/>
      <c r="F15" s="18"/>
      <c r="G15" s="18"/>
      <c r="H15" s="18"/>
      <c r="I15" s="18"/>
      <c r="J15" s="18"/>
      <c r="K15" s="18"/>
      <c r="L15" s="20">
        <v>36585</v>
      </c>
      <c r="M15" s="18"/>
      <c r="N15" s="124"/>
    </row>
    <row r="16" spans="1:14" ht="15.75">
      <c r="A16" s="8"/>
      <c r="B16" s="17" t="s">
        <v>9</v>
      </c>
      <c r="C16" s="17"/>
      <c r="D16" s="18"/>
      <c r="E16" s="18"/>
      <c r="F16" s="18"/>
      <c r="G16" s="18"/>
      <c r="H16" s="18"/>
      <c r="I16" s="18"/>
      <c r="J16" s="18"/>
      <c r="K16" s="18"/>
      <c r="L16" s="20">
        <v>36879</v>
      </c>
      <c r="M16" s="18"/>
      <c r="N16" s="124"/>
    </row>
    <row r="17" spans="1:14" ht="15.75">
      <c r="A17" s="8"/>
      <c r="B17" s="10"/>
      <c r="C17" s="10"/>
      <c r="D17" s="10"/>
      <c r="E17" s="10"/>
      <c r="F17" s="10"/>
      <c r="G17" s="10"/>
      <c r="H17" s="10"/>
      <c r="I17" s="10"/>
      <c r="J17" s="10"/>
      <c r="K17" s="10"/>
      <c r="L17" s="21"/>
      <c r="M17" s="10"/>
      <c r="N17" s="124"/>
    </row>
    <row r="18" spans="1:14" ht="15.75">
      <c r="A18" s="8"/>
      <c r="B18" s="22" t="s">
        <v>10</v>
      </c>
      <c r="C18" s="10"/>
      <c r="D18" s="10"/>
      <c r="E18" s="10"/>
      <c r="F18" s="10"/>
      <c r="G18" s="10"/>
      <c r="H18" s="10"/>
      <c r="I18" s="10"/>
      <c r="J18" s="21" t="s">
        <v>172</v>
      </c>
      <c r="K18" s="10"/>
      <c r="L18" s="15"/>
      <c r="M18" s="10"/>
      <c r="N18" s="124"/>
    </row>
    <row r="19" spans="1:14" ht="15.75">
      <c r="A19" s="8"/>
      <c r="B19" s="10"/>
      <c r="C19" s="10"/>
      <c r="D19" s="10"/>
      <c r="E19" s="10"/>
      <c r="F19" s="10"/>
      <c r="G19" s="10"/>
      <c r="H19" s="10"/>
      <c r="I19" s="10"/>
      <c r="J19" s="10"/>
      <c r="K19" s="10"/>
      <c r="L19" s="23"/>
      <c r="M19" s="10"/>
      <c r="N19" s="124"/>
    </row>
    <row r="20" spans="1:14" ht="15.75">
      <c r="A20" s="8"/>
      <c r="B20" s="10"/>
      <c r="C20" s="144" t="s">
        <v>141</v>
      </c>
      <c r="D20" s="24"/>
      <c r="E20" s="24"/>
      <c r="F20" s="145" t="s">
        <v>149</v>
      </c>
      <c r="G20" s="145"/>
      <c r="H20" s="145" t="s">
        <v>162</v>
      </c>
      <c r="I20" s="25"/>
      <c r="J20" s="24"/>
      <c r="K20" s="15"/>
      <c r="L20" s="15"/>
      <c r="M20" s="10"/>
      <c r="N20" s="124"/>
    </row>
    <row r="21" spans="1:14" ht="15.75">
      <c r="A21" s="8"/>
      <c r="B21" s="10" t="s">
        <v>11</v>
      </c>
      <c r="C21" s="144" t="s">
        <v>142</v>
      </c>
      <c r="D21" s="24"/>
      <c r="E21" s="24"/>
      <c r="F21" s="24" t="s">
        <v>150</v>
      </c>
      <c r="G21" s="24"/>
      <c r="H21" s="24" t="s">
        <v>163</v>
      </c>
      <c r="I21" s="24"/>
      <c r="J21" s="24"/>
      <c r="K21" s="15"/>
      <c r="L21" s="15"/>
      <c r="M21" s="10"/>
      <c r="N21" s="124"/>
    </row>
    <row r="22" spans="1:14" ht="15.75">
      <c r="A22" s="26"/>
      <c r="B22" s="27" t="s">
        <v>12</v>
      </c>
      <c r="C22" s="28"/>
      <c r="D22" s="29"/>
      <c r="E22" s="29"/>
      <c r="F22" s="29" t="s">
        <v>151</v>
      </c>
      <c r="G22" s="29"/>
      <c r="H22" s="29" t="s">
        <v>164</v>
      </c>
      <c r="I22" s="29"/>
      <c r="J22" s="29"/>
      <c r="K22" s="30"/>
      <c r="L22" s="30"/>
      <c r="M22" s="27"/>
      <c r="N22" s="124"/>
    </row>
    <row r="23" spans="1:14" ht="15.75">
      <c r="A23" s="31"/>
      <c r="B23" s="32" t="s">
        <v>13</v>
      </c>
      <c r="C23" s="32"/>
      <c r="D23" s="33"/>
      <c r="E23" s="33"/>
      <c r="F23" s="33" t="s">
        <v>150</v>
      </c>
      <c r="G23" s="33"/>
      <c r="H23" s="33" t="s">
        <v>163</v>
      </c>
      <c r="I23" s="33"/>
      <c r="J23" s="29"/>
      <c r="K23" s="30"/>
      <c r="L23" s="30"/>
      <c r="M23" s="27"/>
      <c r="N23" s="124"/>
    </row>
    <row r="24" spans="1:14" ht="15.75">
      <c r="A24" s="31"/>
      <c r="B24" s="32" t="s">
        <v>14</v>
      </c>
      <c r="C24" s="32"/>
      <c r="D24" s="33"/>
      <c r="E24" s="33"/>
      <c r="F24" s="33" t="s">
        <v>151</v>
      </c>
      <c r="G24" s="33"/>
      <c r="H24" s="33" t="s">
        <v>164</v>
      </c>
      <c r="I24" s="33"/>
      <c r="J24" s="29"/>
      <c r="K24" s="30"/>
      <c r="L24" s="30"/>
      <c r="M24" s="27"/>
      <c r="N24" s="124"/>
    </row>
    <row r="25" spans="1:14" ht="15.75">
      <c r="A25" s="26"/>
      <c r="B25" s="27" t="s">
        <v>15</v>
      </c>
      <c r="C25" s="27"/>
      <c r="D25" s="28"/>
      <c r="E25" s="29"/>
      <c r="F25" s="28" t="s">
        <v>152</v>
      </c>
      <c r="G25" s="29"/>
      <c r="H25" s="28" t="s">
        <v>165</v>
      </c>
      <c r="I25" s="29"/>
      <c r="J25" s="28"/>
      <c r="K25" s="30"/>
      <c r="L25" s="30"/>
      <c r="M25" s="27"/>
      <c r="N25" s="124"/>
    </row>
    <row r="26" spans="1:14" ht="15.75">
      <c r="A26" s="26"/>
      <c r="B26" s="27"/>
      <c r="C26" s="27"/>
      <c r="D26" s="27"/>
      <c r="E26" s="29"/>
      <c r="F26" s="29"/>
      <c r="G26" s="29"/>
      <c r="H26" s="29"/>
      <c r="I26" s="29"/>
      <c r="J26" s="29"/>
      <c r="K26" s="30"/>
      <c r="L26" s="30"/>
      <c r="M26" s="27"/>
      <c r="N26" s="124"/>
    </row>
    <row r="27" spans="1:14" ht="15.75">
      <c r="A27" s="26"/>
      <c r="B27" s="27" t="s">
        <v>16</v>
      </c>
      <c r="C27" s="27"/>
      <c r="D27" s="34"/>
      <c r="E27" s="35"/>
      <c r="F27" s="34">
        <v>166500</v>
      </c>
      <c r="G27" s="34"/>
      <c r="H27" s="34">
        <v>18500</v>
      </c>
      <c r="I27" s="34"/>
      <c r="J27" s="34"/>
      <c r="K27" s="36"/>
      <c r="L27" s="34">
        <f>H27+F27</f>
        <v>185000</v>
      </c>
      <c r="M27" s="37"/>
      <c r="N27" s="124"/>
    </row>
    <row r="28" spans="1:14" ht="15.75">
      <c r="A28" s="26"/>
      <c r="B28" s="27" t="s">
        <v>17</v>
      </c>
      <c r="C28" s="38">
        <v>0.971032</v>
      </c>
      <c r="D28" s="34"/>
      <c r="E28" s="35"/>
      <c r="F28" s="34">
        <f>166500*C28</f>
        <v>161676.828</v>
      </c>
      <c r="G28" s="34"/>
      <c r="H28" s="34">
        <v>18500</v>
      </c>
      <c r="I28" s="34"/>
      <c r="J28" s="34"/>
      <c r="K28" s="36"/>
      <c r="L28" s="34">
        <f>H28+F28</f>
        <v>180176.828</v>
      </c>
      <c r="M28" s="37"/>
      <c r="N28" s="124"/>
    </row>
    <row r="29" spans="1:14" ht="12.75" customHeight="1">
      <c r="A29" s="31"/>
      <c r="B29" s="32" t="s">
        <v>18</v>
      </c>
      <c r="C29" s="39">
        <v>0.961909</v>
      </c>
      <c r="D29" s="40"/>
      <c r="E29" s="41"/>
      <c r="F29" s="40">
        <f>166500*C29*1</f>
        <v>160157.8485</v>
      </c>
      <c r="G29" s="40"/>
      <c r="H29" s="40">
        <v>18500</v>
      </c>
      <c r="I29" s="40"/>
      <c r="J29" s="40"/>
      <c r="K29" s="42"/>
      <c r="L29" s="40">
        <f>H29+F29+D29</f>
        <v>178657.8485</v>
      </c>
      <c r="M29" s="37"/>
      <c r="N29" s="124"/>
    </row>
    <row r="30" spans="1:14" ht="15.75">
      <c r="A30" s="26"/>
      <c r="B30" s="27" t="s">
        <v>19</v>
      </c>
      <c r="C30" s="43"/>
      <c r="D30" s="28"/>
      <c r="E30" s="27"/>
      <c r="F30" s="28" t="s">
        <v>153</v>
      </c>
      <c r="G30" s="28"/>
      <c r="H30" s="28" t="s">
        <v>166</v>
      </c>
      <c r="I30" s="28"/>
      <c r="J30" s="28"/>
      <c r="K30" s="30"/>
      <c r="L30" s="30"/>
      <c r="M30" s="27"/>
      <c r="N30" s="124"/>
    </row>
    <row r="31" spans="1:14" ht="15.75">
      <c r="A31" s="26"/>
      <c r="B31" s="27" t="s">
        <v>20</v>
      </c>
      <c r="C31" s="27"/>
      <c r="D31" s="44"/>
      <c r="E31" s="27"/>
      <c r="F31" s="44">
        <f>(6.50719)/100</f>
        <v>0.0650719</v>
      </c>
      <c r="G31" s="45"/>
      <c r="H31" s="44">
        <f>(7.08219)/100</f>
        <v>0.0708219</v>
      </c>
      <c r="I31" s="45"/>
      <c r="J31" s="44"/>
      <c r="K31" s="30"/>
      <c r="L31" s="45">
        <f>SUMPRODUCT(F31:H31,F28:H28)/L28</f>
        <v>0.06566229223401136</v>
      </c>
      <c r="M31" s="27"/>
      <c r="N31" s="124"/>
    </row>
    <row r="32" spans="1:14" ht="15.75">
      <c r="A32" s="26"/>
      <c r="B32" s="27" t="s">
        <v>21</v>
      </c>
      <c r="C32" s="27"/>
      <c r="D32" s="44"/>
      <c r="E32" s="27"/>
      <c r="F32" s="44">
        <f>(6.50609)/100</f>
        <v>0.0650609</v>
      </c>
      <c r="G32" s="45"/>
      <c r="H32" s="44">
        <f>(7.08109)/100</f>
        <v>0.0708109</v>
      </c>
      <c r="I32" s="45"/>
      <c r="J32" s="44"/>
      <c r="K32" s="30"/>
      <c r="L32" s="30"/>
      <c r="M32" s="27"/>
      <c r="N32" s="124"/>
    </row>
    <row r="33" spans="1:14" ht="15.75">
      <c r="A33" s="26"/>
      <c r="B33" s="27" t="s">
        <v>22</v>
      </c>
      <c r="C33" s="27"/>
      <c r="D33" s="28"/>
      <c r="E33" s="27"/>
      <c r="F33" s="28" t="s">
        <v>155</v>
      </c>
      <c r="G33" s="28"/>
      <c r="H33" s="28" t="s">
        <v>155</v>
      </c>
      <c r="I33" s="28"/>
      <c r="J33" s="28"/>
      <c r="K33" s="30"/>
      <c r="L33" s="30"/>
      <c r="M33" s="27"/>
      <c r="N33" s="124"/>
    </row>
    <row r="34" spans="1:14" ht="15.75">
      <c r="A34" s="26"/>
      <c r="B34" s="27" t="s">
        <v>23</v>
      </c>
      <c r="C34" s="27"/>
      <c r="D34" s="28"/>
      <c r="E34" s="27"/>
      <c r="F34" s="28" t="s">
        <v>156</v>
      </c>
      <c r="G34" s="28"/>
      <c r="H34" s="28" t="s">
        <v>156</v>
      </c>
      <c r="I34" s="28"/>
      <c r="J34" s="28"/>
      <c r="K34" s="30"/>
      <c r="L34" s="30"/>
      <c r="M34" s="27"/>
      <c r="N34" s="124"/>
    </row>
    <row r="35" spans="1:14" ht="15.75">
      <c r="A35" s="26"/>
      <c r="B35" s="27" t="s">
        <v>24</v>
      </c>
      <c r="C35" s="27"/>
      <c r="D35" s="28"/>
      <c r="E35" s="27"/>
      <c r="F35" s="28" t="s">
        <v>157</v>
      </c>
      <c r="G35" s="28"/>
      <c r="H35" s="28" t="s">
        <v>167</v>
      </c>
      <c r="I35" s="28"/>
      <c r="J35" s="28"/>
      <c r="K35" s="30"/>
      <c r="L35" s="30"/>
      <c r="M35" s="27"/>
      <c r="N35" s="124"/>
    </row>
    <row r="36" spans="1:14" ht="15.75">
      <c r="A36" s="26"/>
      <c r="B36" s="27"/>
      <c r="C36" s="27"/>
      <c r="D36" s="46"/>
      <c r="E36" s="46"/>
      <c r="F36" s="27"/>
      <c r="G36" s="46"/>
      <c r="H36" s="46"/>
      <c r="I36" s="46"/>
      <c r="J36" s="46"/>
      <c r="K36" s="46"/>
      <c r="L36" s="46"/>
      <c r="M36" s="27"/>
      <c r="N36" s="124"/>
    </row>
    <row r="37" spans="1:14" ht="15.75">
      <c r="A37" s="26"/>
      <c r="B37" s="27" t="s">
        <v>25</v>
      </c>
      <c r="C37" s="27"/>
      <c r="D37" s="27"/>
      <c r="E37" s="27"/>
      <c r="F37" s="27"/>
      <c r="G37" s="27"/>
      <c r="H37" s="27"/>
      <c r="I37" s="27"/>
      <c r="J37" s="27"/>
      <c r="K37" s="27"/>
      <c r="L37" s="45">
        <f>H27/F27</f>
        <v>0.1111111111111111</v>
      </c>
      <c r="M37" s="27"/>
      <c r="N37" s="124"/>
    </row>
    <row r="38" spans="1:14" ht="15.75">
      <c r="A38" s="26"/>
      <c r="B38" s="27" t="s">
        <v>26</v>
      </c>
      <c r="C38" s="27"/>
      <c r="D38" s="27"/>
      <c r="E38" s="27"/>
      <c r="F38" s="27"/>
      <c r="G38" s="27"/>
      <c r="H38" s="27"/>
      <c r="I38" s="27"/>
      <c r="J38" s="27"/>
      <c r="K38" s="27"/>
      <c r="L38" s="45">
        <f>H29/F29</f>
        <v>0.11551104222032553</v>
      </c>
      <c r="M38" s="27"/>
      <c r="N38" s="124"/>
    </row>
    <row r="39" spans="1:14" ht="15.75">
      <c r="A39" s="26"/>
      <c r="B39" s="27" t="s">
        <v>27</v>
      </c>
      <c r="C39" s="27"/>
      <c r="D39" s="27"/>
      <c r="E39" s="27"/>
      <c r="F39" s="27"/>
      <c r="G39" s="27"/>
      <c r="H39" s="27"/>
      <c r="I39" s="27"/>
      <c r="J39" s="28" t="s">
        <v>149</v>
      </c>
      <c r="K39" s="28" t="s">
        <v>181</v>
      </c>
      <c r="L39" s="34">
        <v>74000</v>
      </c>
      <c r="M39" s="27"/>
      <c r="N39" s="124"/>
    </row>
    <row r="40" spans="1:14" ht="15.75">
      <c r="A40" s="26"/>
      <c r="B40" s="27"/>
      <c r="C40" s="27"/>
      <c r="D40" s="27"/>
      <c r="E40" s="27"/>
      <c r="F40" s="27"/>
      <c r="G40" s="27"/>
      <c r="H40" s="27"/>
      <c r="I40" s="27"/>
      <c r="J40" s="27" t="s">
        <v>173</v>
      </c>
      <c r="K40" s="27"/>
      <c r="L40" s="47"/>
      <c r="M40" s="27"/>
      <c r="N40" s="124"/>
    </row>
    <row r="41" spans="1:14" ht="15.75">
      <c r="A41" s="26"/>
      <c r="B41" s="27" t="s">
        <v>28</v>
      </c>
      <c r="C41" s="27"/>
      <c r="D41" s="27"/>
      <c r="E41" s="27"/>
      <c r="F41" s="27"/>
      <c r="G41" s="27"/>
      <c r="H41" s="27"/>
      <c r="I41" s="27"/>
      <c r="J41" s="28"/>
      <c r="K41" s="28"/>
      <c r="L41" s="28" t="s">
        <v>184</v>
      </c>
      <c r="M41" s="27"/>
      <c r="N41" s="124"/>
    </row>
    <row r="42" spans="1:14" ht="15.75">
      <c r="A42" s="31"/>
      <c r="B42" s="32" t="s">
        <v>29</v>
      </c>
      <c r="C42" s="32"/>
      <c r="D42" s="32"/>
      <c r="E42" s="32"/>
      <c r="F42" s="32"/>
      <c r="G42" s="32"/>
      <c r="H42" s="32"/>
      <c r="I42" s="32"/>
      <c r="J42" s="48"/>
      <c r="K42" s="48"/>
      <c r="L42" s="49">
        <v>36875</v>
      </c>
      <c r="M42" s="27"/>
      <c r="N42" s="124"/>
    </row>
    <row r="43" spans="1:14" ht="15.75">
      <c r="A43" s="26"/>
      <c r="B43" s="27" t="s">
        <v>30</v>
      </c>
      <c r="C43" s="27"/>
      <c r="D43" s="27"/>
      <c r="E43" s="27"/>
      <c r="F43" s="27"/>
      <c r="G43" s="27"/>
      <c r="H43" s="27"/>
      <c r="I43" s="27">
        <f>L43-J43+1</f>
        <v>92</v>
      </c>
      <c r="J43" s="50">
        <v>36692</v>
      </c>
      <c r="K43" s="51"/>
      <c r="L43" s="50">
        <v>36783</v>
      </c>
      <c r="M43" s="27"/>
      <c r="N43" s="124"/>
    </row>
    <row r="44" spans="1:14" ht="15.75">
      <c r="A44" s="26"/>
      <c r="B44" s="27" t="s">
        <v>31</v>
      </c>
      <c r="C44" s="27"/>
      <c r="D44" s="27"/>
      <c r="E44" s="27"/>
      <c r="F44" s="27"/>
      <c r="G44" s="27"/>
      <c r="H44" s="27"/>
      <c r="I44" s="27">
        <f>L44-J44+1</f>
        <v>91</v>
      </c>
      <c r="J44" s="50">
        <v>36784</v>
      </c>
      <c r="K44" s="51"/>
      <c r="L44" s="50">
        <v>36874</v>
      </c>
      <c r="M44" s="27"/>
      <c r="N44" s="124"/>
    </row>
    <row r="45" spans="1:14" ht="15.75">
      <c r="A45" s="26"/>
      <c r="B45" s="27" t="s">
        <v>32</v>
      </c>
      <c r="C45" s="27"/>
      <c r="D45" s="27"/>
      <c r="E45" s="27"/>
      <c r="F45" s="27"/>
      <c r="G45" s="27"/>
      <c r="H45" s="27"/>
      <c r="I45" s="27"/>
      <c r="J45" s="50"/>
      <c r="K45" s="51"/>
      <c r="L45" s="50" t="s">
        <v>185</v>
      </c>
      <c r="M45" s="27"/>
      <c r="N45" s="124"/>
    </row>
    <row r="46" spans="1:14" ht="15.75">
      <c r="A46" s="26"/>
      <c r="B46" s="27" t="s">
        <v>33</v>
      </c>
      <c r="C46" s="27"/>
      <c r="D46" s="27"/>
      <c r="E46" s="27"/>
      <c r="F46" s="27"/>
      <c r="G46" s="27"/>
      <c r="H46" s="27"/>
      <c r="I46" s="27"/>
      <c r="J46" s="50"/>
      <c r="K46" s="51"/>
      <c r="L46" s="50">
        <v>36868</v>
      </c>
      <c r="M46" s="27"/>
      <c r="N46" s="124"/>
    </row>
    <row r="47" spans="1:14" ht="15.75">
      <c r="A47" s="26"/>
      <c r="B47" s="27"/>
      <c r="C47" s="27"/>
      <c r="D47" s="27"/>
      <c r="E47" s="27"/>
      <c r="F47" s="27"/>
      <c r="G47" s="27"/>
      <c r="H47" s="27"/>
      <c r="I47" s="27"/>
      <c r="J47" s="50"/>
      <c r="K47" s="51"/>
      <c r="L47" s="50"/>
      <c r="M47" s="27"/>
      <c r="N47" s="124"/>
    </row>
    <row r="48" spans="1:14" ht="15.75">
      <c r="A48" s="8"/>
      <c r="B48" s="10"/>
      <c r="C48" s="10"/>
      <c r="D48" s="10"/>
      <c r="E48" s="10"/>
      <c r="F48" s="10"/>
      <c r="G48" s="10"/>
      <c r="H48" s="10"/>
      <c r="I48" s="10"/>
      <c r="J48" s="52"/>
      <c r="K48" s="53"/>
      <c r="L48" s="52"/>
      <c r="M48" s="10"/>
      <c r="N48" s="124"/>
    </row>
    <row r="49" spans="1:14" ht="19.5" thickBot="1">
      <c r="A49" s="129"/>
      <c r="B49" s="130" t="s">
        <v>210</v>
      </c>
      <c r="C49" s="131"/>
      <c r="D49" s="131"/>
      <c r="E49" s="131"/>
      <c r="F49" s="131"/>
      <c r="G49" s="131"/>
      <c r="H49" s="131"/>
      <c r="I49" s="131"/>
      <c r="J49" s="132"/>
      <c r="K49" s="133"/>
      <c r="L49" s="132"/>
      <c r="M49" s="134"/>
      <c r="N49" s="124"/>
    </row>
    <row r="50" spans="1:14" ht="15.75">
      <c r="A50" s="2"/>
      <c r="B50" s="5"/>
      <c r="C50" s="5"/>
      <c r="D50" s="5"/>
      <c r="E50" s="5"/>
      <c r="F50" s="5"/>
      <c r="G50" s="5"/>
      <c r="H50" s="5"/>
      <c r="I50" s="5"/>
      <c r="J50" s="5"/>
      <c r="K50" s="5"/>
      <c r="L50" s="55"/>
      <c r="M50" s="5"/>
      <c r="N50" s="124"/>
    </row>
    <row r="51" spans="1:14" ht="15.75">
      <c r="A51" s="8"/>
      <c r="B51" s="56" t="s">
        <v>35</v>
      </c>
      <c r="C51" s="16"/>
      <c r="D51" s="10"/>
      <c r="E51" s="10"/>
      <c r="F51" s="10"/>
      <c r="G51" s="10"/>
      <c r="H51" s="10"/>
      <c r="I51" s="10"/>
      <c r="J51" s="10"/>
      <c r="K51" s="10"/>
      <c r="L51" s="57"/>
      <c r="M51" s="10"/>
      <c r="N51" s="124"/>
    </row>
    <row r="52" spans="1:14" ht="15.75">
      <c r="A52" s="8"/>
      <c r="B52" s="16"/>
      <c r="C52" s="16"/>
      <c r="D52" s="10"/>
      <c r="E52" s="10"/>
      <c r="F52" s="10"/>
      <c r="G52" s="10"/>
      <c r="H52" s="10"/>
      <c r="I52" s="10"/>
      <c r="J52" s="10"/>
      <c r="K52" s="10"/>
      <c r="L52" s="57"/>
      <c r="M52" s="10"/>
      <c r="N52" s="124"/>
    </row>
    <row r="53" spans="1:14" s="152" customFormat="1" ht="63">
      <c r="A53" s="146"/>
      <c r="B53" s="147" t="s">
        <v>36</v>
      </c>
      <c r="C53" s="148" t="s">
        <v>143</v>
      </c>
      <c r="D53" s="148" t="s">
        <v>145</v>
      </c>
      <c r="E53" s="148"/>
      <c r="F53" s="148" t="s">
        <v>158</v>
      </c>
      <c r="G53" s="148"/>
      <c r="H53" s="148" t="s">
        <v>168</v>
      </c>
      <c r="I53" s="148"/>
      <c r="J53" s="148" t="s">
        <v>174</v>
      </c>
      <c r="K53" s="148"/>
      <c r="L53" s="149" t="s">
        <v>186</v>
      </c>
      <c r="M53" s="150"/>
      <c r="N53" s="151"/>
    </row>
    <row r="54" spans="1:14" ht="15.75">
      <c r="A54" s="26"/>
      <c r="B54" s="27" t="s">
        <v>37</v>
      </c>
      <c r="C54" s="37">
        <v>158981</v>
      </c>
      <c r="D54" s="37">
        <v>180177</v>
      </c>
      <c r="E54" s="37"/>
      <c r="F54" s="37">
        <f>1519+1559</f>
        <v>3078</v>
      </c>
      <c r="G54" s="37"/>
      <c r="H54" s="37">
        <v>1559</v>
      </c>
      <c r="I54" s="37"/>
      <c r="J54" s="37">
        <v>0</v>
      </c>
      <c r="K54" s="37"/>
      <c r="L54" s="58">
        <f>D54-F54+H54-J54</f>
        <v>178658</v>
      </c>
      <c r="M54" s="27"/>
      <c r="N54" s="124"/>
    </row>
    <row r="55" spans="1:14" ht="15.75">
      <c r="A55" s="26"/>
      <c r="B55" s="27" t="s">
        <v>38</v>
      </c>
      <c r="C55" s="37">
        <v>141</v>
      </c>
      <c r="D55" s="37">
        <v>0</v>
      </c>
      <c r="E55" s="37"/>
      <c r="F55" s="37">
        <v>0</v>
      </c>
      <c r="G55" s="37"/>
      <c r="H55" s="37">
        <v>0</v>
      </c>
      <c r="I55" s="37"/>
      <c r="J55" s="37">
        <v>0</v>
      </c>
      <c r="K55" s="37"/>
      <c r="L55" s="58">
        <f>D55-F55+H55-J55</f>
        <v>0</v>
      </c>
      <c r="M55" s="27"/>
      <c r="N55" s="124"/>
    </row>
    <row r="56" spans="1:14" ht="15.75">
      <c r="A56" s="26"/>
      <c r="B56" s="27"/>
      <c r="C56" s="37"/>
      <c r="D56" s="37"/>
      <c r="E56" s="37"/>
      <c r="F56" s="37"/>
      <c r="G56" s="37"/>
      <c r="H56" s="37"/>
      <c r="I56" s="37"/>
      <c r="J56" s="37"/>
      <c r="K56" s="37"/>
      <c r="L56" s="58"/>
      <c r="M56" s="27"/>
      <c r="N56" s="124"/>
    </row>
    <row r="57" spans="1:14" ht="15.75">
      <c r="A57" s="26"/>
      <c r="B57" s="27" t="s">
        <v>39</v>
      </c>
      <c r="C57" s="37">
        <f>SUM(C54:C56)</f>
        <v>159122</v>
      </c>
      <c r="D57" s="37">
        <f>SUM(D54:D56)</f>
        <v>180177</v>
      </c>
      <c r="E57" s="37"/>
      <c r="F57" s="37">
        <f>SUM(F54:F56)</f>
        <v>3078</v>
      </c>
      <c r="G57" s="37"/>
      <c r="H57" s="37">
        <f>SUM(H54:H56)</f>
        <v>1559</v>
      </c>
      <c r="I57" s="37"/>
      <c r="J57" s="37">
        <f>SUM(J54:J56)</f>
        <v>0</v>
      </c>
      <c r="K57" s="37"/>
      <c r="L57" s="59">
        <f>SUM(L54:L56)</f>
        <v>178658</v>
      </c>
      <c r="M57" s="27"/>
      <c r="N57" s="124"/>
    </row>
    <row r="58" spans="1:14" ht="15.75">
      <c r="A58" s="26"/>
      <c r="B58" s="27"/>
      <c r="C58" s="37"/>
      <c r="D58" s="37"/>
      <c r="E58" s="37"/>
      <c r="F58" s="37"/>
      <c r="G58" s="37"/>
      <c r="H58" s="37"/>
      <c r="I58" s="37"/>
      <c r="J58" s="37"/>
      <c r="K58" s="37"/>
      <c r="L58" s="59"/>
      <c r="M58" s="27"/>
      <c r="N58" s="124"/>
    </row>
    <row r="59" spans="1:14" ht="15.75">
      <c r="A59" s="8"/>
      <c r="B59" s="143" t="s">
        <v>40</v>
      </c>
      <c r="C59" s="60"/>
      <c r="D59" s="60"/>
      <c r="E59" s="60"/>
      <c r="F59" s="60"/>
      <c r="G59" s="60"/>
      <c r="H59" s="60"/>
      <c r="I59" s="60"/>
      <c r="J59" s="60"/>
      <c r="K59" s="60"/>
      <c r="L59" s="61"/>
      <c r="M59" s="10"/>
      <c r="N59" s="124"/>
    </row>
    <row r="60" spans="1:14" ht="15.75">
      <c r="A60" s="8"/>
      <c r="B60" s="10"/>
      <c r="C60" s="60"/>
      <c r="D60" s="60"/>
      <c r="E60" s="60"/>
      <c r="F60" s="60"/>
      <c r="G60" s="60"/>
      <c r="H60" s="60"/>
      <c r="I60" s="60"/>
      <c r="J60" s="60"/>
      <c r="K60" s="60"/>
      <c r="L60" s="61"/>
      <c r="M60" s="10"/>
      <c r="N60" s="124"/>
    </row>
    <row r="61" spans="1:14" ht="15.75">
      <c r="A61" s="26"/>
      <c r="B61" s="27" t="s">
        <v>37</v>
      </c>
      <c r="C61" s="37"/>
      <c r="D61" s="37"/>
      <c r="E61" s="37"/>
      <c r="F61" s="37"/>
      <c r="G61" s="37"/>
      <c r="H61" s="37"/>
      <c r="I61" s="37"/>
      <c r="J61" s="37"/>
      <c r="K61" s="37"/>
      <c r="L61" s="59"/>
      <c r="M61" s="27"/>
      <c r="N61" s="124"/>
    </row>
    <row r="62" spans="1:14" ht="15.75">
      <c r="A62" s="26"/>
      <c r="B62" s="27" t="s">
        <v>38</v>
      </c>
      <c r="C62" s="37"/>
      <c r="D62" s="37"/>
      <c r="E62" s="37"/>
      <c r="F62" s="37"/>
      <c r="G62" s="37"/>
      <c r="H62" s="37"/>
      <c r="I62" s="37"/>
      <c r="J62" s="37"/>
      <c r="K62" s="37"/>
      <c r="L62" s="59"/>
      <c r="M62" s="27"/>
      <c r="N62" s="124"/>
    </row>
    <row r="63" spans="1:14" ht="15.75">
      <c r="A63" s="26"/>
      <c r="B63" s="27"/>
      <c r="C63" s="37"/>
      <c r="D63" s="37"/>
      <c r="E63" s="37"/>
      <c r="F63" s="37"/>
      <c r="G63" s="37"/>
      <c r="H63" s="37"/>
      <c r="I63" s="37"/>
      <c r="J63" s="37"/>
      <c r="K63" s="37"/>
      <c r="L63" s="59"/>
      <c r="M63" s="27"/>
      <c r="N63" s="124"/>
    </row>
    <row r="64" spans="1:14" ht="15.75">
      <c r="A64" s="26"/>
      <c r="B64" s="27" t="s">
        <v>39</v>
      </c>
      <c r="C64" s="37"/>
      <c r="D64" s="37"/>
      <c r="E64" s="37"/>
      <c r="F64" s="37"/>
      <c r="G64" s="37"/>
      <c r="H64" s="37"/>
      <c r="I64" s="37"/>
      <c r="J64" s="37"/>
      <c r="K64" s="37"/>
      <c r="L64" s="37"/>
      <c r="M64" s="27"/>
      <c r="N64" s="124"/>
    </row>
    <row r="65" spans="1:14" ht="15.75">
      <c r="A65" s="26"/>
      <c r="B65" s="27"/>
      <c r="C65" s="37"/>
      <c r="D65" s="37"/>
      <c r="E65" s="37"/>
      <c r="F65" s="37"/>
      <c r="G65" s="37"/>
      <c r="H65" s="37"/>
      <c r="I65" s="37"/>
      <c r="J65" s="37"/>
      <c r="K65" s="37"/>
      <c r="L65" s="37"/>
      <c r="M65" s="27"/>
      <c r="N65" s="124"/>
    </row>
    <row r="66" spans="1:14" ht="15.75">
      <c r="A66" s="26"/>
      <c r="B66" s="27" t="s">
        <v>41</v>
      </c>
      <c r="C66" s="37">
        <v>0</v>
      </c>
      <c r="D66" s="37">
        <v>0</v>
      </c>
      <c r="E66" s="37"/>
      <c r="F66" s="37"/>
      <c r="G66" s="37"/>
      <c r="H66" s="37"/>
      <c r="I66" s="37"/>
      <c r="J66" s="37"/>
      <c r="K66" s="37"/>
      <c r="L66" s="58">
        <f>D66-F66+H66-J66</f>
        <v>0</v>
      </c>
      <c r="M66" s="27"/>
      <c r="N66" s="124"/>
    </row>
    <row r="67" spans="1:14" ht="15.75">
      <c r="A67" s="26"/>
      <c r="B67" s="27" t="s">
        <v>42</v>
      </c>
      <c r="C67" s="37">
        <v>25878</v>
      </c>
      <c r="D67" s="37">
        <v>0</v>
      </c>
      <c r="E67" s="37"/>
      <c r="F67" s="37"/>
      <c r="G67" s="37"/>
      <c r="H67" s="37"/>
      <c r="I67" s="37"/>
      <c r="J67" s="37"/>
      <c r="K67" s="37"/>
      <c r="L67" s="59">
        <v>0</v>
      </c>
      <c r="M67" s="27"/>
      <c r="N67" s="124"/>
    </row>
    <row r="68" spans="1:14" ht="15.75">
      <c r="A68" s="26"/>
      <c r="B68" s="27" t="s">
        <v>43</v>
      </c>
      <c r="C68" s="37">
        <v>0</v>
      </c>
      <c r="D68" s="37">
        <f>L123</f>
        <v>0</v>
      </c>
      <c r="E68" s="37"/>
      <c r="F68" s="37"/>
      <c r="G68" s="37"/>
      <c r="H68" s="37"/>
      <c r="I68" s="37"/>
      <c r="J68" s="37"/>
      <c r="K68" s="37"/>
      <c r="L68" s="59">
        <f>SUM(C68:K68)</f>
        <v>0</v>
      </c>
      <c r="M68" s="27"/>
      <c r="N68" s="124"/>
    </row>
    <row r="69" spans="1:14" ht="15.75">
      <c r="A69" s="26"/>
      <c r="B69" s="27" t="s">
        <v>44</v>
      </c>
      <c r="C69" s="59">
        <f>SUM(C57:C68)</f>
        <v>185000</v>
      </c>
      <c r="D69" s="59">
        <f>SUM(D57:D68)</f>
        <v>180177</v>
      </c>
      <c r="E69" s="37"/>
      <c r="F69" s="59"/>
      <c r="G69" s="37"/>
      <c r="H69" s="59"/>
      <c r="I69" s="37"/>
      <c r="J69" s="59"/>
      <c r="K69" s="37"/>
      <c r="L69" s="59">
        <f>SUM(L57:L68)</f>
        <v>178658</v>
      </c>
      <c r="M69" s="27"/>
      <c r="N69" s="124"/>
    </row>
    <row r="70" spans="1:14" ht="15.75">
      <c r="A70" s="8"/>
      <c r="B70" s="10"/>
      <c r="C70" s="10"/>
      <c r="D70" s="10"/>
      <c r="E70" s="10"/>
      <c r="F70" s="10"/>
      <c r="G70" s="10"/>
      <c r="H70" s="10"/>
      <c r="I70" s="10"/>
      <c r="J70" s="10"/>
      <c r="K70" s="10"/>
      <c r="L70" s="10"/>
      <c r="M70" s="10"/>
      <c r="N70" s="124"/>
    </row>
    <row r="71" spans="1:14" ht="15.75">
      <c r="A71" s="8"/>
      <c r="B71" s="56" t="s">
        <v>45</v>
      </c>
      <c r="C71" s="17"/>
      <c r="D71" s="17"/>
      <c r="E71" s="17"/>
      <c r="F71" s="17"/>
      <c r="G71" s="17"/>
      <c r="H71" s="17"/>
      <c r="I71" s="63"/>
      <c r="J71" s="63" t="s">
        <v>175</v>
      </c>
      <c r="K71" s="63"/>
      <c r="L71" s="63" t="s">
        <v>187</v>
      </c>
      <c r="M71" s="10"/>
      <c r="N71" s="124"/>
    </row>
    <row r="72" spans="1:14" ht="15.75">
      <c r="A72" s="26"/>
      <c r="B72" s="27" t="s">
        <v>46</v>
      </c>
      <c r="C72" s="27"/>
      <c r="D72" s="27"/>
      <c r="E72" s="27"/>
      <c r="F72" s="27"/>
      <c r="G72" s="27"/>
      <c r="H72" s="27"/>
      <c r="I72" s="27"/>
      <c r="J72" s="37">
        <v>0</v>
      </c>
      <c r="K72" s="27"/>
      <c r="L72" s="58">
        <v>0</v>
      </c>
      <c r="M72" s="27"/>
      <c r="N72" s="124"/>
    </row>
    <row r="73" spans="1:14" ht="15.75">
      <c r="A73" s="26"/>
      <c r="B73" s="27" t="s">
        <v>47</v>
      </c>
      <c r="C73" s="46" t="s">
        <v>144</v>
      </c>
      <c r="D73" s="64">
        <v>36860</v>
      </c>
      <c r="E73" s="27"/>
      <c r="F73" s="27"/>
      <c r="G73" s="27"/>
      <c r="H73" s="27"/>
      <c r="I73" s="27"/>
      <c r="J73" s="37">
        <v>3078</v>
      </c>
      <c r="K73" s="27"/>
      <c r="L73" s="58"/>
      <c r="M73" s="27"/>
      <c r="N73" s="124"/>
    </row>
    <row r="74" spans="1:14" ht="15.75">
      <c r="A74" s="26"/>
      <c r="B74" s="27" t="s">
        <v>48</v>
      </c>
      <c r="C74" s="27"/>
      <c r="D74" s="27"/>
      <c r="E74" s="27"/>
      <c r="F74" s="27"/>
      <c r="G74" s="27"/>
      <c r="H74" s="27"/>
      <c r="I74" s="27"/>
      <c r="J74" s="37"/>
      <c r="K74" s="27"/>
      <c r="L74" s="58">
        <v>3536</v>
      </c>
      <c r="M74" s="27"/>
      <c r="N74" s="124"/>
    </row>
    <row r="75" spans="1:14" ht="15.75">
      <c r="A75" s="26"/>
      <c r="B75" s="27" t="s">
        <v>49</v>
      </c>
      <c r="C75" s="27"/>
      <c r="D75" s="27"/>
      <c r="E75" s="27"/>
      <c r="F75" s="27"/>
      <c r="G75" s="27"/>
      <c r="H75" s="27"/>
      <c r="I75" s="27"/>
      <c r="J75" s="37"/>
      <c r="K75" s="27"/>
      <c r="L75" s="58">
        <v>158</v>
      </c>
      <c r="M75" s="27"/>
      <c r="N75" s="124"/>
    </row>
    <row r="76" spans="1:14" ht="15.75">
      <c r="A76" s="26"/>
      <c r="B76" s="27" t="s">
        <v>50</v>
      </c>
      <c r="C76" s="27"/>
      <c r="D76" s="27"/>
      <c r="E76" s="27"/>
      <c r="F76" s="27"/>
      <c r="G76" s="27"/>
      <c r="H76" s="27"/>
      <c r="I76" s="27"/>
      <c r="J76" s="37">
        <f>SUM(J72:J75)</f>
        <v>3078</v>
      </c>
      <c r="K76" s="27"/>
      <c r="L76" s="59">
        <f>SUM(L72:L75)</f>
        <v>3694</v>
      </c>
      <c r="M76" s="27"/>
      <c r="N76" s="124"/>
    </row>
    <row r="77" spans="1:14" ht="15.75">
      <c r="A77" s="26"/>
      <c r="B77" s="27" t="s">
        <v>51</v>
      </c>
      <c r="C77" s="27"/>
      <c r="D77" s="27"/>
      <c r="E77" s="27"/>
      <c r="F77" s="27"/>
      <c r="G77" s="27"/>
      <c r="H77" s="27"/>
      <c r="I77" s="27"/>
      <c r="J77" s="37">
        <v>0</v>
      </c>
      <c r="K77" s="27"/>
      <c r="L77" s="58">
        <v>0</v>
      </c>
      <c r="M77" s="27"/>
      <c r="N77" s="124"/>
    </row>
    <row r="78" spans="1:14" ht="15.75">
      <c r="A78" s="26"/>
      <c r="B78" s="27" t="s">
        <v>52</v>
      </c>
      <c r="C78" s="27"/>
      <c r="D78" s="27"/>
      <c r="E78" s="27"/>
      <c r="F78" s="27"/>
      <c r="G78" s="27"/>
      <c r="H78" s="27"/>
      <c r="I78" s="27"/>
      <c r="J78" s="37">
        <f>J76+J77</f>
        <v>3078</v>
      </c>
      <c r="K78" s="27"/>
      <c r="L78" s="59">
        <f>L76+L77</f>
        <v>3694</v>
      </c>
      <c r="M78" s="27"/>
      <c r="N78" s="124"/>
    </row>
    <row r="79" spans="1:14" ht="15.75">
      <c r="A79" s="26"/>
      <c r="B79" s="153" t="s">
        <v>53</v>
      </c>
      <c r="C79" s="65"/>
      <c r="D79" s="27"/>
      <c r="E79" s="27"/>
      <c r="F79" s="27"/>
      <c r="G79" s="27"/>
      <c r="H79" s="27"/>
      <c r="I79" s="27"/>
      <c r="J79" s="37"/>
      <c r="K79" s="27"/>
      <c r="L79" s="58"/>
      <c r="M79" s="27"/>
      <c r="N79" s="124"/>
    </row>
    <row r="80" spans="1:14" ht="15.75">
      <c r="A80" s="26">
        <v>1</v>
      </c>
      <c r="B80" s="27" t="s">
        <v>54</v>
      </c>
      <c r="C80" s="27"/>
      <c r="D80" s="27"/>
      <c r="E80" s="27"/>
      <c r="F80" s="27"/>
      <c r="G80" s="27"/>
      <c r="H80" s="27"/>
      <c r="I80" s="27"/>
      <c r="J80" s="27"/>
      <c r="K80" s="27"/>
      <c r="L80" s="58">
        <v>0</v>
      </c>
      <c r="M80" s="27"/>
      <c r="N80" s="124"/>
    </row>
    <row r="81" spans="1:14" ht="15.75">
      <c r="A81" s="26">
        <v>2</v>
      </c>
      <c r="B81" s="27" t="s">
        <v>55</v>
      </c>
      <c r="C81" s="27"/>
      <c r="D81" s="27"/>
      <c r="E81" s="27"/>
      <c r="F81" s="27"/>
      <c r="G81" s="27"/>
      <c r="H81" s="27"/>
      <c r="I81" s="27"/>
      <c r="J81" s="27"/>
      <c r="K81" s="27"/>
      <c r="L81" s="58">
        <v>-4</v>
      </c>
      <c r="M81" s="27"/>
      <c r="N81" s="124"/>
    </row>
    <row r="82" spans="1:14" ht="15.75">
      <c r="A82" s="26">
        <v>3</v>
      </c>
      <c r="B82" s="27" t="s">
        <v>56</v>
      </c>
      <c r="C82" s="27"/>
      <c r="D82" s="27"/>
      <c r="E82" s="27"/>
      <c r="F82" s="27"/>
      <c r="G82" s="27"/>
      <c r="H82" s="27"/>
      <c r="I82" s="27"/>
      <c r="J82" s="27"/>
      <c r="K82" s="27"/>
      <c r="L82" s="58">
        <v>-146</v>
      </c>
      <c r="M82" s="27"/>
      <c r="N82" s="124"/>
    </row>
    <row r="83" spans="1:14" ht="15.75">
      <c r="A83" s="26">
        <v>4</v>
      </c>
      <c r="B83" s="27" t="s">
        <v>57</v>
      </c>
      <c r="C83" s="27"/>
      <c r="D83" s="27"/>
      <c r="E83" s="27"/>
      <c r="F83" s="27"/>
      <c r="G83" s="27"/>
      <c r="H83" s="27"/>
      <c r="I83" s="27"/>
      <c r="J83" s="27"/>
      <c r="K83" s="27"/>
      <c r="L83" s="58">
        <v>-35</v>
      </c>
      <c r="M83" s="27"/>
      <c r="N83" s="124"/>
    </row>
    <row r="84" spans="1:14" ht="15.75">
      <c r="A84" s="26">
        <v>5</v>
      </c>
      <c r="B84" s="27" t="s">
        <v>58</v>
      </c>
      <c r="C84" s="27"/>
      <c r="D84" s="27"/>
      <c r="E84" s="27"/>
      <c r="F84" s="27"/>
      <c r="G84" s="27"/>
      <c r="H84" s="27"/>
      <c r="I84" s="27"/>
      <c r="J84" s="27"/>
      <c r="K84" s="27"/>
      <c r="L84" s="58">
        <v>-2616</v>
      </c>
      <c r="M84" s="27"/>
      <c r="N84" s="124"/>
    </row>
    <row r="85" spans="1:14" ht="15.75">
      <c r="A85" s="26">
        <v>6</v>
      </c>
      <c r="B85" s="27" t="s">
        <v>59</v>
      </c>
      <c r="C85" s="27"/>
      <c r="D85" s="27"/>
      <c r="E85" s="27"/>
      <c r="F85" s="27"/>
      <c r="G85" s="27"/>
      <c r="H85" s="27"/>
      <c r="I85" s="27"/>
      <c r="J85" s="27"/>
      <c r="K85" s="27"/>
      <c r="L85" s="58">
        <v>-326</v>
      </c>
      <c r="M85" s="27"/>
      <c r="N85" s="124"/>
    </row>
    <row r="86" spans="1:14" ht="15.75">
      <c r="A86" s="26">
        <v>7</v>
      </c>
      <c r="B86" s="27" t="s">
        <v>60</v>
      </c>
      <c r="C86" s="27"/>
      <c r="D86" s="27"/>
      <c r="E86" s="27"/>
      <c r="F86" s="27"/>
      <c r="G86" s="27"/>
      <c r="H86" s="27"/>
      <c r="I86" s="27"/>
      <c r="J86" s="27"/>
      <c r="K86" s="27"/>
      <c r="L86" s="58">
        <v>-3</v>
      </c>
      <c r="M86" s="27"/>
      <c r="N86" s="124"/>
    </row>
    <row r="87" spans="1:14" ht="15.75">
      <c r="A87" s="26">
        <v>8</v>
      </c>
      <c r="B87" s="27" t="s">
        <v>61</v>
      </c>
      <c r="C87" s="27"/>
      <c r="D87" s="27"/>
      <c r="E87" s="27"/>
      <c r="F87" s="27"/>
      <c r="G87" s="27"/>
      <c r="H87" s="27"/>
      <c r="I87" s="27"/>
      <c r="J87" s="27"/>
      <c r="K87" s="27"/>
      <c r="L87" s="58">
        <v>0</v>
      </c>
      <c r="M87" s="27"/>
      <c r="N87" s="124"/>
    </row>
    <row r="88" spans="1:14" ht="15.75">
      <c r="A88" s="26">
        <v>9</v>
      </c>
      <c r="B88" s="27" t="s">
        <v>62</v>
      </c>
      <c r="C88" s="27"/>
      <c r="D88" s="27"/>
      <c r="E88" s="27"/>
      <c r="F88" s="27"/>
      <c r="G88" s="27"/>
      <c r="H88" s="27"/>
      <c r="I88" s="27"/>
      <c r="J88" s="27"/>
      <c r="K88" s="27"/>
      <c r="L88" s="58">
        <v>0</v>
      </c>
      <c r="M88" s="27"/>
      <c r="N88" s="124"/>
    </row>
    <row r="89" spans="1:14" ht="15.75">
      <c r="A89" s="26">
        <v>10</v>
      </c>
      <c r="B89" s="27" t="s">
        <v>63</v>
      </c>
      <c r="C89" s="27"/>
      <c r="D89" s="27"/>
      <c r="E89" s="27"/>
      <c r="F89" s="27"/>
      <c r="G89" s="27"/>
      <c r="H89" s="27"/>
      <c r="I89" s="27"/>
      <c r="J89" s="27"/>
      <c r="K89" s="27"/>
      <c r="L89" s="58">
        <v>0</v>
      </c>
      <c r="M89" s="27"/>
      <c r="N89" s="124"/>
    </row>
    <row r="90" spans="1:14" ht="15.75">
      <c r="A90" s="26">
        <v>11</v>
      </c>
      <c r="B90" s="27" t="s">
        <v>64</v>
      </c>
      <c r="C90" s="27"/>
      <c r="D90" s="27"/>
      <c r="E90" s="27"/>
      <c r="F90" s="27"/>
      <c r="G90" s="27"/>
      <c r="H90" s="27"/>
      <c r="I90" s="27"/>
      <c r="J90" s="27"/>
      <c r="K90" s="27"/>
      <c r="L90" s="58">
        <v>0</v>
      </c>
      <c r="M90" s="27"/>
      <c r="N90" s="124"/>
    </row>
    <row r="91" spans="1:14" ht="15.75">
      <c r="A91" s="26">
        <v>12</v>
      </c>
      <c r="B91" s="27" t="s">
        <v>65</v>
      </c>
      <c r="C91" s="27"/>
      <c r="D91" s="27"/>
      <c r="E91" s="27"/>
      <c r="F91" s="27"/>
      <c r="G91" s="27"/>
      <c r="H91" s="27"/>
      <c r="I91" s="27"/>
      <c r="J91" s="27"/>
      <c r="K91" s="27"/>
      <c r="L91" s="58">
        <v>-141</v>
      </c>
      <c r="M91" s="27"/>
      <c r="N91" s="124"/>
    </row>
    <row r="92" spans="1:14" ht="15.75">
      <c r="A92" s="26">
        <v>13</v>
      </c>
      <c r="B92" s="27" t="s">
        <v>66</v>
      </c>
      <c r="C92" s="27"/>
      <c r="D92" s="27"/>
      <c r="E92" s="27"/>
      <c r="F92" s="27"/>
      <c r="G92" s="27"/>
      <c r="H92" s="27"/>
      <c r="I92" s="27"/>
      <c r="J92" s="27"/>
      <c r="K92" s="27"/>
      <c r="L92" s="58">
        <f>-SUM(L78:L91)</f>
        <v>-423</v>
      </c>
      <c r="M92" s="27"/>
      <c r="N92" s="124"/>
    </row>
    <row r="93" spans="1:14" ht="15.75">
      <c r="A93" s="26"/>
      <c r="B93" s="153" t="s">
        <v>67</v>
      </c>
      <c r="C93" s="65"/>
      <c r="D93" s="27"/>
      <c r="E93" s="27"/>
      <c r="F93" s="27"/>
      <c r="G93" s="27"/>
      <c r="H93" s="27"/>
      <c r="I93" s="27"/>
      <c r="J93" s="27"/>
      <c r="K93" s="27"/>
      <c r="L93" s="66"/>
      <c r="M93" s="27"/>
      <c r="N93" s="124"/>
    </row>
    <row r="94" spans="1:14" ht="15.75">
      <c r="A94" s="26"/>
      <c r="B94" s="27" t="s">
        <v>68</v>
      </c>
      <c r="C94" s="65"/>
      <c r="D94" s="27"/>
      <c r="E94" s="27"/>
      <c r="F94" s="27"/>
      <c r="G94" s="27"/>
      <c r="H94" s="27"/>
      <c r="I94" s="27"/>
      <c r="J94" s="37">
        <f>-J139</f>
        <v>-104</v>
      </c>
      <c r="K94" s="37"/>
      <c r="L94" s="58"/>
      <c r="M94" s="27"/>
      <c r="N94" s="124"/>
    </row>
    <row r="95" spans="1:14" ht="15.75">
      <c r="A95" s="26"/>
      <c r="B95" s="27" t="s">
        <v>69</v>
      </c>
      <c r="C95" s="27"/>
      <c r="D95" s="27"/>
      <c r="E95" s="27"/>
      <c r="F95" s="27"/>
      <c r="G95" s="27"/>
      <c r="H95" s="27"/>
      <c r="I95" s="27"/>
      <c r="J95" s="37">
        <f>-H139</f>
        <v>-1455</v>
      </c>
      <c r="K95" s="37"/>
      <c r="L95" s="58"/>
      <c r="M95" s="27"/>
      <c r="N95" s="124"/>
    </row>
    <row r="96" spans="1:14" ht="15.75">
      <c r="A96" s="26"/>
      <c r="B96" s="27" t="s">
        <v>70</v>
      </c>
      <c r="C96" s="27"/>
      <c r="D96" s="27"/>
      <c r="E96" s="27"/>
      <c r="F96" s="27"/>
      <c r="G96" s="27"/>
      <c r="H96" s="27"/>
      <c r="I96" s="27"/>
      <c r="J96" s="37">
        <v>-1519</v>
      </c>
      <c r="K96" s="37"/>
      <c r="L96" s="58"/>
      <c r="M96" s="27"/>
      <c r="N96" s="124"/>
    </row>
    <row r="97" spans="1:14" ht="15.75">
      <c r="A97" s="26"/>
      <c r="B97" s="27" t="s">
        <v>71</v>
      </c>
      <c r="C97" s="27"/>
      <c r="D97" s="27"/>
      <c r="E97" s="27"/>
      <c r="F97" s="27"/>
      <c r="G97" s="27"/>
      <c r="H97" s="27"/>
      <c r="I97" s="27"/>
      <c r="J97" s="37">
        <v>0</v>
      </c>
      <c r="K97" s="37"/>
      <c r="L97" s="58"/>
      <c r="M97" s="27"/>
      <c r="N97" s="124"/>
    </row>
    <row r="98" spans="1:14" ht="15.75">
      <c r="A98" s="26"/>
      <c r="B98" s="27" t="s">
        <v>72</v>
      </c>
      <c r="C98" s="27"/>
      <c r="D98" s="27"/>
      <c r="E98" s="27"/>
      <c r="F98" s="27"/>
      <c r="G98" s="27"/>
      <c r="H98" s="27"/>
      <c r="I98" s="27"/>
      <c r="J98" s="37">
        <f>SUM(J79:J97)</f>
        <v>-3078</v>
      </c>
      <c r="K98" s="37"/>
      <c r="L98" s="37">
        <f>SUM(L79:L97)</f>
        <v>-3694</v>
      </c>
      <c r="M98" s="27"/>
      <c r="N98" s="124"/>
    </row>
    <row r="99" spans="1:14" ht="15.75">
      <c r="A99" s="26"/>
      <c r="B99" s="27" t="s">
        <v>73</v>
      </c>
      <c r="C99" s="27"/>
      <c r="D99" s="27"/>
      <c r="E99" s="27"/>
      <c r="F99" s="27"/>
      <c r="G99" s="27"/>
      <c r="H99" s="27"/>
      <c r="I99" s="27"/>
      <c r="J99" s="37">
        <f>J78+J98</f>
        <v>0</v>
      </c>
      <c r="K99" s="37"/>
      <c r="L99" s="37">
        <f>L78+L98</f>
        <v>0</v>
      </c>
      <c r="M99" s="27"/>
      <c r="N99" s="124"/>
    </row>
    <row r="100" spans="1:14" ht="12" customHeight="1">
      <c r="A100" s="8"/>
      <c r="B100" s="10"/>
      <c r="C100" s="10"/>
      <c r="D100" s="10"/>
      <c r="E100" s="10"/>
      <c r="F100" s="10"/>
      <c r="G100" s="10"/>
      <c r="H100" s="10"/>
      <c r="I100" s="10"/>
      <c r="J100" s="10"/>
      <c r="K100" s="10"/>
      <c r="L100" s="57"/>
      <c r="M100" s="10"/>
      <c r="N100" s="124"/>
    </row>
    <row r="101" spans="1:14" ht="12" customHeight="1">
      <c r="A101" s="8"/>
      <c r="B101" s="10"/>
      <c r="C101" s="10"/>
      <c r="D101" s="10"/>
      <c r="E101" s="10"/>
      <c r="F101" s="10"/>
      <c r="G101" s="10"/>
      <c r="H101" s="10"/>
      <c r="I101" s="10"/>
      <c r="J101" s="10"/>
      <c r="K101" s="10"/>
      <c r="L101" s="57"/>
      <c r="M101" s="10"/>
      <c r="N101" s="124"/>
    </row>
    <row r="102" spans="1:14" ht="16.5" customHeight="1" thickBot="1">
      <c r="A102" s="129"/>
      <c r="B102" s="130" t="s">
        <v>210</v>
      </c>
      <c r="C102" s="131"/>
      <c r="D102" s="131"/>
      <c r="E102" s="131"/>
      <c r="F102" s="131"/>
      <c r="G102" s="131"/>
      <c r="H102" s="131"/>
      <c r="I102" s="131"/>
      <c r="J102" s="131"/>
      <c r="K102" s="131"/>
      <c r="L102" s="135"/>
      <c r="M102" s="134"/>
      <c r="N102" s="124"/>
    </row>
    <row r="103" spans="1:14" ht="12" customHeight="1">
      <c r="A103" s="2"/>
      <c r="B103" s="5"/>
      <c r="C103" s="5"/>
      <c r="D103" s="5"/>
      <c r="E103" s="5"/>
      <c r="F103" s="5"/>
      <c r="G103" s="5"/>
      <c r="H103" s="5"/>
      <c r="I103" s="5"/>
      <c r="J103" s="5"/>
      <c r="K103" s="5"/>
      <c r="L103" s="67"/>
      <c r="M103" s="5"/>
      <c r="N103" s="124"/>
    </row>
    <row r="104" spans="1:14" ht="15.75">
      <c r="A104" s="8"/>
      <c r="B104" s="56" t="s">
        <v>74</v>
      </c>
      <c r="C104" s="16"/>
      <c r="D104" s="10"/>
      <c r="E104" s="10"/>
      <c r="F104" s="10"/>
      <c r="G104" s="10"/>
      <c r="H104" s="10"/>
      <c r="I104" s="10"/>
      <c r="J104" s="10"/>
      <c r="K104" s="10"/>
      <c r="L104" s="57"/>
      <c r="M104" s="10"/>
      <c r="N104" s="124"/>
    </row>
    <row r="105" spans="1:14" ht="15.75">
      <c r="A105" s="8"/>
      <c r="B105" s="22"/>
      <c r="C105" s="16"/>
      <c r="D105" s="10"/>
      <c r="E105" s="10"/>
      <c r="F105" s="10"/>
      <c r="G105" s="10"/>
      <c r="H105" s="10"/>
      <c r="I105" s="10"/>
      <c r="J105" s="10"/>
      <c r="K105" s="10"/>
      <c r="L105" s="57"/>
      <c r="M105" s="10"/>
      <c r="N105" s="124"/>
    </row>
    <row r="106" spans="1:14" ht="15.75">
      <c r="A106" s="8"/>
      <c r="B106" s="154" t="s">
        <v>75</v>
      </c>
      <c r="C106" s="16"/>
      <c r="D106" s="10"/>
      <c r="E106" s="10"/>
      <c r="F106" s="10"/>
      <c r="G106" s="10"/>
      <c r="H106" s="10"/>
      <c r="I106" s="10"/>
      <c r="J106" s="10"/>
      <c r="K106" s="10"/>
      <c r="L106" s="57"/>
      <c r="M106" s="10"/>
      <c r="N106" s="124"/>
    </row>
    <row r="107" spans="1:14" ht="15.75">
      <c r="A107" s="26"/>
      <c r="B107" s="27" t="s">
        <v>76</v>
      </c>
      <c r="C107" s="27"/>
      <c r="D107" s="27"/>
      <c r="E107" s="27"/>
      <c r="F107" s="27"/>
      <c r="G107" s="27"/>
      <c r="H107" s="27"/>
      <c r="I107" s="27"/>
      <c r="J107" s="27"/>
      <c r="K107" s="27"/>
      <c r="L107" s="58">
        <v>4995</v>
      </c>
      <c r="M107" s="27"/>
      <c r="N107" s="124"/>
    </row>
    <row r="108" spans="1:14" ht="15.75">
      <c r="A108" s="26"/>
      <c r="B108" s="27" t="s">
        <v>77</v>
      </c>
      <c r="C108" s="27"/>
      <c r="D108" s="27"/>
      <c r="E108" s="27"/>
      <c r="F108" s="27"/>
      <c r="G108" s="27"/>
      <c r="H108" s="27"/>
      <c r="I108" s="27"/>
      <c r="J108" s="27"/>
      <c r="K108" s="27"/>
      <c r="L108" s="58">
        <v>4995</v>
      </c>
      <c r="M108" s="27"/>
      <c r="N108" s="124"/>
    </row>
    <row r="109" spans="1:14" ht="15.75">
      <c r="A109" s="26"/>
      <c r="B109" s="27" t="s">
        <v>78</v>
      </c>
      <c r="C109" s="27"/>
      <c r="D109" s="27"/>
      <c r="E109" s="27"/>
      <c r="F109" s="27"/>
      <c r="G109" s="27"/>
      <c r="H109" s="27"/>
      <c r="I109" s="27"/>
      <c r="J109" s="27"/>
      <c r="K109" s="27"/>
      <c r="L109" s="58">
        <v>0</v>
      </c>
      <c r="M109" s="27"/>
      <c r="N109" s="124"/>
    </row>
    <row r="110" spans="1:14" ht="15.75">
      <c r="A110" s="26"/>
      <c r="B110" s="27" t="s">
        <v>79</v>
      </c>
      <c r="C110" s="27"/>
      <c r="D110" s="27"/>
      <c r="E110" s="27"/>
      <c r="F110" s="27"/>
      <c r="G110" s="27"/>
      <c r="H110" s="27"/>
      <c r="I110" s="27"/>
      <c r="J110" s="27"/>
      <c r="K110" s="27"/>
      <c r="L110" s="58"/>
      <c r="M110" s="27"/>
      <c r="N110" s="124"/>
    </row>
    <row r="111" spans="1:14" ht="15.75">
      <c r="A111" s="26"/>
      <c r="B111" s="27" t="s">
        <v>80</v>
      </c>
      <c r="C111" s="27"/>
      <c r="D111" s="27"/>
      <c r="E111" s="27"/>
      <c r="F111" s="27"/>
      <c r="G111" s="27"/>
      <c r="H111" s="27"/>
      <c r="I111" s="27"/>
      <c r="J111" s="27"/>
      <c r="K111" s="27"/>
      <c r="L111" s="58">
        <v>0</v>
      </c>
      <c r="M111" s="27"/>
      <c r="N111" s="124"/>
    </row>
    <row r="112" spans="1:14" ht="15.75">
      <c r="A112" s="26"/>
      <c r="B112" s="27" t="s">
        <v>58</v>
      </c>
      <c r="C112" s="27"/>
      <c r="D112" s="27"/>
      <c r="E112" s="27"/>
      <c r="F112" s="27"/>
      <c r="G112" s="27"/>
      <c r="H112" s="27"/>
      <c r="I112" s="27"/>
      <c r="J112" s="27"/>
      <c r="K112" s="27"/>
      <c r="L112" s="58">
        <v>0</v>
      </c>
      <c r="M112" s="27"/>
      <c r="N112" s="124"/>
    </row>
    <row r="113" spans="1:14" ht="15.75">
      <c r="A113" s="26"/>
      <c r="B113" s="27" t="s">
        <v>59</v>
      </c>
      <c r="C113" s="27"/>
      <c r="D113" s="27"/>
      <c r="E113" s="27"/>
      <c r="F113" s="27"/>
      <c r="G113" s="27"/>
      <c r="H113" s="27"/>
      <c r="I113" s="27"/>
      <c r="J113" s="27"/>
      <c r="K113" s="27"/>
      <c r="L113" s="58">
        <v>0</v>
      </c>
      <c r="M113" s="27"/>
      <c r="N113" s="124"/>
    </row>
    <row r="114" spans="1:14" ht="15.75">
      <c r="A114" s="26"/>
      <c r="B114" s="27" t="s">
        <v>81</v>
      </c>
      <c r="C114" s="27"/>
      <c r="D114" s="27"/>
      <c r="E114" s="27"/>
      <c r="F114" s="27"/>
      <c r="G114" s="27"/>
      <c r="H114" s="27"/>
      <c r="I114" s="27"/>
      <c r="J114" s="27"/>
      <c r="K114" s="27"/>
      <c r="L114" s="58">
        <f>SUM(L108:L113)</f>
        <v>4995</v>
      </c>
      <c r="M114" s="27"/>
      <c r="N114" s="124"/>
    </row>
    <row r="115" spans="1:14" ht="15.75">
      <c r="A115" s="26"/>
      <c r="B115" s="27"/>
      <c r="C115" s="27"/>
      <c r="D115" s="27"/>
      <c r="E115" s="27"/>
      <c r="F115" s="27"/>
      <c r="G115" s="27"/>
      <c r="H115" s="27"/>
      <c r="I115" s="27"/>
      <c r="J115" s="27"/>
      <c r="K115" s="27"/>
      <c r="L115" s="68"/>
      <c r="M115" s="27"/>
      <c r="N115" s="124"/>
    </row>
    <row r="116" spans="1:14" ht="15.75">
      <c r="A116" s="8"/>
      <c r="B116" s="154" t="s">
        <v>82</v>
      </c>
      <c r="C116" s="10"/>
      <c r="D116" s="10"/>
      <c r="E116" s="10"/>
      <c r="F116" s="10"/>
      <c r="G116" s="10"/>
      <c r="H116" s="10"/>
      <c r="I116" s="10"/>
      <c r="J116" s="10"/>
      <c r="K116" s="10"/>
      <c r="L116" s="57"/>
      <c r="M116" s="10"/>
      <c r="N116" s="124"/>
    </row>
    <row r="117" spans="1:14" ht="15.75">
      <c r="A117" s="26"/>
      <c r="B117" s="27" t="s">
        <v>83</v>
      </c>
      <c r="C117" s="27"/>
      <c r="D117" s="69"/>
      <c r="E117" s="27"/>
      <c r="F117" s="27"/>
      <c r="G117" s="27"/>
      <c r="H117" s="27"/>
      <c r="I117" s="27"/>
      <c r="J117" s="27"/>
      <c r="K117" s="27"/>
      <c r="L117" s="70" t="s">
        <v>154</v>
      </c>
      <c r="M117" s="27"/>
      <c r="N117" s="124"/>
    </row>
    <row r="118" spans="1:14" ht="15.75">
      <c r="A118" s="26"/>
      <c r="B118" s="27" t="s">
        <v>84</v>
      </c>
      <c r="C118" s="30"/>
      <c r="D118" s="30"/>
      <c r="E118" s="30"/>
      <c r="F118" s="30"/>
      <c r="G118" s="30"/>
      <c r="H118" s="30"/>
      <c r="I118" s="30"/>
      <c r="J118" s="30"/>
      <c r="K118" s="30"/>
      <c r="L118" s="70" t="s">
        <v>154</v>
      </c>
      <c r="M118" s="27"/>
      <c r="N118" s="124"/>
    </row>
    <row r="119" spans="1:14" ht="15.75">
      <c r="A119" s="26"/>
      <c r="B119" s="27" t="s">
        <v>85</v>
      </c>
      <c r="C119" s="27"/>
      <c r="D119" s="27"/>
      <c r="E119" s="27"/>
      <c r="F119" s="27"/>
      <c r="G119" s="27"/>
      <c r="H119" s="27"/>
      <c r="I119" s="27"/>
      <c r="J119" s="27"/>
      <c r="K119" s="27"/>
      <c r="L119" s="70" t="s">
        <v>154</v>
      </c>
      <c r="M119" s="27"/>
      <c r="N119" s="124"/>
    </row>
    <row r="120" spans="1:14" ht="15.75">
      <c r="A120" s="26"/>
      <c r="B120" s="27" t="s">
        <v>86</v>
      </c>
      <c r="C120" s="27"/>
      <c r="D120" s="27"/>
      <c r="E120" s="27"/>
      <c r="F120" s="27"/>
      <c r="G120" s="27"/>
      <c r="H120" s="27"/>
      <c r="I120" s="27"/>
      <c r="J120" s="27"/>
      <c r="K120" s="27"/>
      <c r="L120" s="70" t="s">
        <v>154</v>
      </c>
      <c r="M120" s="27"/>
      <c r="N120" s="124"/>
    </row>
    <row r="121" spans="1:14" ht="15.75">
      <c r="A121" s="26"/>
      <c r="B121" s="27"/>
      <c r="C121" s="27"/>
      <c r="D121" s="27"/>
      <c r="E121" s="27"/>
      <c r="F121" s="27"/>
      <c r="G121" s="27"/>
      <c r="H121" s="27"/>
      <c r="I121" s="27"/>
      <c r="J121" s="27"/>
      <c r="K121" s="27"/>
      <c r="L121" s="68"/>
      <c r="M121" s="27"/>
      <c r="N121" s="124"/>
    </row>
    <row r="122" spans="1:14" ht="15.75">
      <c r="A122" s="8"/>
      <c r="B122" s="154" t="s">
        <v>87</v>
      </c>
      <c r="C122" s="16"/>
      <c r="D122" s="10"/>
      <c r="E122" s="10"/>
      <c r="F122" s="10"/>
      <c r="G122" s="10"/>
      <c r="H122" s="10"/>
      <c r="I122" s="10"/>
      <c r="J122" s="10"/>
      <c r="K122" s="10"/>
      <c r="L122" s="71"/>
      <c r="M122" s="10"/>
      <c r="N122" s="124"/>
    </row>
    <row r="123" spans="1:14" ht="15.75">
      <c r="A123" s="26"/>
      <c r="B123" s="27" t="s">
        <v>88</v>
      </c>
      <c r="C123" s="27"/>
      <c r="D123" s="27"/>
      <c r="E123" s="27"/>
      <c r="F123" s="27"/>
      <c r="G123" s="27"/>
      <c r="H123" s="27"/>
      <c r="I123" s="27"/>
      <c r="J123" s="27"/>
      <c r="K123" s="27"/>
      <c r="L123" s="58">
        <v>0</v>
      </c>
      <c r="M123" s="27"/>
      <c r="N123" s="124"/>
    </row>
    <row r="124" spans="1:14" ht="15.75">
      <c r="A124" s="26"/>
      <c r="B124" s="27" t="s">
        <v>89</v>
      </c>
      <c r="C124" s="27"/>
      <c r="D124" s="27"/>
      <c r="E124" s="27"/>
      <c r="F124" s="27"/>
      <c r="G124" s="27"/>
      <c r="H124" s="27"/>
      <c r="I124" s="27"/>
      <c r="J124" s="27"/>
      <c r="K124" s="27"/>
      <c r="L124" s="58">
        <v>0</v>
      </c>
      <c r="M124" s="27"/>
      <c r="N124" s="124"/>
    </row>
    <row r="125" spans="1:14" ht="15.75">
      <c r="A125" s="26"/>
      <c r="B125" s="27" t="s">
        <v>90</v>
      </c>
      <c r="C125" s="27"/>
      <c r="D125" s="27"/>
      <c r="E125" s="27"/>
      <c r="F125" s="27"/>
      <c r="G125" s="27"/>
      <c r="H125" s="27"/>
      <c r="I125" s="27"/>
      <c r="J125" s="27"/>
      <c r="K125" s="27"/>
      <c r="L125" s="58">
        <f>L124+L123</f>
        <v>0</v>
      </c>
      <c r="M125" s="27"/>
      <c r="N125" s="124"/>
    </row>
    <row r="126" spans="1:14" ht="15.75">
      <c r="A126" s="26"/>
      <c r="B126" s="27" t="s">
        <v>91</v>
      </c>
      <c r="C126" s="27"/>
      <c r="D126" s="27"/>
      <c r="E126" s="27"/>
      <c r="F126" s="27"/>
      <c r="G126" s="27"/>
      <c r="H126" s="72"/>
      <c r="I126" s="27"/>
      <c r="J126" s="27"/>
      <c r="K126" s="27"/>
      <c r="L126" s="58">
        <v>0</v>
      </c>
      <c r="M126" s="27"/>
      <c r="N126" s="124"/>
    </row>
    <row r="127" spans="1:14" ht="15.75">
      <c r="A127" s="26"/>
      <c r="B127" s="27" t="s">
        <v>92</v>
      </c>
      <c r="C127" s="27"/>
      <c r="D127" s="27"/>
      <c r="E127" s="27"/>
      <c r="F127" s="27"/>
      <c r="G127" s="27"/>
      <c r="H127" s="27"/>
      <c r="I127" s="27"/>
      <c r="J127" s="27"/>
      <c r="K127" s="27"/>
      <c r="L127" s="58">
        <f>L125+L126</f>
        <v>0</v>
      </c>
      <c r="M127" s="27"/>
      <c r="N127" s="124"/>
    </row>
    <row r="128" spans="1:14" ht="7.5" customHeight="1">
      <c r="A128" s="26"/>
      <c r="B128" s="27"/>
      <c r="C128" s="27"/>
      <c r="D128" s="27"/>
      <c r="E128" s="27"/>
      <c r="F128" s="27"/>
      <c r="G128" s="27"/>
      <c r="H128" s="27"/>
      <c r="I128" s="27"/>
      <c r="J128" s="27"/>
      <c r="K128" s="27"/>
      <c r="L128" s="68"/>
      <c r="M128" s="27"/>
      <c r="N128" s="124"/>
    </row>
    <row r="129" spans="1:14" ht="6" customHeight="1">
      <c r="A129" s="2"/>
      <c r="B129" s="5"/>
      <c r="C129" s="5"/>
      <c r="D129" s="5"/>
      <c r="E129" s="5"/>
      <c r="F129" s="5"/>
      <c r="G129" s="5"/>
      <c r="H129" s="5"/>
      <c r="I129" s="5"/>
      <c r="J129" s="5"/>
      <c r="K129" s="5"/>
      <c r="L129" s="67"/>
      <c r="M129" s="5"/>
      <c r="N129" s="124"/>
    </row>
    <row r="130" spans="1:14" ht="15.75">
      <c r="A130" s="8"/>
      <c r="B130" s="154" t="s">
        <v>93</v>
      </c>
      <c r="C130" s="16"/>
      <c r="D130" s="10"/>
      <c r="E130" s="10"/>
      <c r="F130" s="10"/>
      <c r="G130" s="10"/>
      <c r="H130" s="10"/>
      <c r="I130" s="10"/>
      <c r="J130" s="10"/>
      <c r="K130" s="10"/>
      <c r="L130" s="57"/>
      <c r="M130" s="10"/>
      <c r="N130" s="124"/>
    </row>
    <row r="131" spans="1:14" ht="15.75">
      <c r="A131" s="8"/>
      <c r="B131" s="22"/>
      <c r="C131" s="16"/>
      <c r="D131" s="10"/>
      <c r="E131" s="10"/>
      <c r="F131" s="10"/>
      <c r="G131" s="10"/>
      <c r="H131" s="10"/>
      <c r="I131" s="10"/>
      <c r="J131" s="10"/>
      <c r="K131" s="10"/>
      <c r="L131" s="57"/>
      <c r="M131" s="10"/>
      <c r="N131" s="124"/>
    </row>
    <row r="132" spans="1:14" ht="15.75">
      <c r="A132" s="26"/>
      <c r="B132" s="27" t="s">
        <v>94</v>
      </c>
      <c r="C132" s="73"/>
      <c r="D132" s="27"/>
      <c r="E132" s="27"/>
      <c r="F132" s="27"/>
      <c r="G132" s="27"/>
      <c r="H132" s="27"/>
      <c r="I132" s="27"/>
      <c r="J132" s="27"/>
      <c r="K132" s="27"/>
      <c r="L132" s="58">
        <f>L57</f>
        <v>178658</v>
      </c>
      <c r="M132" s="27"/>
      <c r="N132" s="124"/>
    </row>
    <row r="133" spans="1:14" ht="15.75">
      <c r="A133" s="26"/>
      <c r="B133" s="27" t="s">
        <v>95</v>
      </c>
      <c r="C133" s="73"/>
      <c r="D133" s="27"/>
      <c r="E133" s="27"/>
      <c r="F133" s="27"/>
      <c r="G133" s="27"/>
      <c r="H133" s="27"/>
      <c r="I133" s="27"/>
      <c r="J133" s="27"/>
      <c r="K133" s="27"/>
      <c r="L133" s="58">
        <f>L69</f>
        <v>178658</v>
      </c>
      <c r="M133" s="27"/>
      <c r="N133" s="124"/>
    </row>
    <row r="134" spans="1:14" ht="7.5" customHeight="1">
      <c r="A134" s="26"/>
      <c r="B134" s="27"/>
      <c r="C134" s="27"/>
      <c r="D134" s="27"/>
      <c r="E134" s="27"/>
      <c r="F134" s="27"/>
      <c r="G134" s="27"/>
      <c r="H134" s="27"/>
      <c r="I134" s="27"/>
      <c r="J134" s="27"/>
      <c r="K134" s="27"/>
      <c r="L134" s="68"/>
      <c r="M134" s="27"/>
      <c r="N134" s="124"/>
    </row>
    <row r="135" spans="1:14" ht="15.75">
      <c r="A135" s="2"/>
      <c r="B135" s="5"/>
      <c r="C135" s="5"/>
      <c r="D135" s="5"/>
      <c r="E135" s="5"/>
      <c r="F135" s="5"/>
      <c r="G135" s="5"/>
      <c r="H135" s="5"/>
      <c r="I135" s="5"/>
      <c r="J135" s="5"/>
      <c r="K135" s="5"/>
      <c r="L135" s="67"/>
      <c r="M135" s="5"/>
      <c r="N135" s="124"/>
    </row>
    <row r="136" spans="1:14" ht="15.75">
      <c r="A136" s="8"/>
      <c r="B136" s="154" t="s">
        <v>96</v>
      </c>
      <c r="C136" s="143"/>
      <c r="D136" s="143"/>
      <c r="E136" s="143"/>
      <c r="F136" s="143"/>
      <c r="G136" s="143"/>
      <c r="H136" s="155" t="s">
        <v>169</v>
      </c>
      <c r="I136" s="155"/>
      <c r="J136" s="155" t="s">
        <v>176</v>
      </c>
      <c r="K136" s="143"/>
      <c r="L136" s="156" t="s">
        <v>188</v>
      </c>
      <c r="M136" s="12"/>
      <c r="N136" s="124"/>
    </row>
    <row r="137" spans="1:14" ht="15.75">
      <c r="A137" s="26"/>
      <c r="B137" s="27" t="s">
        <v>97</v>
      </c>
      <c r="C137" s="27"/>
      <c r="D137" s="27"/>
      <c r="E137" s="27"/>
      <c r="F137" s="27"/>
      <c r="G137" s="27"/>
      <c r="H137" s="58">
        <v>20000</v>
      </c>
      <c r="I137" s="27"/>
      <c r="J137" s="46"/>
      <c r="K137" s="27"/>
      <c r="L137" s="58"/>
      <c r="M137" s="27"/>
      <c r="N137" s="124"/>
    </row>
    <row r="138" spans="1:14" ht="15.75">
      <c r="A138" s="26"/>
      <c r="B138" s="27" t="s">
        <v>98</v>
      </c>
      <c r="C138" s="27"/>
      <c r="D138" s="27"/>
      <c r="E138" s="27"/>
      <c r="F138" s="27"/>
      <c r="G138" s="27"/>
      <c r="H138" s="58">
        <v>2118</v>
      </c>
      <c r="I138" s="27"/>
      <c r="J138" s="58">
        <v>331</v>
      </c>
      <c r="K138" s="27"/>
      <c r="L138" s="58">
        <f>J138+H138</f>
        <v>2449</v>
      </c>
      <c r="M138" s="27"/>
      <c r="N138" s="124"/>
    </row>
    <row r="139" spans="1:14" ht="15.75">
      <c r="A139" s="26"/>
      <c r="B139" s="27" t="s">
        <v>99</v>
      </c>
      <c r="C139" s="27"/>
      <c r="D139" s="27"/>
      <c r="E139" s="27"/>
      <c r="F139" s="27"/>
      <c r="G139" s="27"/>
      <c r="H139" s="58">
        <v>1455</v>
      </c>
      <c r="I139" s="27"/>
      <c r="J139" s="58">
        <v>104</v>
      </c>
      <c r="K139" s="27"/>
      <c r="L139" s="58">
        <f>J139+H139</f>
        <v>1559</v>
      </c>
      <c r="M139" s="27"/>
      <c r="N139" s="124"/>
    </row>
    <row r="140" spans="1:14" ht="15.75">
      <c r="A140" s="26"/>
      <c r="B140" s="27" t="s">
        <v>100</v>
      </c>
      <c r="C140" s="27"/>
      <c r="D140" s="27"/>
      <c r="E140" s="27"/>
      <c r="F140" s="27"/>
      <c r="G140" s="27"/>
      <c r="H140" s="58">
        <f>H138+H139</f>
        <v>3573</v>
      </c>
      <c r="I140" s="27"/>
      <c r="J140" s="58">
        <f>J139+J138</f>
        <v>435</v>
      </c>
      <c r="K140" s="27"/>
      <c r="L140" s="58">
        <f>J140+H140</f>
        <v>4008</v>
      </c>
      <c r="M140" s="27"/>
      <c r="N140" s="124"/>
    </row>
    <row r="141" spans="1:14" ht="15.75">
      <c r="A141" s="26"/>
      <c r="B141" s="27" t="s">
        <v>101</v>
      </c>
      <c r="C141" s="27"/>
      <c r="D141" s="27"/>
      <c r="E141" s="27"/>
      <c r="F141" s="27"/>
      <c r="G141" s="27"/>
      <c r="H141" s="58">
        <f>H137-H140-J140</f>
        <v>15992</v>
      </c>
      <c r="I141" s="27"/>
      <c r="J141" s="46"/>
      <c r="K141" s="27"/>
      <c r="L141" s="58"/>
      <c r="M141" s="27"/>
      <c r="N141" s="124"/>
    </row>
    <row r="142" spans="1:14" ht="7.5" customHeight="1">
      <c r="A142" s="26"/>
      <c r="B142" s="27"/>
      <c r="C142" s="27"/>
      <c r="D142" s="27"/>
      <c r="E142" s="27"/>
      <c r="F142" s="27"/>
      <c r="G142" s="27"/>
      <c r="H142" s="27"/>
      <c r="I142" s="27"/>
      <c r="J142" s="27"/>
      <c r="K142" s="27"/>
      <c r="L142" s="68"/>
      <c r="M142" s="27"/>
      <c r="N142" s="124"/>
    </row>
    <row r="143" spans="1:14" ht="9" customHeight="1">
      <c r="A143" s="2"/>
      <c r="B143" s="5"/>
      <c r="C143" s="5"/>
      <c r="D143" s="5"/>
      <c r="E143" s="5"/>
      <c r="F143" s="5"/>
      <c r="G143" s="5"/>
      <c r="H143" s="5"/>
      <c r="I143" s="5"/>
      <c r="J143" s="5"/>
      <c r="K143" s="5"/>
      <c r="L143" s="67"/>
      <c r="M143" s="5"/>
      <c r="N143" s="124"/>
    </row>
    <row r="144" spans="1:14" ht="15.75">
      <c r="A144" s="8"/>
      <c r="B144" s="154" t="s">
        <v>102</v>
      </c>
      <c r="C144" s="16"/>
      <c r="D144" s="10"/>
      <c r="E144" s="10"/>
      <c r="F144" s="10"/>
      <c r="G144" s="10"/>
      <c r="H144" s="10"/>
      <c r="I144" s="10"/>
      <c r="J144" s="10"/>
      <c r="K144" s="10"/>
      <c r="L144" s="74"/>
      <c r="M144" s="10"/>
      <c r="N144" s="124"/>
    </row>
    <row r="145" spans="1:14" ht="15.75">
      <c r="A145" s="26"/>
      <c r="B145" s="27" t="s">
        <v>103</v>
      </c>
      <c r="C145" s="27"/>
      <c r="D145" s="27"/>
      <c r="E145" s="27"/>
      <c r="F145" s="27"/>
      <c r="G145" s="27"/>
      <c r="H145" s="27"/>
      <c r="I145" s="27"/>
      <c r="J145" s="27"/>
      <c r="K145" s="27"/>
      <c r="L145" s="66">
        <f>(L78+L80+L81+L82+L83)/-L84</f>
        <v>1.341360856269113</v>
      </c>
      <c r="M145" s="27" t="s">
        <v>189</v>
      </c>
      <c r="N145" s="124"/>
    </row>
    <row r="146" spans="1:14" ht="15.75">
      <c r="A146" s="26"/>
      <c r="B146" s="27" t="s">
        <v>104</v>
      </c>
      <c r="C146" s="27"/>
      <c r="D146" s="27"/>
      <c r="E146" s="27"/>
      <c r="F146" s="27"/>
      <c r="G146" s="27"/>
      <c r="H146" s="27"/>
      <c r="I146" s="27"/>
      <c r="J146" s="27"/>
      <c r="K146" s="27"/>
      <c r="L146" s="66">
        <v>1.25</v>
      </c>
      <c r="M146" s="27" t="s">
        <v>189</v>
      </c>
      <c r="N146" s="124"/>
    </row>
    <row r="147" spans="1:14" ht="15.75">
      <c r="A147" s="26"/>
      <c r="B147" s="27" t="s">
        <v>105</v>
      </c>
      <c r="C147" s="27"/>
      <c r="D147" s="27"/>
      <c r="E147" s="27"/>
      <c r="F147" s="27"/>
      <c r="G147" s="27"/>
      <c r="H147" s="27"/>
      <c r="I147" s="27"/>
      <c r="J147" s="27"/>
      <c r="K147" s="27"/>
      <c r="L147" s="66">
        <f>(L78+SUM(L80:L84))/-L85</f>
        <v>2.7392638036809815</v>
      </c>
      <c r="M147" s="27" t="s">
        <v>189</v>
      </c>
      <c r="N147" s="124"/>
    </row>
    <row r="148" spans="1:14" ht="15.75">
      <c r="A148" s="26"/>
      <c r="B148" s="27" t="s">
        <v>106</v>
      </c>
      <c r="C148" s="27"/>
      <c r="D148" s="27"/>
      <c r="E148" s="27"/>
      <c r="F148" s="27"/>
      <c r="G148" s="27"/>
      <c r="H148" s="27"/>
      <c r="I148" s="27"/>
      <c r="J148" s="27"/>
      <c r="K148" s="27"/>
      <c r="L148" s="75">
        <v>2.04</v>
      </c>
      <c r="M148" s="27" t="s">
        <v>189</v>
      </c>
      <c r="N148" s="124"/>
    </row>
    <row r="149" spans="1:14" ht="13.5" customHeight="1">
      <c r="A149" s="26"/>
      <c r="B149" s="27"/>
      <c r="C149" s="27"/>
      <c r="D149" s="27"/>
      <c r="E149" s="27"/>
      <c r="F149" s="27"/>
      <c r="G149" s="27"/>
      <c r="H149" s="27"/>
      <c r="I149" s="27"/>
      <c r="J149" s="27"/>
      <c r="K149" s="27"/>
      <c r="L149" s="27"/>
      <c r="M149" s="27"/>
      <c r="N149" s="124"/>
    </row>
    <row r="150" spans="1:14" ht="13.5" customHeight="1">
      <c r="A150" s="8"/>
      <c r="B150" s="10"/>
      <c r="C150" s="10"/>
      <c r="D150" s="10"/>
      <c r="E150" s="10"/>
      <c r="F150" s="10"/>
      <c r="G150" s="10"/>
      <c r="H150" s="10"/>
      <c r="I150" s="10"/>
      <c r="J150" s="10"/>
      <c r="K150" s="10"/>
      <c r="L150" s="10"/>
      <c r="M150" s="10"/>
      <c r="N150" s="124"/>
    </row>
    <row r="151" spans="1:14" ht="18" customHeight="1" thickBot="1">
      <c r="A151" s="129"/>
      <c r="B151" s="130" t="s">
        <v>210</v>
      </c>
      <c r="C151" s="131"/>
      <c r="D151" s="131"/>
      <c r="E151" s="131"/>
      <c r="F151" s="131"/>
      <c r="G151" s="131"/>
      <c r="H151" s="131"/>
      <c r="I151" s="131"/>
      <c r="J151" s="131"/>
      <c r="K151" s="131"/>
      <c r="L151" s="131"/>
      <c r="M151" s="134"/>
      <c r="N151" s="124"/>
    </row>
    <row r="152" spans="1:14" ht="15.75">
      <c r="A152" s="2"/>
      <c r="B152" s="76"/>
      <c r="C152" s="76"/>
      <c r="D152" s="76"/>
      <c r="E152" s="76"/>
      <c r="F152" s="76"/>
      <c r="G152" s="76"/>
      <c r="H152" s="76"/>
      <c r="I152" s="76"/>
      <c r="J152" s="76"/>
      <c r="K152" s="76"/>
      <c r="L152" s="76"/>
      <c r="M152" s="76"/>
      <c r="N152" s="124"/>
    </row>
    <row r="153" spans="1:14" ht="15.75">
      <c r="A153" s="77"/>
      <c r="B153" s="56" t="s">
        <v>107</v>
      </c>
      <c r="C153" s="78"/>
      <c r="D153" s="78"/>
      <c r="E153" s="78"/>
      <c r="F153" s="78"/>
      <c r="G153" s="20"/>
      <c r="H153" s="20"/>
      <c r="I153" s="20"/>
      <c r="J153" s="20">
        <v>36860</v>
      </c>
      <c r="K153" s="18"/>
      <c r="L153" s="18"/>
      <c r="M153" s="10"/>
      <c r="N153" s="124"/>
    </row>
    <row r="154" spans="1:14" ht="15.75">
      <c r="A154" s="80"/>
      <c r="B154" s="81"/>
      <c r="C154" s="82"/>
      <c r="D154" s="82"/>
      <c r="E154" s="82"/>
      <c r="F154" s="82"/>
      <c r="G154" s="83"/>
      <c r="H154" s="83"/>
      <c r="I154" s="83"/>
      <c r="J154" s="83"/>
      <c r="K154" s="10"/>
      <c r="L154" s="10"/>
      <c r="M154" s="10"/>
      <c r="N154" s="124"/>
    </row>
    <row r="155" spans="1:14" ht="15.75">
      <c r="A155" s="84"/>
      <c r="B155" s="85" t="s">
        <v>108</v>
      </c>
      <c r="C155" s="86"/>
      <c r="D155" s="86"/>
      <c r="E155" s="86"/>
      <c r="F155" s="86"/>
      <c r="G155" s="72"/>
      <c r="H155" s="72"/>
      <c r="I155" s="72"/>
      <c r="J155" s="87">
        <v>0.0736</v>
      </c>
      <c r="K155" s="27"/>
      <c r="L155" s="27"/>
      <c r="M155" s="27"/>
      <c r="N155" s="124"/>
    </row>
    <row r="156" spans="1:14" ht="15.75">
      <c r="A156" s="84"/>
      <c r="B156" s="85" t="s">
        <v>109</v>
      </c>
      <c r="C156" s="86"/>
      <c r="D156" s="86"/>
      <c r="E156" s="86"/>
      <c r="F156" s="86"/>
      <c r="G156" s="72"/>
      <c r="H156" s="72"/>
      <c r="I156" s="72"/>
      <c r="J156" s="87">
        <v>0.0554</v>
      </c>
      <c r="K156" s="27"/>
      <c r="L156" s="27"/>
      <c r="M156" s="27"/>
      <c r="N156" s="124"/>
    </row>
    <row r="157" spans="1:14" ht="15.75">
      <c r="A157" s="84"/>
      <c r="B157" s="85" t="s">
        <v>110</v>
      </c>
      <c r="C157" s="86"/>
      <c r="D157" s="86"/>
      <c r="E157" s="86"/>
      <c r="F157" s="86"/>
      <c r="G157" s="72"/>
      <c r="H157" s="72"/>
      <c r="I157" s="72"/>
      <c r="J157" s="87">
        <f>J155-J156</f>
        <v>0.0182</v>
      </c>
      <c r="K157" s="27"/>
      <c r="L157" s="27"/>
      <c r="M157" s="27"/>
      <c r="N157" s="124"/>
    </row>
    <row r="158" spans="1:14" ht="15.75">
      <c r="A158" s="84"/>
      <c r="B158" s="85" t="s">
        <v>111</v>
      </c>
      <c r="C158" s="86"/>
      <c r="D158" s="86"/>
      <c r="E158" s="86"/>
      <c r="F158" s="86"/>
      <c r="G158" s="72"/>
      <c r="H158" s="72"/>
      <c r="I158" s="72"/>
      <c r="J158" s="87">
        <v>0.07546</v>
      </c>
      <c r="K158" s="27"/>
      <c r="L158" s="27"/>
      <c r="M158" s="27"/>
      <c r="N158" s="124"/>
    </row>
    <row r="159" spans="1:14" ht="15.75">
      <c r="A159" s="84"/>
      <c r="B159" s="85" t="s">
        <v>112</v>
      </c>
      <c r="C159" s="86"/>
      <c r="D159" s="86"/>
      <c r="E159" s="86"/>
      <c r="F159" s="86"/>
      <c r="G159" s="72"/>
      <c r="H159" s="72"/>
      <c r="I159" s="72"/>
      <c r="J159" s="87">
        <f>L31</f>
        <v>0.06566229223401136</v>
      </c>
      <c r="K159" s="27"/>
      <c r="L159" s="27"/>
      <c r="M159" s="27"/>
      <c r="N159" s="124"/>
    </row>
    <row r="160" spans="1:14" ht="15.75">
      <c r="A160" s="84"/>
      <c r="B160" s="85" t="s">
        <v>113</v>
      </c>
      <c r="C160" s="86"/>
      <c r="D160" s="86"/>
      <c r="E160" s="86"/>
      <c r="F160" s="86"/>
      <c r="G160" s="72"/>
      <c r="H160" s="72"/>
      <c r="I160" s="72"/>
      <c r="J160" s="87">
        <f>J158-J159</f>
        <v>0.009797707765988636</v>
      </c>
      <c r="K160" s="27"/>
      <c r="L160" s="27"/>
      <c r="M160" s="27"/>
      <c r="N160" s="124"/>
    </row>
    <row r="161" spans="1:14" ht="15.75">
      <c r="A161" s="84"/>
      <c r="B161" s="85" t="s">
        <v>114</v>
      </c>
      <c r="C161" s="86"/>
      <c r="D161" s="86"/>
      <c r="E161" s="86"/>
      <c r="F161" s="86"/>
      <c r="G161" s="72"/>
      <c r="H161" s="72"/>
      <c r="I161" s="72"/>
      <c r="J161" s="88" t="s">
        <v>177</v>
      </c>
      <c r="K161" s="27"/>
      <c r="L161" s="27"/>
      <c r="M161" s="27"/>
      <c r="N161" s="124"/>
    </row>
    <row r="162" spans="1:14" ht="15.75">
      <c r="A162" s="84"/>
      <c r="B162" s="85" t="s">
        <v>115</v>
      </c>
      <c r="C162" s="86"/>
      <c r="D162" s="86"/>
      <c r="E162" s="86"/>
      <c r="F162" s="86"/>
      <c r="G162" s="72"/>
      <c r="H162" s="72"/>
      <c r="I162" s="72"/>
      <c r="J162" s="88" t="s">
        <v>178</v>
      </c>
      <c r="K162" s="27"/>
      <c r="L162" s="27"/>
      <c r="M162" s="27"/>
      <c r="N162" s="124"/>
    </row>
    <row r="163" spans="1:14" ht="15.75">
      <c r="A163" s="84"/>
      <c r="B163" s="85" t="s">
        <v>116</v>
      </c>
      <c r="C163" s="86"/>
      <c r="D163" s="86"/>
      <c r="E163" s="86"/>
      <c r="F163" s="86"/>
      <c r="G163" s="72"/>
      <c r="H163" s="72"/>
      <c r="I163" s="72"/>
      <c r="J163" s="89">
        <v>19.6</v>
      </c>
      <c r="K163" s="27" t="s">
        <v>182</v>
      </c>
      <c r="L163" s="27"/>
      <c r="M163" s="27"/>
      <c r="N163" s="124"/>
    </row>
    <row r="164" spans="1:14" ht="15.75">
      <c r="A164" s="84"/>
      <c r="B164" s="85" t="s">
        <v>117</v>
      </c>
      <c r="C164" s="86"/>
      <c r="D164" s="86"/>
      <c r="E164" s="86"/>
      <c r="F164" s="86"/>
      <c r="G164" s="72"/>
      <c r="H164" s="72"/>
      <c r="I164" s="72"/>
      <c r="J164" s="89">
        <v>18.922</v>
      </c>
      <c r="K164" s="27" t="s">
        <v>182</v>
      </c>
      <c r="L164" s="27"/>
      <c r="M164" s="27"/>
      <c r="N164" s="124"/>
    </row>
    <row r="165" spans="1:14" ht="15.75">
      <c r="A165" s="84"/>
      <c r="B165" s="85" t="s">
        <v>118</v>
      </c>
      <c r="C165" s="86"/>
      <c r="D165" s="86"/>
      <c r="E165" s="86"/>
      <c r="F165" s="86"/>
      <c r="G165" s="72"/>
      <c r="H165" s="72"/>
      <c r="I165" s="72"/>
      <c r="J165" s="87">
        <f>F54/'Aug 2000'!L54</f>
        <v>0.017083201518506803</v>
      </c>
      <c r="K165" s="27"/>
      <c r="L165" s="27"/>
      <c r="M165" s="27"/>
      <c r="N165" s="124"/>
    </row>
    <row r="166" spans="1:14" ht="15.75">
      <c r="A166" s="84"/>
      <c r="B166" s="85" t="s">
        <v>119</v>
      </c>
      <c r="C166" s="86"/>
      <c r="D166" s="86"/>
      <c r="E166" s="86"/>
      <c r="F166" s="86"/>
      <c r="G166" s="72"/>
      <c r="H166" s="72"/>
      <c r="I166" s="72"/>
      <c r="J166" s="87">
        <v>0.0734</v>
      </c>
      <c r="K166" s="27"/>
      <c r="L166" s="27"/>
      <c r="M166" s="27"/>
      <c r="N166" s="124"/>
    </row>
    <row r="167" spans="1:14" ht="15.75">
      <c r="A167" s="84"/>
      <c r="B167" s="85"/>
      <c r="C167" s="85"/>
      <c r="D167" s="85"/>
      <c r="E167" s="85"/>
      <c r="F167" s="85"/>
      <c r="G167" s="27"/>
      <c r="H167" s="27"/>
      <c r="I167" s="27"/>
      <c r="J167" s="68"/>
      <c r="K167" s="27"/>
      <c r="L167" s="90"/>
      <c r="M167" s="27"/>
      <c r="N167" s="124"/>
    </row>
    <row r="168" spans="1:14" ht="15.75">
      <c r="A168" s="91"/>
      <c r="B168" s="17" t="s">
        <v>120</v>
      </c>
      <c r="C168" s="92"/>
      <c r="D168" s="93"/>
      <c r="E168" s="92"/>
      <c r="F168" s="93"/>
      <c r="G168" s="92"/>
      <c r="H168" s="93"/>
      <c r="I168" s="63" t="s">
        <v>170</v>
      </c>
      <c r="J168" s="94" t="s">
        <v>179</v>
      </c>
      <c r="K168" s="18"/>
      <c r="L168" s="10"/>
      <c r="M168" s="10"/>
      <c r="N168" s="124"/>
    </row>
    <row r="169" spans="1:14" ht="15.75">
      <c r="A169" s="95"/>
      <c r="B169" s="85" t="s">
        <v>121</v>
      </c>
      <c r="C169" s="59"/>
      <c r="D169" s="59"/>
      <c r="E169" s="59"/>
      <c r="F169" s="27"/>
      <c r="G169" s="27"/>
      <c r="H169" s="27"/>
      <c r="I169" s="28">
        <f>5+2</f>
        <v>7</v>
      </c>
      <c r="J169" s="96">
        <f>170+163</f>
        <v>333</v>
      </c>
      <c r="K169" s="27"/>
      <c r="L169" s="90"/>
      <c r="M169" s="97"/>
      <c r="N169" s="124"/>
    </row>
    <row r="170" spans="1:14" ht="15.75">
      <c r="A170" s="95"/>
      <c r="B170" s="85" t="s">
        <v>122</v>
      </c>
      <c r="C170" s="59"/>
      <c r="D170" s="59"/>
      <c r="E170" s="59"/>
      <c r="F170" s="27"/>
      <c r="G170" s="27"/>
      <c r="H170" s="27"/>
      <c r="I170" s="28">
        <v>1</v>
      </c>
      <c r="J170" s="96">
        <v>26</v>
      </c>
      <c r="K170" s="27"/>
      <c r="L170" s="90"/>
      <c r="M170" s="97"/>
      <c r="N170" s="124"/>
    </row>
    <row r="171" spans="1:14" ht="15.75">
      <c r="A171" s="95"/>
      <c r="B171" s="157" t="s">
        <v>123</v>
      </c>
      <c r="C171" s="59"/>
      <c r="D171" s="59"/>
      <c r="E171" s="59"/>
      <c r="F171" s="27"/>
      <c r="G171" s="27"/>
      <c r="H171" s="27"/>
      <c r="I171" s="27"/>
      <c r="J171" s="96">
        <v>0</v>
      </c>
      <c r="K171" s="27"/>
      <c r="L171" s="90"/>
      <c r="M171" s="97"/>
      <c r="N171" s="124"/>
    </row>
    <row r="172" spans="1:14" ht="15.75">
      <c r="A172" s="95"/>
      <c r="B172" s="157" t="s">
        <v>124</v>
      </c>
      <c r="C172" s="59"/>
      <c r="D172" s="59"/>
      <c r="E172" s="59"/>
      <c r="F172" s="27"/>
      <c r="G172" s="27"/>
      <c r="H172" s="27"/>
      <c r="I172" s="27"/>
      <c r="J172" s="96">
        <v>25878</v>
      </c>
      <c r="K172" s="27"/>
      <c r="L172" s="90"/>
      <c r="M172" s="97"/>
      <c r="N172" s="124"/>
    </row>
    <row r="173" spans="1:14" ht="15.75">
      <c r="A173" s="98"/>
      <c r="B173" s="157" t="s">
        <v>125</v>
      </c>
      <c r="C173" s="59"/>
      <c r="D173" s="85"/>
      <c r="E173" s="85"/>
      <c r="F173" s="85"/>
      <c r="G173" s="27"/>
      <c r="H173" s="27"/>
      <c r="I173" s="27"/>
      <c r="J173" s="96">
        <v>0</v>
      </c>
      <c r="K173" s="27"/>
      <c r="L173" s="90"/>
      <c r="M173" s="99"/>
      <c r="N173" s="124"/>
    </row>
    <row r="174" spans="1:14" ht="15.75">
      <c r="A174" s="95"/>
      <c r="B174" s="85" t="s">
        <v>126</v>
      </c>
      <c r="C174" s="59"/>
      <c r="D174" s="59"/>
      <c r="E174" s="59"/>
      <c r="F174" s="59"/>
      <c r="G174" s="27"/>
      <c r="H174" s="27"/>
      <c r="I174" s="27"/>
      <c r="J174" s="96">
        <v>0</v>
      </c>
      <c r="K174" s="27"/>
      <c r="L174" s="90"/>
      <c r="M174" s="99"/>
      <c r="N174" s="124"/>
    </row>
    <row r="175" spans="1:14" ht="15.75">
      <c r="A175" s="95"/>
      <c r="B175" s="85" t="s">
        <v>127</v>
      </c>
      <c r="C175" s="59"/>
      <c r="D175" s="59"/>
      <c r="E175" s="59"/>
      <c r="F175" s="59"/>
      <c r="G175" s="27"/>
      <c r="H175" s="27"/>
      <c r="I175" s="27"/>
      <c r="J175" s="96">
        <v>0</v>
      </c>
      <c r="K175" s="27"/>
      <c r="L175" s="90"/>
      <c r="M175" s="99"/>
      <c r="N175" s="124"/>
    </row>
    <row r="176" spans="1:14" ht="15.75">
      <c r="A176" s="98"/>
      <c r="B176" s="157" t="s">
        <v>128</v>
      </c>
      <c r="C176" s="59"/>
      <c r="D176" s="85"/>
      <c r="E176" s="85"/>
      <c r="F176" s="85"/>
      <c r="G176" s="27"/>
      <c r="H176" s="27"/>
      <c r="I176" s="27"/>
      <c r="J176" s="96"/>
      <c r="K176" s="27"/>
      <c r="L176" s="90"/>
      <c r="M176" s="99"/>
      <c r="N176" s="124"/>
    </row>
    <row r="177" spans="1:14" ht="15.75">
      <c r="A177" s="98"/>
      <c r="B177" s="85" t="s">
        <v>129</v>
      </c>
      <c r="C177" s="59"/>
      <c r="D177" s="85"/>
      <c r="E177" s="85"/>
      <c r="F177" s="85"/>
      <c r="G177" s="27"/>
      <c r="H177" s="27"/>
      <c r="I177" s="27"/>
      <c r="J177" s="96">
        <v>0</v>
      </c>
      <c r="K177" s="27"/>
      <c r="L177" s="90"/>
      <c r="M177" s="99"/>
      <c r="N177" s="124"/>
    </row>
    <row r="178" spans="1:14" ht="15.75">
      <c r="A178" s="95"/>
      <c r="B178" s="85" t="s">
        <v>130</v>
      </c>
      <c r="C178" s="59"/>
      <c r="D178" s="100"/>
      <c r="E178" s="100"/>
      <c r="F178" s="101"/>
      <c r="G178" s="27"/>
      <c r="H178" s="27"/>
      <c r="I178" s="27"/>
      <c r="J178" s="96">
        <v>0</v>
      </c>
      <c r="K178" s="27"/>
      <c r="L178" s="90"/>
      <c r="M178" s="99"/>
      <c r="N178" s="124"/>
    </row>
    <row r="179" spans="1:14" ht="15.75">
      <c r="A179" s="95"/>
      <c r="B179" s="85" t="s">
        <v>131</v>
      </c>
      <c r="C179" s="59"/>
      <c r="D179" s="100"/>
      <c r="E179" s="100"/>
      <c r="F179" s="101"/>
      <c r="G179" s="27"/>
      <c r="H179" s="27"/>
      <c r="I179" s="27"/>
      <c r="J179" s="96">
        <v>0</v>
      </c>
      <c r="K179" s="27"/>
      <c r="L179" s="90"/>
      <c r="M179" s="99"/>
      <c r="N179" s="124"/>
    </row>
    <row r="180" spans="1:14" ht="15.75">
      <c r="A180" s="95"/>
      <c r="B180" s="85" t="s">
        <v>132</v>
      </c>
      <c r="C180" s="59"/>
      <c r="D180" s="102"/>
      <c r="E180" s="100"/>
      <c r="F180" s="101"/>
      <c r="G180" s="27"/>
      <c r="H180" s="27"/>
      <c r="I180" s="27"/>
      <c r="J180" s="103">
        <v>0</v>
      </c>
      <c r="K180" s="27"/>
      <c r="L180" s="90"/>
      <c r="M180" s="99"/>
      <c r="N180" s="124"/>
    </row>
    <row r="181" spans="1:14" ht="15.75">
      <c r="A181" s="95"/>
      <c r="B181" s="85"/>
      <c r="C181" s="59"/>
      <c r="D181" s="102"/>
      <c r="E181" s="100"/>
      <c r="F181" s="101"/>
      <c r="G181" s="27"/>
      <c r="H181" s="27"/>
      <c r="I181" s="27"/>
      <c r="J181" s="103"/>
      <c r="K181" s="27"/>
      <c r="L181" s="90"/>
      <c r="M181" s="99"/>
      <c r="N181" s="124"/>
    </row>
    <row r="182" spans="1:14" ht="15.75">
      <c r="A182" s="8"/>
      <c r="B182" s="17" t="s">
        <v>133</v>
      </c>
      <c r="C182" s="63"/>
      <c r="D182" s="94"/>
      <c r="E182" s="63"/>
      <c r="F182" s="94"/>
      <c r="G182" s="63"/>
      <c r="H182" s="94" t="s">
        <v>170</v>
      </c>
      <c r="I182" s="63" t="s">
        <v>171</v>
      </c>
      <c r="J182" s="94" t="s">
        <v>180</v>
      </c>
      <c r="K182" s="63" t="s">
        <v>171</v>
      </c>
      <c r="L182" s="18"/>
      <c r="M182" s="104"/>
      <c r="N182" s="124"/>
    </row>
    <row r="183" spans="1:14" ht="15.75">
      <c r="A183" s="26"/>
      <c r="B183" s="59" t="s">
        <v>134</v>
      </c>
      <c r="C183" s="105"/>
      <c r="D183" s="59"/>
      <c r="E183" s="105"/>
      <c r="F183" s="27"/>
      <c r="G183" s="105"/>
      <c r="H183" s="59">
        <v>3451</v>
      </c>
      <c r="I183" s="105">
        <f>H183/H189</f>
        <v>0.984312606959498</v>
      </c>
      <c r="J183" s="58">
        <v>176725</v>
      </c>
      <c r="K183" s="106">
        <f>J183/J189</f>
        <v>0.9891804453201088</v>
      </c>
      <c r="L183" s="90"/>
      <c r="M183" s="99"/>
      <c r="N183" s="124"/>
    </row>
    <row r="184" spans="1:14" ht="15.75">
      <c r="A184" s="26"/>
      <c r="B184" s="59" t="s">
        <v>135</v>
      </c>
      <c r="C184" s="105"/>
      <c r="D184" s="59"/>
      <c r="E184" s="105"/>
      <c r="F184" s="27"/>
      <c r="G184" s="107"/>
      <c r="H184" s="59">
        <v>20</v>
      </c>
      <c r="I184" s="105">
        <f>H184/H189</f>
        <v>0.005704506560182544</v>
      </c>
      <c r="J184" s="58">
        <v>796</v>
      </c>
      <c r="K184" s="106">
        <f>J184/J189</f>
        <v>0.004455440002686698</v>
      </c>
      <c r="L184" s="90"/>
      <c r="M184" s="99"/>
      <c r="N184" s="124"/>
    </row>
    <row r="185" spans="1:14" ht="15.75">
      <c r="A185" s="26"/>
      <c r="B185" s="59" t="s">
        <v>136</v>
      </c>
      <c r="C185" s="105"/>
      <c r="D185" s="59"/>
      <c r="E185" s="105"/>
      <c r="F185" s="27"/>
      <c r="G185" s="107"/>
      <c r="H185" s="59">
        <v>10</v>
      </c>
      <c r="I185" s="105">
        <f>H185/H189</f>
        <v>0.002852253280091272</v>
      </c>
      <c r="J185" s="58">
        <v>415</v>
      </c>
      <c r="K185" s="106">
        <f>J185/J189</f>
        <v>0.0023228738707474616</v>
      </c>
      <c r="L185" s="90"/>
      <c r="M185" s="99"/>
      <c r="N185" s="124"/>
    </row>
    <row r="186" spans="1:14" ht="15.75">
      <c r="A186" s="26"/>
      <c r="B186" s="59" t="s">
        <v>137</v>
      </c>
      <c r="C186" s="105"/>
      <c r="D186" s="59"/>
      <c r="E186" s="105"/>
      <c r="F186" s="27"/>
      <c r="G186" s="107"/>
      <c r="H186" s="59">
        <f>3+22</f>
        <v>25</v>
      </c>
      <c r="I186" s="105">
        <f>H186/H189</f>
        <v>0.00713063320022818</v>
      </c>
      <c r="J186" s="58">
        <f>72+643+7</f>
        <v>722</v>
      </c>
      <c r="K186" s="106">
        <f>J186/$J189</f>
        <v>0.004041240806457029</v>
      </c>
      <c r="L186" s="90"/>
      <c r="M186" s="99"/>
      <c r="N186" s="124"/>
    </row>
    <row r="187" spans="1:14" ht="15.75">
      <c r="A187" s="26"/>
      <c r="B187" s="30"/>
      <c r="C187" s="105"/>
      <c r="D187" s="59"/>
      <c r="E187" s="105"/>
      <c r="F187" s="27"/>
      <c r="G187" s="107"/>
      <c r="H187" s="59"/>
      <c r="I187" s="105"/>
      <c r="J187" s="58"/>
      <c r="K187" s="106"/>
      <c r="L187" s="90"/>
      <c r="M187" s="99"/>
      <c r="N187" s="124"/>
    </row>
    <row r="188" spans="1:14" ht="15.75">
      <c r="A188" s="26"/>
      <c r="B188" s="59"/>
      <c r="C188" s="108"/>
      <c r="D188" s="97"/>
      <c r="E188" s="108"/>
      <c r="F188" s="27"/>
      <c r="G188" s="108"/>
      <c r="H188" s="97"/>
      <c r="I188" s="108"/>
      <c r="J188" s="58"/>
      <c r="K188" s="106"/>
      <c r="L188" s="90"/>
      <c r="M188" s="99"/>
      <c r="N188" s="124"/>
    </row>
    <row r="189" spans="1:14" ht="15.75">
      <c r="A189" s="26"/>
      <c r="B189" s="27"/>
      <c r="C189" s="27"/>
      <c r="D189" s="27"/>
      <c r="E189" s="27"/>
      <c r="F189" s="27"/>
      <c r="G189" s="27"/>
      <c r="H189" s="37">
        <f>SUM(H183:H187)</f>
        <v>3506</v>
      </c>
      <c r="I189" s="109">
        <f>SUM(I183:I188)</f>
        <v>1</v>
      </c>
      <c r="J189" s="58">
        <f>SUM(J183:J188)</f>
        <v>178658</v>
      </c>
      <c r="K189" s="109">
        <f>SUM(K183:K188)</f>
        <v>1</v>
      </c>
      <c r="L189" s="27"/>
      <c r="M189" s="27"/>
      <c r="N189" s="124"/>
    </row>
    <row r="190" spans="1:14" ht="15.75">
      <c r="A190" s="26"/>
      <c r="B190" s="27"/>
      <c r="C190" s="27"/>
      <c r="D190" s="27"/>
      <c r="E190" s="27"/>
      <c r="F190" s="27"/>
      <c r="G190" s="27"/>
      <c r="H190" s="37"/>
      <c r="I190" s="109"/>
      <c r="J190" s="58"/>
      <c r="K190" s="109"/>
      <c r="L190" s="27"/>
      <c r="M190" s="27"/>
      <c r="N190" s="124"/>
    </row>
    <row r="191" spans="1:14" ht="15.75">
      <c r="A191" s="8"/>
      <c r="B191" s="10"/>
      <c r="C191" s="10"/>
      <c r="D191" s="10"/>
      <c r="E191" s="10"/>
      <c r="F191" s="10"/>
      <c r="G191" s="10"/>
      <c r="H191" s="60"/>
      <c r="I191" s="112"/>
      <c r="J191" s="113"/>
      <c r="K191" s="112"/>
      <c r="L191" s="10"/>
      <c r="M191" s="10"/>
      <c r="N191" s="124"/>
    </row>
    <row r="192" spans="1:14" ht="15.75">
      <c r="A192" s="114"/>
      <c r="B192" s="17" t="s">
        <v>138</v>
      </c>
      <c r="C192" s="115"/>
      <c r="D192" s="63" t="s">
        <v>146</v>
      </c>
      <c r="E192" s="18"/>
      <c r="F192" s="17" t="s">
        <v>159</v>
      </c>
      <c r="G192" s="116"/>
      <c r="H192" s="116"/>
      <c r="I192" s="116"/>
      <c r="J192" s="15"/>
      <c r="K192" s="15"/>
      <c r="L192" s="15"/>
      <c r="M192" s="15"/>
      <c r="N192" s="124"/>
    </row>
    <row r="193" spans="1:14" ht="15.75">
      <c r="A193" s="117"/>
      <c r="B193" s="15"/>
      <c r="C193" s="15"/>
      <c r="D193" s="10"/>
      <c r="E193" s="10"/>
      <c r="F193" s="10"/>
      <c r="G193" s="15"/>
      <c r="H193" s="15"/>
      <c r="I193" s="15"/>
      <c r="J193" s="15"/>
      <c r="K193" s="15"/>
      <c r="L193" s="15"/>
      <c r="M193" s="15"/>
      <c r="N193" s="124"/>
    </row>
    <row r="194" spans="1:14" ht="15.75">
      <c r="A194" s="117"/>
      <c r="B194" s="16" t="s">
        <v>139</v>
      </c>
      <c r="C194" s="118"/>
      <c r="D194" s="119" t="s">
        <v>147</v>
      </c>
      <c r="E194" s="16"/>
      <c r="F194" s="16" t="s">
        <v>160</v>
      </c>
      <c r="G194" s="118"/>
      <c r="H194" s="118"/>
      <c r="I194" s="15"/>
      <c r="J194" s="15"/>
      <c r="K194" s="15"/>
      <c r="L194" s="15"/>
      <c r="M194" s="15"/>
      <c r="N194" s="124"/>
    </row>
    <row r="195" spans="1:14" ht="15.75">
      <c r="A195" s="117"/>
      <c r="B195" s="16" t="s">
        <v>140</v>
      </c>
      <c r="C195" s="118"/>
      <c r="D195" s="119" t="s">
        <v>148</v>
      </c>
      <c r="E195" s="16"/>
      <c r="F195" s="16" t="s">
        <v>161</v>
      </c>
      <c r="G195" s="118"/>
      <c r="H195" s="118"/>
      <c r="I195" s="15"/>
      <c r="J195" s="15"/>
      <c r="K195" s="15"/>
      <c r="L195" s="15"/>
      <c r="M195" s="15"/>
      <c r="N195" s="124"/>
    </row>
    <row r="196" spans="1:14" ht="15.75">
      <c r="A196" s="117"/>
      <c r="B196" s="16"/>
      <c r="C196" s="118"/>
      <c r="D196" s="119"/>
      <c r="E196" s="16"/>
      <c r="F196" s="16"/>
      <c r="G196" s="118"/>
      <c r="H196" s="118"/>
      <c r="I196" s="15"/>
      <c r="J196" s="15"/>
      <c r="K196" s="15"/>
      <c r="L196" s="15"/>
      <c r="M196" s="15"/>
      <c r="N196" s="124"/>
    </row>
    <row r="197" spans="1:14" ht="15.75">
      <c r="A197" s="117"/>
      <c r="B197" s="16"/>
      <c r="C197" s="118"/>
      <c r="D197" s="119"/>
      <c r="E197" s="16"/>
      <c r="F197" s="16"/>
      <c r="G197" s="118"/>
      <c r="H197" s="118"/>
      <c r="I197" s="15"/>
      <c r="J197" s="15"/>
      <c r="K197" s="15"/>
      <c r="L197" s="15"/>
      <c r="M197" s="15"/>
      <c r="N197" s="124"/>
    </row>
    <row r="198" spans="1:14" ht="18.75">
      <c r="A198" s="117"/>
      <c r="B198" s="54" t="s">
        <v>192</v>
      </c>
      <c r="C198" s="15"/>
      <c r="D198" s="15"/>
      <c r="E198" s="15"/>
      <c r="F198" s="15"/>
      <c r="G198" s="15"/>
      <c r="H198" s="15"/>
      <c r="I198" s="15"/>
      <c r="J198" s="15"/>
      <c r="K198" s="15"/>
      <c r="L198" s="15"/>
      <c r="M198" s="15"/>
      <c r="N198" s="124"/>
    </row>
    <row r="199" spans="1:13" ht="15">
      <c r="A199" s="125"/>
      <c r="B199" s="125"/>
      <c r="C199" s="125"/>
      <c r="D199" s="125"/>
      <c r="E199" s="125"/>
      <c r="F199" s="125"/>
      <c r="G199" s="125"/>
      <c r="H199" s="125"/>
      <c r="I199" s="125"/>
      <c r="J199" s="125"/>
      <c r="K199" s="125"/>
      <c r="L199" s="125"/>
      <c r="M199"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49" max="13" man="1"/>
    <brk id="102" max="13" man="1"/>
    <brk id="151" max="13" man="1"/>
  </rowBreaks>
  <drawing r:id="rId1"/>
</worksheet>
</file>

<file path=xl/worksheets/sheet4.xml><?xml version="1.0" encoding="utf-8"?>
<worksheet xmlns="http://schemas.openxmlformats.org/spreadsheetml/2006/main" xmlns:r="http://schemas.openxmlformats.org/officeDocument/2006/relationships">
  <dimension ref="A1:N202"/>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886718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36969</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145"/>
      <c r="J22" s="159"/>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163</v>
      </c>
      <c r="I25" s="33"/>
      <c r="J25" s="29"/>
      <c r="K25" s="30"/>
      <c r="L25" s="30"/>
      <c r="M25" s="27"/>
      <c r="N25" s="124"/>
    </row>
    <row r="26" spans="1:14" ht="15.75">
      <c r="A26" s="31"/>
      <c r="B26" s="32" t="s">
        <v>14</v>
      </c>
      <c r="C26" s="32"/>
      <c r="D26" s="33"/>
      <c r="E26" s="33"/>
      <c r="F26" s="33" t="s">
        <v>151</v>
      </c>
      <c r="G26" s="33"/>
      <c r="H26" s="33" t="s">
        <v>164</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0.961909</v>
      </c>
      <c r="D30" s="34"/>
      <c r="E30" s="35"/>
      <c r="F30" s="34">
        <f>166500*C30</f>
        <v>160157.8485</v>
      </c>
      <c r="G30" s="34"/>
      <c r="H30" s="34">
        <v>18500</v>
      </c>
      <c r="I30" s="34"/>
      <c r="J30" s="34"/>
      <c r="K30" s="36"/>
      <c r="L30" s="34">
        <f>H30+F30</f>
        <v>178657.8485</v>
      </c>
      <c r="M30" s="37"/>
      <c r="N30" s="124"/>
    </row>
    <row r="31" spans="1:14" ht="12.75" customHeight="1">
      <c r="A31" s="31"/>
      <c r="B31" s="32" t="s">
        <v>18</v>
      </c>
      <c r="C31" s="39">
        <v>0.950207</v>
      </c>
      <c r="D31" s="40"/>
      <c r="E31" s="41"/>
      <c r="F31" s="40">
        <f>166500*C31*1</f>
        <v>158209.4655</v>
      </c>
      <c r="G31" s="40"/>
      <c r="H31" s="40">
        <v>18500</v>
      </c>
      <c r="I31" s="40"/>
      <c r="J31" s="40"/>
      <c r="K31" s="42"/>
      <c r="L31" s="40">
        <f>H31+F31+D31</f>
        <v>176709.4655</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f>(6.3)/100</f>
        <v>0.063</v>
      </c>
      <c r="G33" s="45"/>
      <c r="H33" s="44">
        <f>(6.875)/100</f>
        <v>0.06875</v>
      </c>
      <c r="I33" s="45"/>
      <c r="J33" s="44"/>
      <c r="K33" s="30"/>
      <c r="L33" s="45">
        <f>SUMPRODUCT(F33:H33,F30:H30)/L30</f>
        <v>0.06359541184948278</v>
      </c>
      <c r="M33" s="27"/>
      <c r="N33" s="124"/>
    </row>
    <row r="34" spans="1:14" ht="15.75">
      <c r="A34" s="26"/>
      <c r="B34" s="27" t="s">
        <v>21</v>
      </c>
      <c r="C34" s="27"/>
      <c r="D34" s="44"/>
      <c r="E34" s="27"/>
      <c r="F34" s="44">
        <f>(6.50719)/100</f>
        <v>0.0650719</v>
      </c>
      <c r="G34" s="45"/>
      <c r="H34" s="44">
        <f>(7.08219)/100</f>
        <v>0.0708219</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46"/>
      <c r="I38" s="46"/>
      <c r="J38" s="46"/>
      <c r="K38" s="46"/>
      <c r="L38" s="46"/>
      <c r="M38" s="27"/>
      <c r="N38" s="124"/>
    </row>
    <row r="39" spans="1:14" ht="15.75">
      <c r="A39" s="26"/>
      <c r="B39" s="27" t="s">
        <v>25</v>
      </c>
      <c r="C39" s="27"/>
      <c r="D39" s="27"/>
      <c r="E39" s="27"/>
      <c r="F39" s="27"/>
      <c r="G39" s="27"/>
      <c r="H39" s="27"/>
      <c r="I39" s="27"/>
      <c r="J39" s="27"/>
      <c r="K39" s="27"/>
      <c r="L39" s="45">
        <f>H29/F29</f>
        <v>0.1111111111111111</v>
      </c>
      <c r="M39" s="27"/>
      <c r="N39" s="124"/>
    </row>
    <row r="40" spans="1:14" ht="15.75">
      <c r="A40" s="26"/>
      <c r="B40" s="27" t="s">
        <v>26</v>
      </c>
      <c r="C40" s="27"/>
      <c r="D40" s="27"/>
      <c r="E40" s="27"/>
      <c r="F40" s="27"/>
      <c r="G40" s="27"/>
      <c r="H40" s="27"/>
      <c r="I40" s="27"/>
      <c r="J40" s="27"/>
      <c r="K40" s="27"/>
      <c r="L40" s="45">
        <f>H31/F31</f>
        <v>0.1169335851147288</v>
      </c>
      <c r="M40" s="27"/>
      <c r="N40" s="124"/>
    </row>
    <row r="41" spans="1:14" ht="15.75">
      <c r="A41" s="26"/>
      <c r="B41" s="27" t="s">
        <v>27</v>
      </c>
      <c r="C41" s="27"/>
      <c r="D41" s="27"/>
      <c r="E41" s="27"/>
      <c r="F41" s="27"/>
      <c r="G41" s="27"/>
      <c r="H41" s="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36965</v>
      </c>
      <c r="M44" s="27"/>
      <c r="N44" s="124"/>
    </row>
    <row r="45" spans="1:14" ht="15.75">
      <c r="A45" s="26"/>
      <c r="B45" s="27" t="s">
        <v>30</v>
      </c>
      <c r="C45" s="27"/>
      <c r="D45" s="27"/>
      <c r="E45" s="27"/>
      <c r="F45" s="27"/>
      <c r="G45" s="27"/>
      <c r="H45" s="27"/>
      <c r="I45" s="27">
        <f>L45-J45+1</f>
        <v>91</v>
      </c>
      <c r="J45" s="50">
        <v>36784</v>
      </c>
      <c r="K45" s="51"/>
      <c r="L45" s="50">
        <v>36874</v>
      </c>
      <c r="M45" s="27"/>
      <c r="N45" s="124"/>
    </row>
    <row r="46" spans="1:14" ht="15.75">
      <c r="A46" s="26"/>
      <c r="B46" s="27" t="s">
        <v>31</v>
      </c>
      <c r="C46" s="27"/>
      <c r="D46" s="27"/>
      <c r="E46" s="27"/>
      <c r="F46" s="27"/>
      <c r="G46" s="27"/>
      <c r="H46" s="27"/>
      <c r="I46" s="27">
        <f>L46-J46+1</f>
        <v>90</v>
      </c>
      <c r="J46" s="50">
        <v>36875</v>
      </c>
      <c r="K46" s="51"/>
      <c r="L46" s="50">
        <v>36964</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36958</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9.5" thickBot="1">
      <c r="A51" s="129"/>
      <c r="B51" s="130" t="s">
        <v>195</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178658</v>
      </c>
      <c r="E56" s="37"/>
      <c r="F56" s="37">
        <f>1949+1049</f>
        <v>2998</v>
      </c>
      <c r="G56" s="37"/>
      <c r="H56" s="37">
        <v>1049</v>
      </c>
      <c r="I56" s="37"/>
      <c r="J56" s="37">
        <v>0</v>
      </c>
      <c r="K56" s="37"/>
      <c r="L56" s="58">
        <f>D56-F56+H56-J56</f>
        <v>176709</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178658</v>
      </c>
      <c r="E59" s="37"/>
      <c r="F59" s="37">
        <f>SUM(F56:F58)</f>
        <v>2998</v>
      </c>
      <c r="G59" s="37"/>
      <c r="H59" s="37">
        <f>SUM(H56:H58)</f>
        <v>1049</v>
      </c>
      <c r="I59" s="37"/>
      <c r="J59" s="37">
        <f>SUM(J56:J58)</f>
        <v>0</v>
      </c>
      <c r="K59" s="37"/>
      <c r="L59" s="59">
        <f>SUM(L56:L58)</f>
        <v>176709</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f>L125</f>
        <v>0</v>
      </c>
      <c r="E70" s="37"/>
      <c r="F70" s="37"/>
      <c r="G70" s="37"/>
      <c r="H70" s="37"/>
      <c r="I70" s="37"/>
      <c r="J70" s="37"/>
      <c r="K70" s="37"/>
      <c r="L70" s="59">
        <f>SUM(C70:K70)</f>
        <v>0</v>
      </c>
      <c r="M70" s="27"/>
      <c r="N70" s="124"/>
    </row>
    <row r="71" spans="1:14" ht="15.75">
      <c r="A71" s="26"/>
      <c r="B71" s="27" t="s">
        <v>44</v>
      </c>
      <c r="C71" s="59">
        <f>SUM(C59:C70)</f>
        <v>185000</v>
      </c>
      <c r="D71" s="59">
        <f>SUM(D59:D70)</f>
        <v>178658</v>
      </c>
      <c r="E71" s="37"/>
      <c r="F71" s="59"/>
      <c r="G71" s="37"/>
      <c r="H71" s="59"/>
      <c r="I71" s="37"/>
      <c r="J71" s="59"/>
      <c r="K71" s="37"/>
      <c r="L71" s="59">
        <f>SUM(L59:L70)</f>
        <v>176709</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v>36950</v>
      </c>
      <c r="E75" s="27"/>
      <c r="F75" s="27"/>
      <c r="G75" s="27"/>
      <c r="H75" s="27"/>
      <c r="I75" s="27"/>
      <c r="J75" s="37">
        <v>2998</v>
      </c>
      <c r="K75" s="27"/>
      <c r="L75" s="58"/>
      <c r="M75" s="27"/>
      <c r="N75" s="124"/>
    </row>
    <row r="76" spans="1:14" ht="15.75">
      <c r="A76" s="26"/>
      <c r="B76" s="27" t="s">
        <v>48</v>
      </c>
      <c r="C76" s="27"/>
      <c r="D76" s="27"/>
      <c r="E76" s="27"/>
      <c r="F76" s="27"/>
      <c r="G76" s="27"/>
      <c r="H76" s="27"/>
      <c r="I76" s="27"/>
      <c r="J76" s="37"/>
      <c r="K76" s="27"/>
      <c r="L76" s="58">
        <v>3490</v>
      </c>
      <c r="M76" s="27"/>
      <c r="N76" s="124"/>
    </row>
    <row r="77" spans="1:14" ht="15.75">
      <c r="A77" s="26"/>
      <c r="B77" s="27" t="s">
        <v>49</v>
      </c>
      <c r="C77" s="27"/>
      <c r="D77" s="27"/>
      <c r="E77" s="27"/>
      <c r="F77" s="27"/>
      <c r="G77" s="27"/>
      <c r="H77" s="27"/>
      <c r="I77" s="27"/>
      <c r="J77" s="37"/>
      <c r="K77" s="27"/>
      <c r="L77" s="58">
        <v>108</v>
      </c>
      <c r="M77" s="27"/>
      <c r="N77" s="124"/>
    </row>
    <row r="78" spans="1:14" ht="15.75">
      <c r="A78" s="26"/>
      <c r="B78" s="27" t="s">
        <v>50</v>
      </c>
      <c r="C78" s="27"/>
      <c r="D78" s="27"/>
      <c r="E78" s="27"/>
      <c r="F78" s="27"/>
      <c r="G78" s="27"/>
      <c r="H78" s="27"/>
      <c r="I78" s="27"/>
      <c r="J78" s="37">
        <f>SUM(J74:J77)</f>
        <v>2998</v>
      </c>
      <c r="K78" s="27"/>
      <c r="L78" s="59">
        <f>SUM(L74:L77)</f>
        <v>3598</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2998</v>
      </c>
      <c r="K80" s="27"/>
      <c r="L80" s="59">
        <f>L78+L79</f>
        <v>3598</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v>-144</v>
      </c>
      <c r="M84" s="27"/>
      <c r="N84" s="124"/>
    </row>
    <row r="85" spans="1:14" ht="15.75">
      <c r="A85" s="26">
        <v>4</v>
      </c>
      <c r="B85" s="27" t="s">
        <v>57</v>
      </c>
      <c r="C85" s="27"/>
      <c r="D85" s="27"/>
      <c r="E85" s="27"/>
      <c r="F85" s="27"/>
      <c r="G85" s="27"/>
      <c r="H85" s="27"/>
      <c r="I85" s="27"/>
      <c r="J85" s="27"/>
      <c r="K85" s="27"/>
      <c r="L85" s="58">
        <v>-63</v>
      </c>
      <c r="M85" s="27"/>
      <c r="N85" s="124"/>
    </row>
    <row r="86" spans="1:14" ht="15.75">
      <c r="A86" s="26">
        <v>5</v>
      </c>
      <c r="B86" s="27" t="s">
        <v>58</v>
      </c>
      <c r="C86" s="27"/>
      <c r="D86" s="27"/>
      <c r="E86" s="27"/>
      <c r="F86" s="27"/>
      <c r="G86" s="27"/>
      <c r="H86" s="27"/>
      <c r="I86" s="27"/>
      <c r="J86" s="27"/>
      <c r="K86" s="27"/>
      <c r="L86" s="58">
        <v>-2488</v>
      </c>
      <c r="M86" s="27"/>
      <c r="N86" s="124"/>
    </row>
    <row r="87" spans="1:14" ht="15.75">
      <c r="A87" s="26">
        <v>6</v>
      </c>
      <c r="B87" s="27" t="s">
        <v>59</v>
      </c>
      <c r="C87" s="27"/>
      <c r="D87" s="27"/>
      <c r="E87" s="27"/>
      <c r="F87" s="27"/>
      <c r="G87" s="27"/>
      <c r="H87" s="27"/>
      <c r="I87" s="27"/>
      <c r="J87" s="27"/>
      <c r="K87" s="27"/>
      <c r="L87" s="58">
        <v>-314</v>
      </c>
      <c r="M87" s="27"/>
      <c r="N87" s="124"/>
    </row>
    <row r="88" spans="1:14" ht="15.75">
      <c r="A88" s="26">
        <v>7</v>
      </c>
      <c r="B88" s="27" t="s">
        <v>60</v>
      </c>
      <c r="C88" s="27"/>
      <c r="D88" s="27"/>
      <c r="E88" s="27"/>
      <c r="F88" s="27"/>
      <c r="G88" s="27"/>
      <c r="H88" s="27"/>
      <c r="I88" s="27"/>
      <c r="J88" s="27"/>
      <c r="K88" s="27"/>
      <c r="L88" s="58">
        <v>-3</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v>-138</v>
      </c>
      <c r="M93" s="27"/>
      <c r="N93" s="124"/>
    </row>
    <row r="94" spans="1:14" ht="15.75">
      <c r="A94" s="26">
        <v>13</v>
      </c>
      <c r="B94" s="27" t="s">
        <v>66</v>
      </c>
      <c r="C94" s="27"/>
      <c r="D94" s="27"/>
      <c r="E94" s="27"/>
      <c r="F94" s="27"/>
      <c r="G94" s="27"/>
      <c r="H94" s="27"/>
      <c r="I94" s="27"/>
      <c r="J94" s="27"/>
      <c r="K94" s="27"/>
      <c r="L94" s="58">
        <f>-SUM(L80:L93)</f>
        <v>-444</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-54</v>
      </c>
      <c r="K96" s="37"/>
      <c r="L96" s="58"/>
      <c r="M96" s="27"/>
      <c r="N96" s="124"/>
    </row>
    <row r="97" spans="1:14" ht="15.75">
      <c r="A97" s="26"/>
      <c r="B97" s="27" t="s">
        <v>69</v>
      </c>
      <c r="C97" s="27"/>
      <c r="D97" s="27"/>
      <c r="E97" s="27"/>
      <c r="F97" s="27"/>
      <c r="G97" s="27"/>
      <c r="H97" s="27"/>
      <c r="I97" s="27"/>
      <c r="J97" s="37">
        <f>-H141</f>
        <v>-995</v>
      </c>
      <c r="K97" s="37"/>
      <c r="L97" s="58"/>
      <c r="M97" s="27"/>
      <c r="N97" s="124"/>
    </row>
    <row r="98" spans="1:14" ht="15.75">
      <c r="A98" s="26"/>
      <c r="B98" s="27" t="s">
        <v>70</v>
      </c>
      <c r="C98" s="27"/>
      <c r="D98" s="27"/>
      <c r="E98" s="27"/>
      <c r="F98" s="27"/>
      <c r="G98" s="27"/>
      <c r="H98" s="27"/>
      <c r="I98" s="27"/>
      <c r="J98" s="37">
        <v>-1949</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-2998</v>
      </c>
      <c r="K100" s="37"/>
      <c r="L100" s="37">
        <f>SUM(L81:L99)</f>
        <v>-3598</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 customHeight="1">
      <c r="A102" s="8"/>
      <c r="B102" s="10"/>
      <c r="C102" s="10"/>
      <c r="D102" s="10"/>
      <c r="E102" s="10"/>
      <c r="F102" s="10"/>
      <c r="G102" s="10"/>
      <c r="H102" s="10"/>
      <c r="I102" s="10"/>
      <c r="J102" s="10"/>
      <c r="K102" s="10"/>
      <c r="L102" s="57"/>
      <c r="M102" s="10"/>
      <c r="N102" s="124"/>
    </row>
    <row r="103" spans="1:14" ht="12" customHeight="1">
      <c r="A103" s="8"/>
      <c r="B103" s="10"/>
      <c r="C103" s="10"/>
      <c r="D103" s="10"/>
      <c r="E103" s="10"/>
      <c r="F103" s="10"/>
      <c r="G103" s="10"/>
      <c r="H103" s="10"/>
      <c r="I103" s="10"/>
      <c r="J103" s="10"/>
      <c r="K103" s="10"/>
      <c r="L103" s="57"/>
      <c r="M103" s="10"/>
      <c r="N103" s="124"/>
    </row>
    <row r="104" spans="1:14" ht="18" customHeight="1" thickBot="1">
      <c r="A104" s="129"/>
      <c r="B104" s="130" t="s">
        <v>195</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30"/>
      <c r="D120" s="30"/>
      <c r="E120" s="30"/>
      <c r="F120" s="30"/>
      <c r="G120" s="30"/>
      <c r="H120" s="30"/>
      <c r="I120" s="30"/>
      <c r="J120" s="30"/>
      <c r="K120" s="30"/>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176709</v>
      </c>
      <c r="M134" s="27"/>
      <c r="N134" s="124"/>
    </row>
    <row r="135" spans="1:14" ht="15.75">
      <c r="A135" s="26"/>
      <c r="B135" s="27" t="s">
        <v>95</v>
      </c>
      <c r="C135" s="73"/>
      <c r="D135" s="27"/>
      <c r="E135" s="27"/>
      <c r="F135" s="27"/>
      <c r="G135" s="27"/>
      <c r="H135" s="27"/>
      <c r="I135" s="27"/>
      <c r="J135" s="27"/>
      <c r="K135" s="27"/>
      <c r="L135" s="58">
        <f>L71</f>
        <v>176709</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3573</v>
      </c>
      <c r="I140" s="27"/>
      <c r="J140" s="58">
        <v>435</v>
      </c>
      <c r="K140" s="27"/>
      <c r="L140" s="58">
        <f>J140+H140</f>
        <v>4008</v>
      </c>
      <c r="M140" s="27"/>
      <c r="N140" s="124"/>
    </row>
    <row r="141" spans="1:14" ht="15.75">
      <c r="A141" s="26"/>
      <c r="B141" s="27" t="s">
        <v>99</v>
      </c>
      <c r="C141" s="27"/>
      <c r="D141" s="27"/>
      <c r="E141" s="27"/>
      <c r="F141" s="27"/>
      <c r="G141" s="27"/>
      <c r="H141" s="58">
        <v>995</v>
      </c>
      <c r="I141" s="27"/>
      <c r="J141" s="58">
        <v>54</v>
      </c>
      <c r="K141" s="27"/>
      <c r="L141" s="58">
        <f>J141+H141</f>
        <v>1049</v>
      </c>
      <c r="M141" s="27"/>
      <c r="N141" s="124"/>
    </row>
    <row r="142" spans="1:14" ht="15.75">
      <c r="A142" s="26"/>
      <c r="B142" s="27" t="s">
        <v>100</v>
      </c>
      <c r="C142" s="27"/>
      <c r="D142" s="27"/>
      <c r="E142" s="27"/>
      <c r="F142" s="27"/>
      <c r="G142" s="27"/>
      <c r="H142" s="58">
        <f>H140+H141</f>
        <v>4568</v>
      </c>
      <c r="I142" s="27"/>
      <c r="J142" s="58">
        <f>J141+J140</f>
        <v>489</v>
      </c>
      <c r="K142" s="27"/>
      <c r="L142" s="58">
        <f>J142+H142</f>
        <v>5057</v>
      </c>
      <c r="M142" s="27"/>
      <c r="N142" s="124"/>
    </row>
    <row r="143" spans="1:14" ht="15.75">
      <c r="A143" s="26"/>
      <c r="B143" s="27" t="s">
        <v>101</v>
      </c>
      <c r="C143" s="27"/>
      <c r="D143" s="27"/>
      <c r="E143" s="27"/>
      <c r="F143" s="27"/>
      <c r="G143" s="27"/>
      <c r="H143" s="58">
        <f>H139-H142-J142</f>
        <v>14943</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1.3613344051446945</v>
      </c>
      <c r="M147" s="27" t="s">
        <v>189</v>
      </c>
      <c r="N147" s="124"/>
    </row>
    <row r="148" spans="1:14" ht="15.75">
      <c r="A148" s="26"/>
      <c r="B148" s="27" t="s">
        <v>104</v>
      </c>
      <c r="C148" s="27"/>
      <c r="D148" s="27"/>
      <c r="E148" s="27"/>
      <c r="F148" s="27"/>
      <c r="G148" s="27"/>
      <c r="H148" s="27"/>
      <c r="I148" s="27"/>
      <c r="J148" s="27"/>
      <c r="K148" s="27"/>
      <c r="L148" s="66">
        <v>1.27</v>
      </c>
      <c r="M148" s="27" t="s">
        <v>189</v>
      </c>
      <c r="N148" s="124"/>
    </row>
    <row r="149" spans="1:14" ht="15.75">
      <c r="A149" s="26"/>
      <c r="B149" s="27" t="s">
        <v>105</v>
      </c>
      <c r="C149" s="27"/>
      <c r="D149" s="27"/>
      <c r="E149" s="27"/>
      <c r="F149" s="27"/>
      <c r="G149" s="27"/>
      <c r="H149" s="27"/>
      <c r="I149" s="27"/>
      <c r="J149" s="27"/>
      <c r="K149" s="27"/>
      <c r="L149" s="66">
        <f>(L80+SUM(L82:L86))/-L87</f>
        <v>2.8630573248407645</v>
      </c>
      <c r="M149" s="27" t="s">
        <v>189</v>
      </c>
      <c r="N149" s="124"/>
    </row>
    <row r="150" spans="1:14" ht="15.75">
      <c r="A150" s="26"/>
      <c r="B150" s="27" t="s">
        <v>106</v>
      </c>
      <c r="C150" s="27"/>
      <c r="D150" s="27"/>
      <c r="E150" s="27"/>
      <c r="F150" s="27"/>
      <c r="G150" s="27"/>
      <c r="H150" s="27"/>
      <c r="I150" s="27"/>
      <c r="J150" s="27"/>
      <c r="K150" s="27"/>
      <c r="L150" s="75">
        <v>2.23</v>
      </c>
      <c r="M150" s="27" t="s">
        <v>189</v>
      </c>
      <c r="N150" s="124"/>
    </row>
    <row r="151" spans="1:14" ht="15.75">
      <c r="A151" s="26"/>
      <c r="B151" s="27"/>
      <c r="C151" s="27"/>
      <c r="D151" s="27"/>
      <c r="E151" s="27"/>
      <c r="F151" s="27"/>
      <c r="G151" s="27"/>
      <c r="H151" s="27"/>
      <c r="I151" s="27"/>
      <c r="J151" s="27"/>
      <c r="K151" s="27"/>
      <c r="L151" s="27"/>
      <c r="M151" s="27"/>
      <c r="N151" s="124"/>
    </row>
    <row r="152" spans="1:14" ht="15.75">
      <c r="A152" s="8"/>
      <c r="B152" s="10"/>
      <c r="C152" s="10"/>
      <c r="D152" s="10"/>
      <c r="E152" s="10"/>
      <c r="F152" s="10"/>
      <c r="G152" s="10"/>
      <c r="H152" s="10"/>
      <c r="I152" s="10"/>
      <c r="J152" s="10"/>
      <c r="K152" s="10"/>
      <c r="L152" s="10"/>
      <c r="M152" s="10"/>
      <c r="N152" s="124"/>
    </row>
    <row r="153" spans="1:14" ht="19.5" thickBot="1">
      <c r="A153" s="129"/>
      <c r="B153" s="130" t="s">
        <v>195</v>
      </c>
      <c r="C153" s="131"/>
      <c r="D153" s="131"/>
      <c r="E153" s="131"/>
      <c r="F153" s="131"/>
      <c r="G153" s="131"/>
      <c r="H153" s="131"/>
      <c r="I153" s="131"/>
      <c r="J153" s="131"/>
      <c r="K153" s="131"/>
      <c r="L153" s="131"/>
      <c r="M153" s="134"/>
      <c r="N153" s="124"/>
    </row>
    <row r="154" spans="1:14" ht="15.75">
      <c r="A154" s="2"/>
      <c r="B154" s="76"/>
      <c r="C154" s="76"/>
      <c r="D154" s="76"/>
      <c r="E154" s="76"/>
      <c r="F154" s="76"/>
      <c r="G154" s="76"/>
      <c r="H154" s="76"/>
      <c r="I154" s="76"/>
      <c r="J154" s="76"/>
      <c r="K154" s="76"/>
      <c r="L154" s="76"/>
      <c r="M154" s="76"/>
      <c r="N154" s="124"/>
    </row>
    <row r="155" spans="1:14" ht="15.75">
      <c r="A155" s="77"/>
      <c r="B155" s="56" t="s">
        <v>107</v>
      </c>
      <c r="C155" s="78"/>
      <c r="D155" s="78"/>
      <c r="E155" s="78"/>
      <c r="F155" s="78"/>
      <c r="G155" s="20"/>
      <c r="H155" s="20"/>
      <c r="I155" s="20"/>
      <c r="J155" s="20">
        <v>36950</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0.0741</v>
      </c>
      <c r="K160" s="27"/>
      <c r="L160" s="27"/>
      <c r="M160" s="27"/>
      <c r="N160" s="124"/>
    </row>
    <row r="161" spans="1:14" ht="15.75">
      <c r="A161" s="84"/>
      <c r="B161" s="85" t="s">
        <v>112</v>
      </c>
      <c r="C161" s="86"/>
      <c r="D161" s="86"/>
      <c r="E161" s="86"/>
      <c r="F161" s="86"/>
      <c r="G161" s="72"/>
      <c r="H161" s="72"/>
      <c r="I161" s="72"/>
      <c r="J161" s="87">
        <f>L33</f>
        <v>0.06359541184948278</v>
      </c>
      <c r="K161" s="27"/>
      <c r="L161" s="27"/>
      <c r="M161" s="27"/>
      <c r="N161" s="124"/>
    </row>
    <row r="162" spans="1:14" ht="15.75">
      <c r="A162" s="84"/>
      <c r="B162" s="85" t="s">
        <v>113</v>
      </c>
      <c r="C162" s="86"/>
      <c r="D162" s="86"/>
      <c r="E162" s="86"/>
      <c r="F162" s="86"/>
      <c r="G162" s="72"/>
      <c r="H162" s="72"/>
      <c r="I162" s="72"/>
      <c r="J162" s="87">
        <f>J160-J161</f>
        <v>0.010504588150517219</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18.727</v>
      </c>
      <c r="K166" s="27" t="s">
        <v>182</v>
      </c>
      <c r="L166" s="27"/>
      <c r="M166" s="27"/>
      <c r="N166" s="124"/>
    </row>
    <row r="167" spans="1:14" ht="15.75">
      <c r="A167" s="84"/>
      <c r="B167" s="85" t="s">
        <v>118</v>
      </c>
      <c r="C167" s="86"/>
      <c r="D167" s="86"/>
      <c r="E167" s="86"/>
      <c r="F167" s="86"/>
      <c r="G167" s="72"/>
      <c r="H167" s="72"/>
      <c r="I167" s="72"/>
      <c r="J167" s="87">
        <f>F56/'Nov 2000'!L54</f>
        <v>0.016780664733737086</v>
      </c>
      <c r="K167" s="27"/>
      <c r="L167" s="27"/>
      <c r="M167" s="27"/>
      <c r="N167" s="124"/>
    </row>
    <row r="168" spans="1:14" ht="15.75">
      <c r="A168" s="84"/>
      <c r="B168" s="85" t="s">
        <v>119</v>
      </c>
      <c r="C168" s="86"/>
      <c r="D168" s="86"/>
      <c r="E168" s="86"/>
      <c r="F168" s="86"/>
      <c r="G168" s="72"/>
      <c r="H168" s="72"/>
      <c r="I168" s="72"/>
      <c r="J168" s="87">
        <v>0.0714</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f>6+3</f>
        <v>9</v>
      </c>
      <c r="J171" s="96">
        <f>222+112</f>
        <v>334</v>
      </c>
      <c r="K171" s="27"/>
      <c r="L171" s="90"/>
      <c r="M171" s="97"/>
      <c r="N171" s="124"/>
    </row>
    <row r="172" spans="1:14" ht="15.75">
      <c r="A172" s="95"/>
      <c r="B172" s="85" t="s">
        <v>122</v>
      </c>
      <c r="C172" s="59"/>
      <c r="D172" s="59"/>
      <c r="E172" s="59"/>
      <c r="F172" s="27"/>
      <c r="G172" s="27"/>
      <c r="H172" s="27"/>
      <c r="I172" s="28">
        <v>1</v>
      </c>
      <c r="J172" s="96">
        <v>27</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c r="J176" s="96">
        <v>0</v>
      </c>
      <c r="K176" s="27"/>
      <c r="L176" s="90"/>
      <c r="M176" s="99"/>
      <c r="N176" s="124"/>
    </row>
    <row r="177" spans="1:14" ht="15.75">
      <c r="A177" s="95"/>
      <c r="B177" s="85" t="s">
        <v>127</v>
      </c>
      <c r="C177" s="59"/>
      <c r="D177" s="59"/>
      <c r="E177" s="59"/>
      <c r="F177" s="59"/>
      <c r="G177" s="27"/>
      <c r="H177" s="27"/>
      <c r="I177" s="27"/>
      <c r="J177" s="96">
        <v>0</v>
      </c>
      <c r="K177" s="27"/>
      <c r="L177" s="90"/>
      <c r="M177" s="99"/>
      <c r="N177" s="124"/>
    </row>
    <row r="178" spans="1:14" ht="15.75">
      <c r="A178" s="95"/>
      <c r="B178" s="85" t="s">
        <v>196</v>
      </c>
      <c r="C178" s="59"/>
      <c r="D178" s="59"/>
      <c r="E178" s="59"/>
      <c r="F178" s="59"/>
      <c r="G178" s="27"/>
      <c r="H178" s="27"/>
      <c r="I178" s="27"/>
      <c r="J178" s="96">
        <v>0</v>
      </c>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c r="J180" s="96">
        <v>0</v>
      </c>
      <c r="K180" s="27"/>
      <c r="L180" s="90"/>
      <c r="M180" s="99"/>
      <c r="N180" s="124"/>
    </row>
    <row r="181" spans="1:14" ht="15.75">
      <c r="A181" s="95"/>
      <c r="B181" s="85" t="s">
        <v>130</v>
      </c>
      <c r="C181" s="59"/>
      <c r="D181" s="100"/>
      <c r="E181" s="100"/>
      <c r="F181" s="101"/>
      <c r="G181" s="27"/>
      <c r="H181" s="27"/>
      <c r="I181" s="27"/>
      <c r="J181" s="96">
        <v>0</v>
      </c>
      <c r="K181" s="27"/>
      <c r="L181" s="90"/>
      <c r="M181" s="99"/>
      <c r="N181" s="124"/>
    </row>
    <row r="182" spans="1:14" ht="15.75">
      <c r="A182" s="95"/>
      <c r="B182" s="85" t="s">
        <v>131</v>
      </c>
      <c r="C182" s="59"/>
      <c r="D182" s="100"/>
      <c r="E182" s="100"/>
      <c r="F182" s="101"/>
      <c r="G182" s="27"/>
      <c r="H182" s="27"/>
      <c r="I182" s="27"/>
      <c r="J182" s="96">
        <v>0</v>
      </c>
      <c r="K182" s="27"/>
      <c r="L182" s="90"/>
      <c r="M182" s="99"/>
      <c r="N182" s="124"/>
    </row>
    <row r="183" spans="1:14" ht="15.75">
      <c r="A183" s="95"/>
      <c r="B183" s="85" t="s">
        <v>132</v>
      </c>
      <c r="C183" s="59"/>
      <c r="D183" s="102"/>
      <c r="E183" s="100"/>
      <c r="F183" s="101"/>
      <c r="G183" s="27"/>
      <c r="H183" s="27"/>
      <c r="I183" s="27"/>
      <c r="J183" s="103">
        <v>0</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3437</v>
      </c>
      <c r="I186" s="105">
        <f>H186/H192</f>
        <v>0.9836863194046938</v>
      </c>
      <c r="J186" s="58">
        <v>174560</v>
      </c>
      <c r="K186" s="106">
        <f>J186/J192</f>
        <v>0.9878387631642984</v>
      </c>
      <c r="L186" s="90"/>
      <c r="M186" s="99"/>
      <c r="N186" s="124"/>
    </row>
    <row r="187" spans="1:14" ht="15.75">
      <c r="A187" s="26"/>
      <c r="B187" s="59" t="s">
        <v>135</v>
      </c>
      <c r="C187" s="105"/>
      <c r="D187" s="59"/>
      <c r="E187" s="105"/>
      <c r="F187" s="27"/>
      <c r="G187" s="107"/>
      <c r="H187" s="59">
        <v>24</v>
      </c>
      <c r="I187" s="105">
        <f>H187/H192</f>
        <v>0.006868918145392101</v>
      </c>
      <c r="J187" s="58">
        <v>1106</v>
      </c>
      <c r="K187" s="106">
        <f>J187/J192</f>
        <v>0.006258877589709636</v>
      </c>
      <c r="L187" s="90"/>
      <c r="M187" s="99"/>
      <c r="N187" s="124"/>
    </row>
    <row r="188" spans="1:14" ht="15.75">
      <c r="A188" s="26"/>
      <c r="B188" s="59" t="s">
        <v>136</v>
      </c>
      <c r="C188" s="105"/>
      <c r="D188" s="59"/>
      <c r="E188" s="105"/>
      <c r="F188" s="27"/>
      <c r="G188" s="107"/>
      <c r="H188" s="59">
        <v>10</v>
      </c>
      <c r="I188" s="105">
        <f>H188/H192</f>
        <v>0.0028620492272467086</v>
      </c>
      <c r="J188" s="58">
        <v>354</v>
      </c>
      <c r="K188" s="106">
        <f>J188/J192</f>
        <v>0.0020032935504133917</v>
      </c>
      <c r="L188" s="90"/>
      <c r="M188" s="99"/>
      <c r="N188" s="124"/>
    </row>
    <row r="189" spans="1:14" ht="15.75">
      <c r="A189" s="26"/>
      <c r="B189" s="59" t="s">
        <v>137</v>
      </c>
      <c r="C189" s="105"/>
      <c r="D189" s="59"/>
      <c r="E189" s="105"/>
      <c r="F189" s="27"/>
      <c r="G189" s="107"/>
      <c r="H189" s="59">
        <f>4+19</f>
        <v>23</v>
      </c>
      <c r="I189" s="105">
        <f>H189/H192</f>
        <v>0.00658271322266743</v>
      </c>
      <c r="J189" s="58">
        <f>103+577+9</f>
        <v>689</v>
      </c>
      <c r="K189" s="106">
        <f>J189/$J192</f>
        <v>0.0038990656955786066</v>
      </c>
      <c r="L189" s="90"/>
      <c r="M189" s="99"/>
      <c r="N189" s="124"/>
    </row>
    <row r="190" spans="1:14" ht="15.75">
      <c r="A190" s="26"/>
      <c r="B190" s="30"/>
      <c r="C190" s="105"/>
      <c r="D190" s="59"/>
      <c r="E190" s="105"/>
      <c r="F190" s="27"/>
      <c r="G190" s="107"/>
      <c r="H190" s="59"/>
      <c r="I190" s="105"/>
      <c r="J190" s="58"/>
      <c r="K190" s="106"/>
      <c r="L190" s="90"/>
      <c r="M190" s="99"/>
      <c r="N190" s="124"/>
    </row>
    <row r="191" spans="1:14" ht="15.75">
      <c r="A191" s="26"/>
      <c r="B191" s="59"/>
      <c r="C191" s="108"/>
      <c r="D191" s="97"/>
      <c r="E191" s="108"/>
      <c r="F191" s="27"/>
      <c r="G191" s="108"/>
      <c r="H191" s="97"/>
      <c r="I191" s="108"/>
      <c r="J191" s="58"/>
      <c r="K191" s="106"/>
      <c r="L191" s="90"/>
      <c r="M191" s="99"/>
      <c r="N191" s="124"/>
    </row>
    <row r="192" spans="1:14" ht="15.75">
      <c r="A192" s="26"/>
      <c r="B192" s="27"/>
      <c r="C192" s="27"/>
      <c r="D192" s="27"/>
      <c r="E192" s="27"/>
      <c r="F192" s="27"/>
      <c r="G192" s="27"/>
      <c r="H192" s="37">
        <f>SUM(H186:H190)</f>
        <v>3494</v>
      </c>
      <c r="I192" s="109">
        <f>SUM(I186:I191)</f>
        <v>1</v>
      </c>
      <c r="J192" s="58">
        <f>SUM(J186:J191)</f>
        <v>176709</v>
      </c>
      <c r="K192" s="109">
        <f>SUM(K186:K191)</f>
        <v>1</v>
      </c>
      <c r="L192" s="27"/>
      <c r="M192" s="27"/>
      <c r="N192" s="124"/>
    </row>
    <row r="193" spans="1:14" ht="15.75">
      <c r="A193" s="26"/>
      <c r="B193" s="27"/>
      <c r="C193" s="27"/>
      <c r="D193" s="27"/>
      <c r="E193" s="27"/>
      <c r="F193" s="27"/>
      <c r="G193" s="27"/>
      <c r="H193" s="37"/>
      <c r="I193" s="109"/>
      <c r="J193" s="58"/>
      <c r="K193" s="109"/>
      <c r="L193" s="27"/>
      <c r="M193" s="27"/>
      <c r="N193" s="124"/>
    </row>
    <row r="194" spans="1:14" ht="15.75">
      <c r="A194" s="8"/>
      <c r="B194" s="10"/>
      <c r="C194" s="10"/>
      <c r="D194" s="10"/>
      <c r="E194" s="10"/>
      <c r="F194" s="10"/>
      <c r="G194" s="10"/>
      <c r="H194" s="60"/>
      <c r="I194" s="112"/>
      <c r="J194" s="113"/>
      <c r="K194" s="112"/>
      <c r="L194" s="10"/>
      <c r="M194" s="10"/>
      <c r="N194" s="124"/>
    </row>
    <row r="195" spans="1:14" ht="15.75">
      <c r="A195" s="114"/>
      <c r="B195" s="17" t="s">
        <v>138</v>
      </c>
      <c r="C195" s="115"/>
      <c r="D195" s="63" t="s">
        <v>146</v>
      </c>
      <c r="E195" s="18"/>
      <c r="F195" s="17" t="s">
        <v>159</v>
      </c>
      <c r="G195" s="116"/>
      <c r="H195" s="116"/>
      <c r="I195" s="116"/>
      <c r="J195" s="15"/>
      <c r="K195" s="15"/>
      <c r="L195" s="15"/>
      <c r="M195" s="15"/>
      <c r="N195" s="124"/>
    </row>
    <row r="196" spans="1:14" ht="15.75">
      <c r="A196" s="117"/>
      <c r="B196" s="15"/>
      <c r="C196" s="15"/>
      <c r="D196" s="10"/>
      <c r="E196" s="10"/>
      <c r="F196" s="10"/>
      <c r="G196" s="15"/>
      <c r="H196" s="15"/>
      <c r="I196" s="15"/>
      <c r="J196" s="15"/>
      <c r="K196" s="15"/>
      <c r="L196" s="15"/>
      <c r="M196" s="15"/>
      <c r="N196" s="124"/>
    </row>
    <row r="197" spans="1:14" ht="15.75">
      <c r="A197" s="117"/>
      <c r="B197" s="16" t="s">
        <v>139</v>
      </c>
      <c r="C197" s="118"/>
      <c r="D197" s="119" t="s">
        <v>147</v>
      </c>
      <c r="E197" s="16"/>
      <c r="F197" s="16" t="s">
        <v>160</v>
      </c>
      <c r="G197" s="118"/>
      <c r="H197" s="118"/>
      <c r="I197" s="15"/>
      <c r="J197" s="15"/>
      <c r="K197" s="15"/>
      <c r="L197" s="15"/>
      <c r="M197" s="15"/>
      <c r="N197" s="124"/>
    </row>
    <row r="198" spans="1:14" ht="15.75">
      <c r="A198" s="117"/>
      <c r="B198" s="16" t="s">
        <v>140</v>
      </c>
      <c r="C198" s="118"/>
      <c r="D198" s="119" t="s">
        <v>148</v>
      </c>
      <c r="E198" s="16"/>
      <c r="F198" s="16" t="s">
        <v>161</v>
      </c>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5.75">
      <c r="A200" s="117"/>
      <c r="B200" s="16"/>
      <c r="C200" s="118"/>
      <c r="D200" s="119"/>
      <c r="E200" s="16"/>
      <c r="F200" s="16"/>
      <c r="G200" s="118"/>
      <c r="H200" s="118"/>
      <c r="I200" s="15"/>
      <c r="J200" s="15"/>
      <c r="K200" s="15"/>
      <c r="L200" s="15"/>
      <c r="M200" s="15"/>
      <c r="N200" s="124"/>
    </row>
    <row r="201" spans="1:14" ht="18.75">
      <c r="A201" s="117"/>
      <c r="B201" s="54" t="s">
        <v>195</v>
      </c>
      <c r="C201" s="118"/>
      <c r="D201" s="119"/>
      <c r="E201" s="16"/>
      <c r="F201" s="16"/>
      <c r="G201" s="118"/>
      <c r="H201" s="118"/>
      <c r="I201" s="15"/>
      <c r="J201" s="15"/>
      <c r="K201" s="15"/>
      <c r="L201" s="15"/>
      <c r="M201" s="15"/>
      <c r="N201" s="124"/>
    </row>
    <row r="202" spans="1:13" ht="15">
      <c r="A202" s="125"/>
      <c r="B202" s="125"/>
      <c r="C202" s="125"/>
      <c r="D202" s="125"/>
      <c r="E202" s="125"/>
      <c r="F202" s="125"/>
      <c r="G202" s="125"/>
      <c r="H202" s="125"/>
      <c r="I202" s="125"/>
      <c r="J202" s="125"/>
      <c r="K202" s="125"/>
      <c r="L202" s="125"/>
      <c r="M202"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5.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10.1054687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4.996093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37061</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25"/>
      <c r="J22" s="24"/>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163</v>
      </c>
      <c r="I25" s="33"/>
      <c r="J25" s="29"/>
      <c r="K25" s="30"/>
      <c r="L25" s="30"/>
      <c r="M25" s="27"/>
      <c r="N25" s="124"/>
    </row>
    <row r="26" spans="1:14" ht="15.75">
      <c r="A26" s="31"/>
      <c r="B26" s="32" t="s">
        <v>14</v>
      </c>
      <c r="C26" s="32"/>
      <c r="D26" s="33"/>
      <c r="E26" s="33"/>
      <c r="F26" s="33" t="s">
        <v>151</v>
      </c>
      <c r="G26" s="33"/>
      <c r="H26" s="33" t="s">
        <v>164</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0.950207</v>
      </c>
      <c r="D30" s="34"/>
      <c r="E30" s="35"/>
      <c r="F30" s="34">
        <f>166500*C30</f>
        <v>158209.4655</v>
      </c>
      <c r="G30" s="34"/>
      <c r="H30" s="34">
        <v>18500</v>
      </c>
      <c r="I30" s="34"/>
      <c r="J30" s="34"/>
      <c r="K30" s="36"/>
      <c r="L30" s="34">
        <f>H30+F30</f>
        <v>176709.4655</v>
      </c>
      <c r="M30" s="37"/>
      <c r="N30" s="124"/>
    </row>
    <row r="31" spans="1:14" ht="12.75" customHeight="1">
      <c r="A31" s="31"/>
      <c r="B31" s="32" t="s">
        <v>18</v>
      </c>
      <c r="C31" s="39">
        <v>0.929979</v>
      </c>
      <c r="D31" s="40"/>
      <c r="E31" s="41"/>
      <c r="F31" s="40">
        <f>166500*C31*1</f>
        <v>154841.5035</v>
      </c>
      <c r="G31" s="40"/>
      <c r="H31" s="40">
        <v>18500</v>
      </c>
      <c r="I31" s="40"/>
      <c r="J31" s="40"/>
      <c r="K31" s="42"/>
      <c r="L31" s="40">
        <f>H31+F31+D31</f>
        <v>173341.5035</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f>(5.79625)/100</f>
        <v>0.0579625</v>
      </c>
      <c r="G33" s="45"/>
      <c r="H33" s="44">
        <f>(6.37125)/100</f>
        <v>0.0637125</v>
      </c>
      <c r="I33" s="45"/>
      <c r="J33" s="44"/>
      <c r="K33" s="30"/>
      <c r="L33" s="45">
        <f>SUMPRODUCT(F33:H33,F30:H30)/L30</f>
        <v>0.05856447680808446</v>
      </c>
      <c r="M33" s="27"/>
      <c r="N33" s="124"/>
    </row>
    <row r="34" spans="1:14" ht="15.75">
      <c r="A34" s="26"/>
      <c r="B34" s="27" t="s">
        <v>21</v>
      </c>
      <c r="C34" s="27"/>
      <c r="D34" s="44"/>
      <c r="E34" s="27"/>
      <c r="F34" s="44">
        <f>(6.3)/100</f>
        <v>0.063</v>
      </c>
      <c r="G34" s="45"/>
      <c r="H34" s="44">
        <f>(6.875)/100</f>
        <v>0.06875</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46"/>
      <c r="I38" s="46"/>
      <c r="J38" s="46"/>
      <c r="K38" s="46"/>
      <c r="L38" s="46"/>
      <c r="M38" s="27"/>
      <c r="N38" s="124"/>
    </row>
    <row r="39" spans="1:14" ht="15.75">
      <c r="A39" s="26"/>
      <c r="B39" s="27" t="s">
        <v>25</v>
      </c>
      <c r="C39" s="27"/>
      <c r="D39" s="27"/>
      <c r="E39" s="27"/>
      <c r="F39" s="27"/>
      <c r="G39" s="27"/>
      <c r="H39" s="27"/>
      <c r="I39" s="27"/>
      <c r="J39" s="27"/>
      <c r="K39" s="27"/>
      <c r="L39" s="45">
        <f>H29/F29</f>
        <v>0.1111111111111111</v>
      </c>
      <c r="M39" s="27"/>
      <c r="N39" s="124"/>
    </row>
    <row r="40" spans="1:14" ht="15.75">
      <c r="A40" s="26"/>
      <c r="B40" s="27" t="s">
        <v>26</v>
      </c>
      <c r="C40" s="27"/>
      <c r="D40" s="27"/>
      <c r="E40" s="27"/>
      <c r="F40" s="27"/>
      <c r="G40" s="27"/>
      <c r="H40" s="27"/>
      <c r="I40" s="27"/>
      <c r="J40" s="27"/>
      <c r="K40" s="27"/>
      <c r="L40" s="45">
        <f>H31/F31</f>
        <v>0.11947701089068798</v>
      </c>
      <c r="M40" s="27"/>
      <c r="N40" s="124"/>
    </row>
    <row r="41" spans="1:14" ht="15.75">
      <c r="A41" s="26"/>
      <c r="B41" s="27" t="s">
        <v>27</v>
      </c>
      <c r="C41" s="27"/>
      <c r="D41" s="27"/>
      <c r="E41" s="27"/>
      <c r="F41" s="27"/>
      <c r="G41" s="27"/>
      <c r="H41" s="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37057</v>
      </c>
      <c r="M44" s="27"/>
      <c r="N44" s="124"/>
    </row>
    <row r="45" spans="1:14" ht="15.75">
      <c r="A45" s="26"/>
      <c r="B45" s="27" t="s">
        <v>30</v>
      </c>
      <c r="C45" s="27"/>
      <c r="D45" s="27"/>
      <c r="E45" s="27"/>
      <c r="F45" s="27"/>
      <c r="G45" s="27"/>
      <c r="H45" s="27"/>
      <c r="I45" s="27">
        <f>L45-J45+1</f>
        <v>90</v>
      </c>
      <c r="J45" s="50">
        <v>36875</v>
      </c>
      <c r="K45" s="51"/>
      <c r="L45" s="50">
        <v>36964</v>
      </c>
      <c r="M45" s="27"/>
      <c r="N45" s="124"/>
    </row>
    <row r="46" spans="1:14" ht="15.75">
      <c r="A46" s="26"/>
      <c r="B46" s="27" t="s">
        <v>31</v>
      </c>
      <c r="C46" s="27"/>
      <c r="D46" s="27"/>
      <c r="E46" s="27"/>
      <c r="F46" s="27"/>
      <c r="G46" s="27"/>
      <c r="H46" s="27"/>
      <c r="I46" s="27">
        <f>L46-J46+1</f>
        <v>92</v>
      </c>
      <c r="J46" s="50">
        <v>36965</v>
      </c>
      <c r="K46" s="51"/>
      <c r="L46" s="50">
        <v>37056</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37050</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9.5" thickBot="1">
      <c r="A51" s="129"/>
      <c r="B51" s="130" t="s">
        <v>199</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176709</v>
      </c>
      <c r="E56" s="37"/>
      <c r="F56" s="37">
        <f>3367+1585</f>
        <v>4952</v>
      </c>
      <c r="G56" s="37"/>
      <c r="H56" s="37">
        <v>1585</v>
      </c>
      <c r="I56" s="37"/>
      <c r="J56" s="37">
        <v>0</v>
      </c>
      <c r="K56" s="37"/>
      <c r="L56" s="58">
        <f>D56-F56+H56-J56</f>
        <v>173342</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176709</v>
      </c>
      <c r="E59" s="37"/>
      <c r="F59" s="37">
        <f>SUM(F56:F58)</f>
        <v>4952</v>
      </c>
      <c r="G59" s="37"/>
      <c r="H59" s="37">
        <f>SUM(H56:H58)</f>
        <v>1585</v>
      </c>
      <c r="I59" s="37"/>
      <c r="J59" s="37">
        <f>SUM(J56:J58)</f>
        <v>0</v>
      </c>
      <c r="K59" s="37"/>
      <c r="L59" s="59">
        <f>SUM(L56:L58)</f>
        <v>173342</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f>L124</f>
        <v>0</v>
      </c>
      <c r="E70" s="37"/>
      <c r="F70" s="37"/>
      <c r="G70" s="37"/>
      <c r="H70" s="37"/>
      <c r="I70" s="37"/>
      <c r="J70" s="37"/>
      <c r="K70" s="37"/>
      <c r="L70" s="59">
        <f>SUM(C70:K70)</f>
        <v>0</v>
      </c>
      <c r="M70" s="27"/>
      <c r="N70" s="124"/>
    </row>
    <row r="71" spans="1:14" ht="15.75">
      <c r="A71" s="26"/>
      <c r="B71" s="27" t="s">
        <v>44</v>
      </c>
      <c r="C71" s="59">
        <f>SUM(C59:C70)</f>
        <v>185000</v>
      </c>
      <c r="D71" s="59">
        <f>SUM(D59:D70)</f>
        <v>176709</v>
      </c>
      <c r="E71" s="37"/>
      <c r="F71" s="59"/>
      <c r="G71" s="37"/>
      <c r="H71" s="59"/>
      <c r="I71" s="37"/>
      <c r="J71" s="59"/>
      <c r="K71" s="37"/>
      <c r="L71" s="59">
        <f>SUM(L59:L70)</f>
        <v>173342</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v>37042</v>
      </c>
      <c r="E75" s="27"/>
      <c r="F75" s="27"/>
      <c r="G75" s="27"/>
      <c r="H75" s="27"/>
      <c r="I75" s="27"/>
      <c r="J75" s="37">
        <v>4953</v>
      </c>
      <c r="K75" s="27"/>
      <c r="L75" s="58"/>
      <c r="M75" s="27"/>
      <c r="N75" s="124"/>
    </row>
    <row r="76" spans="1:14" ht="15.75">
      <c r="A76" s="26"/>
      <c r="B76" s="27" t="s">
        <v>48</v>
      </c>
      <c r="C76" s="27"/>
      <c r="D76" s="27"/>
      <c r="E76" s="27"/>
      <c r="F76" s="27"/>
      <c r="G76" s="27"/>
      <c r="H76" s="27"/>
      <c r="I76" s="27"/>
      <c r="J76" s="37"/>
      <c r="K76" s="27"/>
      <c r="L76" s="58">
        <v>3423</v>
      </c>
      <c r="M76" s="27"/>
      <c r="N76" s="124"/>
    </row>
    <row r="77" spans="1:14" ht="15.75">
      <c r="A77" s="26"/>
      <c r="B77" s="27" t="s">
        <v>49</v>
      </c>
      <c r="C77" s="27"/>
      <c r="D77" s="27"/>
      <c r="E77" s="27"/>
      <c r="F77" s="27"/>
      <c r="G77" s="27"/>
      <c r="H77" s="27"/>
      <c r="I77" s="27"/>
      <c r="J77" s="37"/>
      <c r="K77" s="27"/>
      <c r="L77" s="58">
        <v>31</v>
      </c>
      <c r="M77" s="27"/>
      <c r="N77" s="124"/>
    </row>
    <row r="78" spans="1:14" ht="15.75">
      <c r="A78" s="26"/>
      <c r="B78" s="27" t="s">
        <v>50</v>
      </c>
      <c r="C78" s="27"/>
      <c r="D78" s="27"/>
      <c r="E78" s="27"/>
      <c r="F78" s="27"/>
      <c r="G78" s="27"/>
      <c r="H78" s="27"/>
      <c r="I78" s="27"/>
      <c r="J78" s="37">
        <f>SUM(J74:J77)</f>
        <v>4953</v>
      </c>
      <c r="K78" s="27"/>
      <c r="L78" s="59">
        <f>SUM(L74:L77)</f>
        <v>3454</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4953</v>
      </c>
      <c r="K80" s="27"/>
      <c r="L80" s="59">
        <f>L78+L79</f>
        <v>3454</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v>-145</v>
      </c>
      <c r="M84" s="27"/>
      <c r="N84" s="124"/>
    </row>
    <row r="85" spans="1:14" ht="15.75">
      <c r="A85" s="26">
        <v>4</v>
      </c>
      <c r="B85" s="27" t="s">
        <v>57</v>
      </c>
      <c r="C85" s="27"/>
      <c r="D85" s="27"/>
      <c r="E85" s="27"/>
      <c r="F85" s="27"/>
      <c r="G85" s="27"/>
      <c r="H85" s="27"/>
      <c r="I85" s="27"/>
      <c r="J85" s="27"/>
      <c r="K85" s="27"/>
      <c r="L85" s="58">
        <v>-134</v>
      </c>
      <c r="M85" s="27"/>
      <c r="N85" s="124"/>
    </row>
    <row r="86" spans="1:14" ht="15.75">
      <c r="A86" s="26">
        <v>5</v>
      </c>
      <c r="B86" s="27" t="s">
        <v>58</v>
      </c>
      <c r="C86" s="27"/>
      <c r="D86" s="27"/>
      <c r="E86" s="27"/>
      <c r="F86" s="27"/>
      <c r="G86" s="27"/>
      <c r="H86" s="27"/>
      <c r="I86" s="27"/>
      <c r="J86" s="27"/>
      <c r="K86" s="27"/>
      <c r="L86" s="58">
        <v>-2311</v>
      </c>
      <c r="M86" s="27"/>
      <c r="N86" s="124"/>
    </row>
    <row r="87" spans="1:14" ht="15.75">
      <c r="A87" s="26">
        <v>6</v>
      </c>
      <c r="B87" s="27" t="s">
        <v>59</v>
      </c>
      <c r="C87" s="27"/>
      <c r="D87" s="27"/>
      <c r="E87" s="27"/>
      <c r="F87" s="27"/>
      <c r="G87" s="27"/>
      <c r="H87" s="27"/>
      <c r="I87" s="27"/>
      <c r="J87" s="27"/>
      <c r="K87" s="27"/>
      <c r="L87" s="58">
        <v>-297</v>
      </c>
      <c r="M87" s="27"/>
      <c r="N87" s="124"/>
    </row>
    <row r="88" spans="1:14" ht="15.75">
      <c r="A88" s="26">
        <v>7</v>
      </c>
      <c r="B88" s="27" t="s">
        <v>60</v>
      </c>
      <c r="C88" s="27"/>
      <c r="D88" s="27"/>
      <c r="E88" s="27"/>
      <c r="F88" s="27"/>
      <c r="G88" s="27"/>
      <c r="H88" s="27"/>
      <c r="I88" s="27"/>
      <c r="J88" s="27"/>
      <c r="K88" s="27"/>
      <c r="L88" s="58">
        <v>-3</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v>-134</v>
      </c>
      <c r="M93" s="27"/>
      <c r="N93" s="124"/>
    </row>
    <row r="94" spans="1:14" ht="15.75">
      <c r="A94" s="26">
        <v>13</v>
      </c>
      <c r="B94" s="27" t="s">
        <v>66</v>
      </c>
      <c r="C94" s="27"/>
      <c r="D94" s="27"/>
      <c r="E94" s="27"/>
      <c r="F94" s="27"/>
      <c r="G94" s="27"/>
      <c r="H94" s="27"/>
      <c r="I94" s="27"/>
      <c r="J94" s="27"/>
      <c r="K94" s="27"/>
      <c r="L94" s="58">
        <f>-SUM(L80:L93)</f>
        <v>-426</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-J140</f>
        <v>-12</v>
      </c>
      <c r="K96" s="37"/>
      <c r="L96" s="58"/>
      <c r="M96" s="27"/>
      <c r="N96" s="124"/>
    </row>
    <row r="97" spans="1:14" ht="15.75">
      <c r="A97" s="26"/>
      <c r="B97" s="27" t="s">
        <v>69</v>
      </c>
      <c r="C97" s="27"/>
      <c r="D97" s="27"/>
      <c r="E97" s="27"/>
      <c r="F97" s="27"/>
      <c r="G97" s="27"/>
      <c r="H97" s="27"/>
      <c r="I97" s="27"/>
      <c r="J97" s="37">
        <f>-H140</f>
        <v>-1573</v>
      </c>
      <c r="K97" s="37"/>
      <c r="L97" s="58"/>
      <c r="M97" s="27"/>
      <c r="N97" s="124"/>
    </row>
    <row r="98" spans="1:14" ht="15.75">
      <c r="A98" s="26"/>
      <c r="B98" s="27" t="s">
        <v>70</v>
      </c>
      <c r="C98" s="27"/>
      <c r="D98" s="27"/>
      <c r="E98" s="27"/>
      <c r="F98" s="27"/>
      <c r="G98" s="27"/>
      <c r="H98" s="27"/>
      <c r="I98" s="27"/>
      <c r="J98" s="37">
        <v>-3368</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-4953</v>
      </c>
      <c r="K100" s="37"/>
      <c r="L100" s="37">
        <f>SUM(L81:L99)</f>
        <v>-3454</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 customHeight="1">
      <c r="A102" s="8"/>
      <c r="B102" s="10"/>
      <c r="C102" s="10"/>
      <c r="D102" s="10"/>
      <c r="E102" s="10"/>
      <c r="F102" s="10"/>
      <c r="G102" s="10"/>
      <c r="H102" s="10"/>
      <c r="I102" s="10"/>
      <c r="J102" s="10"/>
      <c r="K102" s="10"/>
      <c r="L102" s="57"/>
      <c r="M102" s="10"/>
      <c r="N102" s="124"/>
    </row>
    <row r="103" spans="1:14" ht="19.5" thickBot="1">
      <c r="A103" s="129"/>
      <c r="B103" s="130" t="s">
        <v>199</v>
      </c>
      <c r="C103" s="131"/>
      <c r="D103" s="131"/>
      <c r="E103" s="131"/>
      <c r="F103" s="131"/>
      <c r="G103" s="131"/>
      <c r="H103" s="131"/>
      <c r="I103" s="131"/>
      <c r="J103" s="131"/>
      <c r="K103" s="131"/>
      <c r="L103" s="135"/>
      <c r="M103" s="134"/>
      <c r="N103" s="124"/>
    </row>
    <row r="104" spans="1:14" ht="12" customHeight="1">
      <c r="A104" s="2"/>
      <c r="B104" s="5"/>
      <c r="C104" s="5"/>
      <c r="D104" s="5"/>
      <c r="E104" s="5"/>
      <c r="F104" s="5"/>
      <c r="G104" s="5"/>
      <c r="H104" s="5"/>
      <c r="I104" s="5"/>
      <c r="J104" s="5"/>
      <c r="K104" s="5"/>
      <c r="L104" s="67"/>
      <c r="M104" s="5"/>
      <c r="N104" s="124"/>
    </row>
    <row r="105" spans="1:14" ht="15.75">
      <c r="A105" s="8"/>
      <c r="B105" s="56" t="s">
        <v>74</v>
      </c>
      <c r="C105" s="16"/>
      <c r="D105" s="10"/>
      <c r="E105" s="10"/>
      <c r="F105" s="10"/>
      <c r="G105" s="10"/>
      <c r="H105" s="10"/>
      <c r="I105" s="10"/>
      <c r="J105" s="10"/>
      <c r="K105" s="10"/>
      <c r="L105" s="57"/>
      <c r="M105" s="10"/>
      <c r="N105" s="124"/>
    </row>
    <row r="106" spans="1:14" ht="15.75">
      <c r="A106" s="8"/>
      <c r="B106" s="22"/>
      <c r="C106" s="16"/>
      <c r="D106" s="10"/>
      <c r="E106" s="10"/>
      <c r="F106" s="10"/>
      <c r="G106" s="10"/>
      <c r="H106" s="10"/>
      <c r="I106" s="10"/>
      <c r="J106" s="10"/>
      <c r="K106" s="10"/>
      <c r="L106" s="57"/>
      <c r="M106" s="10"/>
      <c r="N106" s="124"/>
    </row>
    <row r="107" spans="1:14" ht="15.75">
      <c r="A107" s="8"/>
      <c r="B107" s="154" t="s">
        <v>75</v>
      </c>
      <c r="C107" s="16"/>
      <c r="D107" s="10"/>
      <c r="E107" s="10"/>
      <c r="F107" s="10"/>
      <c r="G107" s="10"/>
      <c r="H107" s="10"/>
      <c r="I107" s="10"/>
      <c r="J107" s="10"/>
      <c r="K107" s="10"/>
      <c r="L107" s="57"/>
      <c r="M107" s="10"/>
      <c r="N107" s="124"/>
    </row>
    <row r="108" spans="1:14" ht="15.75">
      <c r="A108" s="26"/>
      <c r="B108" s="27" t="s">
        <v>76</v>
      </c>
      <c r="C108" s="27"/>
      <c r="D108" s="27"/>
      <c r="E108" s="27"/>
      <c r="F108" s="27"/>
      <c r="G108" s="27"/>
      <c r="H108" s="27"/>
      <c r="I108" s="27"/>
      <c r="J108" s="27"/>
      <c r="K108" s="27"/>
      <c r="L108" s="58">
        <v>4995</v>
      </c>
      <c r="M108" s="27"/>
      <c r="N108" s="124"/>
    </row>
    <row r="109" spans="1:14" ht="15.75">
      <c r="A109" s="26"/>
      <c r="B109" s="27" t="s">
        <v>77</v>
      </c>
      <c r="C109" s="27"/>
      <c r="D109" s="27"/>
      <c r="E109" s="27"/>
      <c r="F109" s="27"/>
      <c r="G109" s="27"/>
      <c r="H109" s="27"/>
      <c r="I109" s="27"/>
      <c r="J109" s="27"/>
      <c r="K109" s="27"/>
      <c r="L109" s="58">
        <v>4995</v>
      </c>
      <c r="M109" s="27"/>
      <c r="N109" s="124"/>
    </row>
    <row r="110" spans="1:14" ht="15.75">
      <c r="A110" s="26"/>
      <c r="B110" s="27" t="s">
        <v>78</v>
      </c>
      <c r="C110" s="27"/>
      <c r="D110" s="27"/>
      <c r="E110" s="27"/>
      <c r="F110" s="27"/>
      <c r="G110" s="27"/>
      <c r="H110" s="27"/>
      <c r="I110" s="27"/>
      <c r="J110" s="27"/>
      <c r="K110" s="27"/>
      <c r="L110" s="58">
        <v>0</v>
      </c>
      <c r="M110" s="27"/>
      <c r="N110" s="124"/>
    </row>
    <row r="111" spans="1:14" ht="15.75">
      <c r="A111" s="26"/>
      <c r="B111" s="27" t="s">
        <v>79</v>
      </c>
      <c r="C111" s="27"/>
      <c r="D111" s="27"/>
      <c r="E111" s="27"/>
      <c r="F111" s="27"/>
      <c r="G111" s="27"/>
      <c r="H111" s="27"/>
      <c r="I111" s="27"/>
      <c r="J111" s="27"/>
      <c r="K111" s="27"/>
      <c r="L111" s="58"/>
      <c r="M111" s="27"/>
      <c r="N111" s="124"/>
    </row>
    <row r="112" spans="1:14" ht="15.75">
      <c r="A112" s="26"/>
      <c r="B112" s="27" t="s">
        <v>80</v>
      </c>
      <c r="C112" s="27"/>
      <c r="D112" s="27"/>
      <c r="E112" s="27"/>
      <c r="F112" s="27"/>
      <c r="G112" s="27"/>
      <c r="H112" s="27"/>
      <c r="I112" s="27"/>
      <c r="J112" s="27"/>
      <c r="K112" s="27"/>
      <c r="L112" s="58">
        <v>0</v>
      </c>
      <c r="M112" s="27"/>
      <c r="N112" s="124"/>
    </row>
    <row r="113" spans="1:14" ht="15.75">
      <c r="A113" s="26"/>
      <c r="B113" s="27" t="s">
        <v>58</v>
      </c>
      <c r="C113" s="27"/>
      <c r="D113" s="27"/>
      <c r="E113" s="27"/>
      <c r="F113" s="27"/>
      <c r="G113" s="27"/>
      <c r="H113" s="27"/>
      <c r="I113" s="27"/>
      <c r="J113" s="27"/>
      <c r="K113" s="27"/>
      <c r="L113" s="58">
        <v>0</v>
      </c>
      <c r="M113" s="27"/>
      <c r="N113" s="124"/>
    </row>
    <row r="114" spans="1:14" ht="15.75">
      <c r="A114" s="26"/>
      <c r="B114" s="27" t="s">
        <v>59</v>
      </c>
      <c r="C114" s="27"/>
      <c r="D114" s="27"/>
      <c r="E114" s="27"/>
      <c r="F114" s="27"/>
      <c r="G114" s="27"/>
      <c r="H114" s="27"/>
      <c r="I114" s="27"/>
      <c r="J114" s="27"/>
      <c r="K114" s="27"/>
      <c r="L114" s="58">
        <v>0</v>
      </c>
      <c r="M114" s="27"/>
      <c r="N114" s="124"/>
    </row>
    <row r="115" spans="1:14" ht="15.75">
      <c r="A115" s="26"/>
      <c r="B115" s="27" t="s">
        <v>81</v>
      </c>
      <c r="C115" s="27"/>
      <c r="D115" s="27"/>
      <c r="E115" s="27"/>
      <c r="F115" s="27"/>
      <c r="G115" s="27"/>
      <c r="H115" s="27"/>
      <c r="I115" s="27"/>
      <c r="J115" s="27"/>
      <c r="K115" s="27"/>
      <c r="L115" s="58">
        <f>SUM(L109:L114)</f>
        <v>4995</v>
      </c>
      <c r="M115" s="27"/>
      <c r="N115" s="124"/>
    </row>
    <row r="116" spans="1:14" ht="15.75">
      <c r="A116" s="26"/>
      <c r="B116" s="27"/>
      <c r="C116" s="27"/>
      <c r="D116" s="27"/>
      <c r="E116" s="27"/>
      <c r="F116" s="27"/>
      <c r="G116" s="27"/>
      <c r="H116" s="27"/>
      <c r="I116" s="27"/>
      <c r="J116" s="27"/>
      <c r="K116" s="27"/>
      <c r="L116" s="68"/>
      <c r="M116" s="27"/>
      <c r="N116" s="124"/>
    </row>
    <row r="117" spans="1:14" ht="15.75">
      <c r="A117" s="8"/>
      <c r="B117" s="154" t="s">
        <v>82</v>
      </c>
      <c r="C117" s="10"/>
      <c r="D117" s="10"/>
      <c r="E117" s="10"/>
      <c r="F117" s="10"/>
      <c r="G117" s="10"/>
      <c r="H117" s="10"/>
      <c r="I117" s="10"/>
      <c r="J117" s="10"/>
      <c r="K117" s="10"/>
      <c r="L117" s="57"/>
      <c r="M117" s="10"/>
      <c r="N117" s="124"/>
    </row>
    <row r="118" spans="1:14" ht="15.75">
      <c r="A118" s="26"/>
      <c r="B118" s="27" t="s">
        <v>83</v>
      </c>
      <c r="C118" s="27"/>
      <c r="D118" s="69"/>
      <c r="E118" s="27"/>
      <c r="F118" s="27"/>
      <c r="G118" s="27"/>
      <c r="H118" s="27"/>
      <c r="I118" s="27"/>
      <c r="J118" s="27"/>
      <c r="K118" s="27"/>
      <c r="L118" s="70" t="s">
        <v>154</v>
      </c>
      <c r="M118" s="27"/>
      <c r="N118" s="124"/>
    </row>
    <row r="119" spans="1:14" ht="15.75">
      <c r="A119" s="26"/>
      <c r="B119" s="27" t="s">
        <v>84</v>
      </c>
      <c r="C119" s="30"/>
      <c r="D119" s="30"/>
      <c r="E119" s="30"/>
      <c r="F119" s="30"/>
      <c r="G119" s="30"/>
      <c r="H119" s="30"/>
      <c r="I119" s="30"/>
      <c r="J119" s="30"/>
      <c r="K119" s="30"/>
      <c r="L119" s="70" t="s">
        <v>154</v>
      </c>
      <c r="M119" s="27"/>
      <c r="N119" s="124"/>
    </row>
    <row r="120" spans="1:14" ht="15.75">
      <c r="A120" s="26"/>
      <c r="B120" s="27" t="s">
        <v>85</v>
      </c>
      <c r="C120" s="27"/>
      <c r="D120" s="27"/>
      <c r="E120" s="27"/>
      <c r="F120" s="27"/>
      <c r="G120" s="27"/>
      <c r="H120" s="27"/>
      <c r="I120" s="27"/>
      <c r="J120" s="27"/>
      <c r="K120" s="27"/>
      <c r="L120" s="70" t="s">
        <v>154</v>
      </c>
      <c r="M120" s="27"/>
      <c r="N120" s="124"/>
    </row>
    <row r="121" spans="1:14" ht="15.75">
      <c r="A121" s="26"/>
      <c r="B121" s="27" t="s">
        <v>86</v>
      </c>
      <c r="C121" s="27"/>
      <c r="D121" s="27"/>
      <c r="E121" s="27"/>
      <c r="F121" s="27"/>
      <c r="G121" s="27"/>
      <c r="H121" s="27"/>
      <c r="I121" s="27"/>
      <c r="J121" s="27"/>
      <c r="K121" s="27"/>
      <c r="L121" s="70" t="s">
        <v>154</v>
      </c>
      <c r="M121" s="27"/>
      <c r="N121" s="124"/>
    </row>
    <row r="122" spans="1:14" ht="15.75">
      <c r="A122" s="26"/>
      <c r="B122" s="27"/>
      <c r="C122" s="27"/>
      <c r="D122" s="27"/>
      <c r="E122" s="27"/>
      <c r="F122" s="27"/>
      <c r="G122" s="27"/>
      <c r="H122" s="27"/>
      <c r="I122" s="27"/>
      <c r="J122" s="27"/>
      <c r="K122" s="27"/>
      <c r="L122" s="68"/>
      <c r="M122" s="27"/>
      <c r="N122" s="124"/>
    </row>
    <row r="123" spans="1:14" ht="15.75">
      <c r="A123" s="8"/>
      <c r="B123" s="154" t="s">
        <v>87</v>
      </c>
      <c r="C123" s="16"/>
      <c r="D123" s="10"/>
      <c r="E123" s="10"/>
      <c r="F123" s="10"/>
      <c r="G123" s="10"/>
      <c r="H123" s="10"/>
      <c r="I123" s="10"/>
      <c r="J123" s="10"/>
      <c r="K123" s="10"/>
      <c r="L123" s="71"/>
      <c r="M123" s="10"/>
      <c r="N123" s="124"/>
    </row>
    <row r="124" spans="1:14" ht="15.75">
      <c r="A124" s="26"/>
      <c r="B124" s="27" t="s">
        <v>88</v>
      </c>
      <c r="C124" s="27"/>
      <c r="D124" s="27"/>
      <c r="E124" s="27"/>
      <c r="F124" s="27"/>
      <c r="G124" s="27"/>
      <c r="H124" s="27"/>
      <c r="I124" s="27"/>
      <c r="J124" s="27"/>
      <c r="K124" s="27"/>
      <c r="L124" s="58">
        <v>0</v>
      </c>
      <c r="M124" s="27"/>
      <c r="N124" s="124"/>
    </row>
    <row r="125" spans="1:14" ht="15.75">
      <c r="A125" s="26"/>
      <c r="B125" s="27" t="s">
        <v>89</v>
      </c>
      <c r="C125" s="27"/>
      <c r="D125" s="27"/>
      <c r="E125" s="27"/>
      <c r="F125" s="27"/>
      <c r="G125" s="27"/>
      <c r="H125" s="27"/>
      <c r="I125" s="27"/>
      <c r="J125" s="27"/>
      <c r="K125" s="27"/>
      <c r="L125" s="58">
        <v>0</v>
      </c>
      <c r="M125" s="27"/>
      <c r="N125" s="124"/>
    </row>
    <row r="126" spans="1:14" ht="15.75">
      <c r="A126" s="26"/>
      <c r="B126" s="27" t="s">
        <v>90</v>
      </c>
      <c r="C126" s="27"/>
      <c r="D126" s="27"/>
      <c r="E126" s="27"/>
      <c r="F126" s="27"/>
      <c r="G126" s="27"/>
      <c r="H126" s="27"/>
      <c r="I126" s="27"/>
      <c r="J126" s="27"/>
      <c r="K126" s="27"/>
      <c r="L126" s="58">
        <f>L125+L124</f>
        <v>0</v>
      </c>
      <c r="M126" s="27"/>
      <c r="N126" s="124"/>
    </row>
    <row r="127" spans="1:14" ht="15.75">
      <c r="A127" s="26"/>
      <c r="B127" s="27" t="s">
        <v>91</v>
      </c>
      <c r="C127" s="27"/>
      <c r="D127" s="27"/>
      <c r="E127" s="27"/>
      <c r="F127" s="27"/>
      <c r="G127" s="27"/>
      <c r="H127" s="72"/>
      <c r="I127" s="27"/>
      <c r="J127" s="27"/>
      <c r="K127" s="27"/>
      <c r="L127" s="58">
        <v>0</v>
      </c>
      <c r="M127" s="27"/>
      <c r="N127" s="124"/>
    </row>
    <row r="128" spans="1:14" ht="15.75">
      <c r="A128" s="26"/>
      <c r="B128" s="27" t="s">
        <v>92</v>
      </c>
      <c r="C128" s="27"/>
      <c r="D128" s="27"/>
      <c r="E128" s="27"/>
      <c r="F128" s="27"/>
      <c r="G128" s="27"/>
      <c r="H128" s="27"/>
      <c r="I128" s="27"/>
      <c r="J128" s="27"/>
      <c r="K128" s="27"/>
      <c r="L128" s="58">
        <f>L126+L127</f>
        <v>0</v>
      </c>
      <c r="M128" s="27"/>
      <c r="N128" s="124"/>
    </row>
    <row r="129" spans="1:14" ht="7.5" customHeight="1">
      <c r="A129" s="26"/>
      <c r="B129" s="27"/>
      <c r="C129" s="27"/>
      <c r="D129" s="27"/>
      <c r="E129" s="27"/>
      <c r="F129" s="27"/>
      <c r="G129" s="27"/>
      <c r="H129" s="27"/>
      <c r="I129" s="27"/>
      <c r="J129" s="27"/>
      <c r="K129" s="27"/>
      <c r="L129" s="68"/>
      <c r="M129" s="27"/>
      <c r="N129" s="124"/>
    </row>
    <row r="130" spans="1:14" ht="6" customHeight="1">
      <c r="A130" s="2"/>
      <c r="B130" s="5"/>
      <c r="C130" s="5"/>
      <c r="D130" s="5"/>
      <c r="E130" s="5"/>
      <c r="F130" s="5"/>
      <c r="G130" s="5"/>
      <c r="H130" s="5"/>
      <c r="I130" s="5"/>
      <c r="J130" s="5"/>
      <c r="K130" s="5"/>
      <c r="L130" s="67"/>
      <c r="M130" s="5"/>
      <c r="N130" s="124"/>
    </row>
    <row r="131" spans="1:14" ht="15.75">
      <c r="A131" s="8"/>
      <c r="B131" s="154" t="s">
        <v>93</v>
      </c>
      <c r="C131" s="16"/>
      <c r="D131" s="10"/>
      <c r="E131" s="10"/>
      <c r="F131" s="10"/>
      <c r="G131" s="10"/>
      <c r="H131" s="10"/>
      <c r="I131" s="10"/>
      <c r="J131" s="10"/>
      <c r="K131" s="10"/>
      <c r="L131" s="57"/>
      <c r="M131" s="10"/>
      <c r="N131" s="124"/>
    </row>
    <row r="132" spans="1:14" ht="15.75">
      <c r="A132" s="8"/>
      <c r="B132" s="22"/>
      <c r="C132" s="16"/>
      <c r="D132" s="10"/>
      <c r="E132" s="10"/>
      <c r="F132" s="10"/>
      <c r="G132" s="10"/>
      <c r="H132" s="10"/>
      <c r="I132" s="10"/>
      <c r="J132" s="10"/>
      <c r="K132" s="10"/>
      <c r="L132" s="57"/>
      <c r="M132" s="10"/>
      <c r="N132" s="124"/>
    </row>
    <row r="133" spans="1:14" ht="15.75">
      <c r="A133" s="26"/>
      <c r="B133" s="27" t="s">
        <v>94</v>
      </c>
      <c r="C133" s="73"/>
      <c r="D133" s="27"/>
      <c r="E133" s="27"/>
      <c r="F133" s="27"/>
      <c r="G133" s="27"/>
      <c r="H133" s="27"/>
      <c r="I133" s="27"/>
      <c r="J133" s="27"/>
      <c r="K133" s="27"/>
      <c r="L133" s="58">
        <f>L59</f>
        <v>173342</v>
      </c>
      <c r="M133" s="27"/>
      <c r="N133" s="124"/>
    </row>
    <row r="134" spans="1:14" ht="15.75">
      <c r="A134" s="26"/>
      <c r="B134" s="27" t="s">
        <v>95</v>
      </c>
      <c r="C134" s="73"/>
      <c r="D134" s="27"/>
      <c r="E134" s="27"/>
      <c r="F134" s="27"/>
      <c r="G134" s="27"/>
      <c r="H134" s="27"/>
      <c r="I134" s="27"/>
      <c r="J134" s="27"/>
      <c r="K134" s="27"/>
      <c r="L134" s="58">
        <f>L71</f>
        <v>173342</v>
      </c>
      <c r="M134" s="27"/>
      <c r="N134" s="124"/>
    </row>
    <row r="135" spans="1:14" ht="7.5" customHeight="1">
      <c r="A135" s="26"/>
      <c r="B135" s="27"/>
      <c r="C135" s="27"/>
      <c r="D135" s="27"/>
      <c r="E135" s="27"/>
      <c r="F135" s="27"/>
      <c r="G135" s="27"/>
      <c r="H135" s="27"/>
      <c r="I135" s="27"/>
      <c r="J135" s="27"/>
      <c r="K135" s="27"/>
      <c r="L135" s="68"/>
      <c r="M135" s="27"/>
      <c r="N135" s="124"/>
    </row>
    <row r="136" spans="1:14" ht="15.75">
      <c r="A136" s="2"/>
      <c r="B136" s="5"/>
      <c r="C136" s="5"/>
      <c r="D136" s="5"/>
      <c r="E136" s="5"/>
      <c r="F136" s="5"/>
      <c r="G136" s="5"/>
      <c r="H136" s="5"/>
      <c r="I136" s="5"/>
      <c r="J136" s="5"/>
      <c r="K136" s="5"/>
      <c r="L136" s="67"/>
      <c r="M136" s="5"/>
      <c r="N136" s="124"/>
    </row>
    <row r="137" spans="1:14" ht="15.75">
      <c r="A137" s="8"/>
      <c r="B137" s="154" t="s">
        <v>96</v>
      </c>
      <c r="C137" s="143"/>
      <c r="D137" s="143"/>
      <c r="E137" s="143"/>
      <c r="F137" s="143"/>
      <c r="G137" s="143"/>
      <c r="H137" s="155" t="s">
        <v>169</v>
      </c>
      <c r="I137" s="155"/>
      <c r="J137" s="155" t="s">
        <v>176</v>
      </c>
      <c r="K137" s="143"/>
      <c r="L137" s="156" t="s">
        <v>188</v>
      </c>
      <c r="M137" s="143"/>
      <c r="N137" s="124"/>
    </row>
    <row r="138" spans="1:14" ht="15.75">
      <c r="A138" s="26"/>
      <c r="B138" s="27" t="s">
        <v>97</v>
      </c>
      <c r="C138" s="27"/>
      <c r="D138" s="27"/>
      <c r="E138" s="27"/>
      <c r="F138" s="27"/>
      <c r="G138" s="27"/>
      <c r="H138" s="58">
        <v>20000</v>
      </c>
      <c r="I138" s="27"/>
      <c r="J138" s="46"/>
      <c r="K138" s="27"/>
      <c r="L138" s="58"/>
      <c r="M138" s="27"/>
      <c r="N138" s="124"/>
    </row>
    <row r="139" spans="1:14" ht="15.75">
      <c r="A139" s="26"/>
      <c r="B139" s="27" t="s">
        <v>98</v>
      </c>
      <c r="C139" s="27"/>
      <c r="D139" s="27"/>
      <c r="E139" s="27"/>
      <c r="F139" s="27"/>
      <c r="G139" s="27"/>
      <c r="H139" s="58">
        <v>4568</v>
      </c>
      <c r="I139" s="27"/>
      <c r="J139" s="58">
        <v>489</v>
      </c>
      <c r="K139" s="27"/>
      <c r="L139" s="58">
        <f>J139+H139</f>
        <v>5057</v>
      </c>
      <c r="M139" s="27"/>
      <c r="N139" s="124"/>
    </row>
    <row r="140" spans="1:14" ht="15.75">
      <c r="A140" s="26"/>
      <c r="B140" s="27" t="s">
        <v>99</v>
      </c>
      <c r="C140" s="27"/>
      <c r="D140" s="27"/>
      <c r="E140" s="27"/>
      <c r="F140" s="27"/>
      <c r="G140" s="27"/>
      <c r="H140" s="58">
        <v>1573</v>
      </c>
      <c r="I140" s="27"/>
      <c r="J140" s="58">
        <v>12</v>
      </c>
      <c r="K140" s="27"/>
      <c r="L140" s="58">
        <f>J140+H140</f>
        <v>1585</v>
      </c>
      <c r="M140" s="27"/>
      <c r="N140" s="124"/>
    </row>
    <row r="141" spans="1:14" ht="15.75">
      <c r="A141" s="26"/>
      <c r="B141" s="27" t="s">
        <v>100</v>
      </c>
      <c r="C141" s="27"/>
      <c r="D141" s="27"/>
      <c r="E141" s="27"/>
      <c r="F141" s="27"/>
      <c r="G141" s="27"/>
      <c r="H141" s="58">
        <f>H139+H140</f>
        <v>6141</v>
      </c>
      <c r="I141" s="27"/>
      <c r="J141" s="58">
        <f>J140+J139</f>
        <v>501</v>
      </c>
      <c r="K141" s="27"/>
      <c r="L141" s="58">
        <f>J141+H141</f>
        <v>6642</v>
      </c>
      <c r="M141" s="27"/>
      <c r="N141" s="124"/>
    </row>
    <row r="142" spans="1:14" ht="15.75">
      <c r="A142" s="26"/>
      <c r="B142" s="27" t="s">
        <v>101</v>
      </c>
      <c r="C142" s="27"/>
      <c r="D142" s="27"/>
      <c r="E142" s="27"/>
      <c r="F142" s="27"/>
      <c r="G142" s="27"/>
      <c r="H142" s="58">
        <f>H138-H141-J141</f>
        <v>13358</v>
      </c>
      <c r="I142" s="27"/>
      <c r="J142" s="46"/>
      <c r="K142" s="27"/>
      <c r="L142" s="58"/>
      <c r="M142" s="27"/>
      <c r="N142" s="124"/>
    </row>
    <row r="143" spans="1:14" ht="7.5" customHeight="1">
      <c r="A143" s="26"/>
      <c r="B143" s="27"/>
      <c r="C143" s="27"/>
      <c r="D143" s="27"/>
      <c r="E143" s="27"/>
      <c r="F143" s="27"/>
      <c r="G143" s="27"/>
      <c r="H143" s="27"/>
      <c r="I143" s="27"/>
      <c r="J143" s="27"/>
      <c r="K143" s="27"/>
      <c r="L143" s="68"/>
      <c r="M143" s="27"/>
      <c r="N143" s="124"/>
    </row>
    <row r="144" spans="1:14" ht="9" customHeight="1">
      <c r="A144" s="2"/>
      <c r="B144" s="5"/>
      <c r="C144" s="5"/>
      <c r="D144" s="5"/>
      <c r="E144" s="5"/>
      <c r="F144" s="5"/>
      <c r="G144" s="5"/>
      <c r="H144" s="5"/>
      <c r="I144" s="5"/>
      <c r="J144" s="5"/>
      <c r="K144" s="5"/>
      <c r="L144" s="67"/>
      <c r="M144" s="5"/>
      <c r="N144" s="124"/>
    </row>
    <row r="145" spans="1:14" ht="15.75">
      <c r="A145" s="8"/>
      <c r="B145" s="154" t="s">
        <v>102</v>
      </c>
      <c r="C145" s="16"/>
      <c r="D145" s="10"/>
      <c r="E145" s="10"/>
      <c r="F145" s="10"/>
      <c r="G145" s="10"/>
      <c r="H145" s="10"/>
      <c r="I145" s="10"/>
      <c r="J145" s="10"/>
      <c r="K145" s="10"/>
      <c r="L145" s="74"/>
      <c r="M145" s="10"/>
      <c r="N145" s="124"/>
    </row>
    <row r="146" spans="1:14" ht="15.75">
      <c r="A146" s="26"/>
      <c r="B146" s="27" t="s">
        <v>103</v>
      </c>
      <c r="C146" s="27"/>
      <c r="D146" s="27"/>
      <c r="E146" s="27"/>
      <c r="F146" s="27"/>
      <c r="G146" s="27"/>
      <c r="H146" s="27"/>
      <c r="I146" s="27"/>
      <c r="J146" s="27"/>
      <c r="K146" s="27"/>
      <c r="L146" s="66">
        <f>(L80+L82+L83+L84+L85)/-L86</f>
        <v>1.3721332756382518</v>
      </c>
      <c r="M146" s="27" t="s">
        <v>189</v>
      </c>
      <c r="N146" s="124"/>
    </row>
    <row r="147" spans="1:14" ht="15.75">
      <c r="A147" s="26"/>
      <c r="B147" s="27" t="s">
        <v>104</v>
      </c>
      <c r="C147" s="27"/>
      <c r="D147" s="27"/>
      <c r="E147" s="27"/>
      <c r="F147" s="27"/>
      <c r="G147" s="27"/>
      <c r="H147" s="27"/>
      <c r="I147" s="27"/>
      <c r="J147" s="27"/>
      <c r="K147" s="27"/>
      <c r="L147" s="66">
        <v>1.29</v>
      </c>
      <c r="M147" s="27" t="s">
        <v>189</v>
      </c>
      <c r="N147" s="124"/>
    </row>
    <row r="148" spans="1:14" ht="15.75">
      <c r="A148" s="26"/>
      <c r="B148" s="27" t="s">
        <v>105</v>
      </c>
      <c r="C148" s="27"/>
      <c r="D148" s="27"/>
      <c r="E148" s="27"/>
      <c r="F148" s="27"/>
      <c r="G148" s="27"/>
      <c r="H148" s="27"/>
      <c r="I148" s="27"/>
      <c r="J148" s="27"/>
      <c r="K148" s="27"/>
      <c r="L148" s="66">
        <f>(L80+SUM(L82:L86))/-L87</f>
        <v>2.8956228956228958</v>
      </c>
      <c r="M148" s="27" t="s">
        <v>189</v>
      </c>
      <c r="N148" s="124"/>
    </row>
    <row r="149" spans="1:14" ht="15.75">
      <c r="A149" s="26"/>
      <c r="B149" s="27" t="s">
        <v>106</v>
      </c>
      <c r="C149" s="27"/>
      <c r="D149" s="27"/>
      <c r="E149" s="27"/>
      <c r="F149" s="27"/>
      <c r="G149" s="27"/>
      <c r="H149" s="27"/>
      <c r="I149" s="27"/>
      <c r="J149" s="27"/>
      <c r="K149" s="27"/>
      <c r="L149" s="75">
        <v>2.35</v>
      </c>
      <c r="M149" s="27" t="s">
        <v>189</v>
      </c>
      <c r="N149" s="124"/>
    </row>
    <row r="150" spans="1:14" ht="15.75">
      <c r="A150" s="26"/>
      <c r="B150" s="27"/>
      <c r="C150" s="27"/>
      <c r="D150" s="27"/>
      <c r="E150" s="27"/>
      <c r="F150" s="27"/>
      <c r="G150" s="27"/>
      <c r="H150" s="27"/>
      <c r="I150" s="27"/>
      <c r="J150" s="27"/>
      <c r="K150" s="27"/>
      <c r="L150" s="27"/>
      <c r="M150" s="27"/>
      <c r="N150" s="124"/>
    </row>
    <row r="151" spans="1:14" ht="15.75">
      <c r="A151" s="8"/>
      <c r="B151" s="10"/>
      <c r="C151" s="10"/>
      <c r="D151" s="10"/>
      <c r="E151" s="10"/>
      <c r="F151" s="10"/>
      <c r="G151" s="10"/>
      <c r="H151" s="10"/>
      <c r="I151" s="10"/>
      <c r="J151" s="10"/>
      <c r="K151" s="10"/>
      <c r="L151" s="10"/>
      <c r="M151" s="10"/>
      <c r="N151" s="124"/>
    </row>
    <row r="152" spans="1:14" ht="19.5" thickBot="1">
      <c r="A152" s="129"/>
      <c r="B152" s="130" t="s">
        <v>199</v>
      </c>
      <c r="C152" s="131"/>
      <c r="D152" s="131"/>
      <c r="E152" s="131"/>
      <c r="F152" s="131"/>
      <c r="G152" s="131"/>
      <c r="H152" s="131"/>
      <c r="I152" s="131"/>
      <c r="J152" s="131"/>
      <c r="K152" s="131"/>
      <c r="L152" s="131"/>
      <c r="M152" s="134"/>
      <c r="N152" s="124"/>
    </row>
    <row r="153" spans="1:14" ht="15.75">
      <c r="A153" s="2"/>
      <c r="B153" s="76"/>
      <c r="C153" s="76"/>
      <c r="D153" s="76"/>
      <c r="E153" s="76"/>
      <c r="F153" s="76"/>
      <c r="G153" s="76"/>
      <c r="H153" s="76"/>
      <c r="I153" s="76"/>
      <c r="J153" s="76"/>
      <c r="K153" s="76"/>
      <c r="L153" s="76"/>
      <c r="M153" s="76"/>
      <c r="N153" s="124"/>
    </row>
    <row r="154" spans="1:14" ht="15.75">
      <c r="A154" s="77"/>
      <c r="B154" s="56" t="s">
        <v>107</v>
      </c>
      <c r="C154" s="78"/>
      <c r="D154" s="78"/>
      <c r="E154" s="78"/>
      <c r="F154" s="78"/>
      <c r="G154" s="20"/>
      <c r="H154" s="20"/>
      <c r="I154" s="20"/>
      <c r="J154" s="20">
        <v>37042</v>
      </c>
      <c r="K154" s="18"/>
      <c r="L154" s="18"/>
      <c r="M154" s="10"/>
      <c r="N154" s="124"/>
    </row>
    <row r="155" spans="1:14" ht="15.75">
      <c r="A155" s="80"/>
      <c r="B155" s="81"/>
      <c r="C155" s="82"/>
      <c r="D155" s="82"/>
      <c r="E155" s="82"/>
      <c r="F155" s="82"/>
      <c r="G155" s="83"/>
      <c r="H155" s="83"/>
      <c r="I155" s="83"/>
      <c r="J155" s="83"/>
      <c r="K155" s="10"/>
      <c r="L155" s="10"/>
      <c r="M155" s="10"/>
      <c r="N155" s="124"/>
    </row>
    <row r="156" spans="1:14" ht="15.75">
      <c r="A156" s="84"/>
      <c r="B156" s="85" t="s">
        <v>108</v>
      </c>
      <c r="C156" s="86"/>
      <c r="D156" s="86"/>
      <c r="E156" s="86"/>
      <c r="F156" s="86"/>
      <c r="G156" s="72"/>
      <c r="H156" s="72"/>
      <c r="I156" s="72"/>
      <c r="J156" s="87">
        <v>0.0736</v>
      </c>
      <c r="K156" s="27"/>
      <c r="L156" s="27"/>
      <c r="M156" s="27"/>
      <c r="N156" s="124"/>
    </row>
    <row r="157" spans="1:14" ht="15.75">
      <c r="A157" s="84"/>
      <c r="B157" s="85" t="s">
        <v>109</v>
      </c>
      <c r="C157" s="86"/>
      <c r="D157" s="86"/>
      <c r="E157" s="86"/>
      <c r="F157" s="86"/>
      <c r="G157" s="72"/>
      <c r="H157" s="72"/>
      <c r="I157" s="72"/>
      <c r="J157" s="87">
        <v>0.0554</v>
      </c>
      <c r="K157" s="27"/>
      <c r="L157" s="27"/>
      <c r="M157" s="27"/>
      <c r="N157" s="124"/>
    </row>
    <row r="158" spans="1:14" ht="15.75">
      <c r="A158" s="84"/>
      <c r="B158" s="85" t="s">
        <v>110</v>
      </c>
      <c r="C158" s="86"/>
      <c r="D158" s="86"/>
      <c r="E158" s="86"/>
      <c r="F158" s="86"/>
      <c r="G158" s="72"/>
      <c r="H158" s="72"/>
      <c r="I158" s="72"/>
      <c r="J158" s="87">
        <f>J156-J157</f>
        <v>0.0182</v>
      </c>
      <c r="K158" s="27"/>
      <c r="L158" s="27"/>
      <c r="M158" s="27"/>
      <c r="N158" s="124"/>
    </row>
    <row r="159" spans="1:14" ht="15.75">
      <c r="A159" s="84"/>
      <c r="B159" s="85" t="s">
        <v>111</v>
      </c>
      <c r="C159" s="86"/>
      <c r="D159" s="86"/>
      <c r="E159" s="86"/>
      <c r="F159" s="86"/>
      <c r="G159" s="72"/>
      <c r="H159" s="72"/>
      <c r="I159" s="72"/>
      <c r="J159" s="87">
        <v>0.0724</v>
      </c>
      <c r="K159" s="27"/>
      <c r="L159" s="27"/>
      <c r="M159" s="27"/>
      <c r="N159" s="124"/>
    </row>
    <row r="160" spans="1:14" ht="15.75">
      <c r="A160" s="84"/>
      <c r="B160" s="85" t="s">
        <v>112</v>
      </c>
      <c r="C160" s="86"/>
      <c r="D160" s="86"/>
      <c r="E160" s="86"/>
      <c r="F160" s="86"/>
      <c r="G160" s="72"/>
      <c r="H160" s="72"/>
      <c r="I160" s="72"/>
      <c r="J160" s="87">
        <f>L33</f>
        <v>0.05856447680808446</v>
      </c>
      <c r="K160" s="27"/>
      <c r="L160" s="27"/>
      <c r="M160" s="27"/>
      <c r="N160" s="124"/>
    </row>
    <row r="161" spans="1:14" ht="15.75">
      <c r="A161" s="84"/>
      <c r="B161" s="85" t="s">
        <v>113</v>
      </c>
      <c r="C161" s="86"/>
      <c r="D161" s="86"/>
      <c r="E161" s="86"/>
      <c r="F161" s="86"/>
      <c r="G161" s="72"/>
      <c r="H161" s="72"/>
      <c r="I161" s="72"/>
      <c r="J161" s="87">
        <f>J159-J160</f>
        <v>0.013835523191915548</v>
      </c>
      <c r="K161" s="27"/>
      <c r="L161" s="27"/>
      <c r="M161" s="27"/>
      <c r="N161" s="124"/>
    </row>
    <row r="162" spans="1:14" ht="15.75">
      <c r="A162" s="84"/>
      <c r="B162" s="85" t="s">
        <v>114</v>
      </c>
      <c r="C162" s="86"/>
      <c r="D162" s="86"/>
      <c r="E162" s="86"/>
      <c r="F162" s="86"/>
      <c r="G162" s="72"/>
      <c r="H162" s="72"/>
      <c r="I162" s="72"/>
      <c r="J162" s="88" t="s">
        <v>177</v>
      </c>
      <c r="K162" s="27"/>
      <c r="L162" s="27"/>
      <c r="M162" s="27"/>
      <c r="N162" s="124"/>
    </row>
    <row r="163" spans="1:14" ht="15.75">
      <c r="A163" s="84"/>
      <c r="B163" s="85" t="s">
        <v>115</v>
      </c>
      <c r="C163" s="86"/>
      <c r="D163" s="86"/>
      <c r="E163" s="86"/>
      <c r="F163" s="86"/>
      <c r="G163" s="72"/>
      <c r="H163" s="72"/>
      <c r="I163" s="72"/>
      <c r="J163" s="88" t="s">
        <v>178</v>
      </c>
      <c r="K163" s="27"/>
      <c r="L163" s="27"/>
      <c r="M163" s="27"/>
      <c r="N163" s="124"/>
    </row>
    <row r="164" spans="1:14" ht="15.75">
      <c r="A164" s="84"/>
      <c r="B164" s="85" t="s">
        <v>116</v>
      </c>
      <c r="C164" s="86"/>
      <c r="D164" s="86"/>
      <c r="E164" s="86"/>
      <c r="F164" s="86"/>
      <c r="G164" s="72"/>
      <c r="H164" s="72"/>
      <c r="I164" s="72"/>
      <c r="J164" s="89">
        <v>19.6</v>
      </c>
      <c r="K164" s="27" t="s">
        <v>182</v>
      </c>
      <c r="L164" s="27"/>
      <c r="M164" s="27"/>
      <c r="N164" s="124"/>
    </row>
    <row r="165" spans="1:14" ht="15.75">
      <c r="A165" s="84"/>
      <c r="B165" s="85" t="s">
        <v>117</v>
      </c>
      <c r="C165" s="86"/>
      <c r="D165" s="86"/>
      <c r="E165" s="86"/>
      <c r="F165" s="86"/>
      <c r="G165" s="72"/>
      <c r="H165" s="72"/>
      <c r="I165" s="72"/>
      <c r="J165" s="89">
        <v>18.493</v>
      </c>
      <c r="K165" s="27" t="s">
        <v>182</v>
      </c>
      <c r="L165" s="27"/>
      <c r="M165" s="27"/>
      <c r="N165" s="124"/>
    </row>
    <row r="166" spans="1:14" ht="15.75">
      <c r="A166" s="84"/>
      <c r="B166" s="85" t="s">
        <v>118</v>
      </c>
      <c r="C166" s="86"/>
      <c r="D166" s="86"/>
      <c r="E166" s="86"/>
      <c r="F166" s="86"/>
      <c r="G166" s="72"/>
      <c r="H166" s="72"/>
      <c r="I166" s="72"/>
      <c r="J166" s="87">
        <f>F56/'Feb 2001'!L56</f>
        <v>0.028023473620472077</v>
      </c>
      <c r="K166" s="27"/>
      <c r="L166" s="27"/>
      <c r="M166" s="27"/>
      <c r="N166" s="124"/>
    </row>
    <row r="167" spans="1:14" ht="15.75">
      <c r="A167" s="84"/>
      <c r="B167" s="85" t="s">
        <v>119</v>
      </c>
      <c r="C167" s="86"/>
      <c r="D167" s="86"/>
      <c r="E167" s="86"/>
      <c r="F167" s="86"/>
      <c r="G167" s="72"/>
      <c r="H167" s="72"/>
      <c r="I167" s="72"/>
      <c r="J167" s="87">
        <v>0.0787</v>
      </c>
      <c r="K167" s="27"/>
      <c r="L167" s="27"/>
      <c r="M167" s="27"/>
      <c r="N167" s="124"/>
    </row>
    <row r="168" spans="1:14" ht="15.75">
      <c r="A168" s="84"/>
      <c r="B168" s="85"/>
      <c r="C168" s="85"/>
      <c r="D168" s="85"/>
      <c r="E168" s="85"/>
      <c r="F168" s="85"/>
      <c r="G168" s="27"/>
      <c r="H168" s="27"/>
      <c r="I168" s="27"/>
      <c r="J168" s="68"/>
      <c r="K168" s="27"/>
      <c r="L168" s="90"/>
      <c r="M168" s="27"/>
      <c r="N168" s="124"/>
    </row>
    <row r="169" spans="1:14" ht="15.75">
      <c r="A169" s="91"/>
      <c r="B169" s="17" t="s">
        <v>120</v>
      </c>
      <c r="C169" s="92"/>
      <c r="D169" s="93"/>
      <c r="E169" s="92"/>
      <c r="F169" s="93"/>
      <c r="G169" s="92"/>
      <c r="H169" s="93"/>
      <c r="I169" s="63" t="s">
        <v>170</v>
      </c>
      <c r="J169" s="94" t="s">
        <v>179</v>
      </c>
      <c r="K169" s="18"/>
      <c r="L169" s="10"/>
      <c r="M169" s="10"/>
      <c r="N169" s="124"/>
    </row>
    <row r="170" spans="1:14" ht="15.75">
      <c r="A170" s="95"/>
      <c r="B170" s="85" t="s">
        <v>121</v>
      </c>
      <c r="C170" s="59"/>
      <c r="D170" s="59"/>
      <c r="E170" s="59"/>
      <c r="F170" s="27"/>
      <c r="G170" s="27"/>
      <c r="H170" s="27"/>
      <c r="I170" s="28">
        <f>3+14</f>
        <v>17</v>
      </c>
      <c r="J170" s="96">
        <f>112+607</f>
        <v>719</v>
      </c>
      <c r="K170" s="27"/>
      <c r="L170" s="90"/>
      <c r="M170" s="97"/>
      <c r="N170" s="124"/>
    </row>
    <row r="171" spans="1:14" ht="15.75">
      <c r="A171" s="95"/>
      <c r="B171" s="85" t="s">
        <v>122</v>
      </c>
      <c r="C171" s="59"/>
      <c r="D171" s="59"/>
      <c r="E171" s="59"/>
      <c r="F171" s="27"/>
      <c r="G171" s="27"/>
      <c r="H171" s="27"/>
      <c r="I171" s="28">
        <v>1</v>
      </c>
      <c r="J171" s="96">
        <v>27</v>
      </c>
      <c r="K171" s="27"/>
      <c r="L171" s="90"/>
      <c r="M171" s="97"/>
      <c r="N171" s="124"/>
    </row>
    <row r="172" spans="1:14" ht="15.75">
      <c r="A172" s="95"/>
      <c r="B172" s="157" t="s">
        <v>123</v>
      </c>
      <c r="C172" s="59"/>
      <c r="D172" s="59"/>
      <c r="E172" s="59"/>
      <c r="F172" s="27"/>
      <c r="G172" s="27"/>
      <c r="H172" s="27"/>
      <c r="I172" s="27"/>
      <c r="J172" s="96">
        <v>0</v>
      </c>
      <c r="K172" s="27"/>
      <c r="L172" s="90"/>
      <c r="M172" s="97"/>
      <c r="N172" s="124"/>
    </row>
    <row r="173" spans="1:14" ht="15.75">
      <c r="A173" s="95"/>
      <c r="B173" s="157" t="s">
        <v>124</v>
      </c>
      <c r="C173" s="59"/>
      <c r="D173" s="59"/>
      <c r="E173" s="59"/>
      <c r="F173" s="27"/>
      <c r="G173" s="27"/>
      <c r="H173" s="27"/>
      <c r="I173" s="27"/>
      <c r="J173" s="96">
        <v>25878</v>
      </c>
      <c r="K173" s="27"/>
      <c r="L173" s="90"/>
      <c r="M173" s="97"/>
      <c r="N173" s="124"/>
    </row>
    <row r="174" spans="1:14" ht="15.75">
      <c r="A174" s="98"/>
      <c r="B174" s="157" t="s">
        <v>125</v>
      </c>
      <c r="C174" s="59"/>
      <c r="D174" s="85"/>
      <c r="E174" s="85"/>
      <c r="F174" s="85"/>
      <c r="G174" s="27"/>
      <c r="H174" s="27"/>
      <c r="I174" s="27"/>
      <c r="J174" s="96">
        <v>0</v>
      </c>
      <c r="K174" s="27"/>
      <c r="L174" s="90"/>
      <c r="M174" s="99"/>
      <c r="N174" s="124"/>
    </row>
    <row r="175" spans="1:14" ht="15.75">
      <c r="A175" s="95"/>
      <c r="B175" s="85" t="s">
        <v>126</v>
      </c>
      <c r="C175" s="59"/>
      <c r="D175" s="59"/>
      <c r="E175" s="59"/>
      <c r="F175" s="59"/>
      <c r="G175" s="27"/>
      <c r="H175" s="27"/>
      <c r="I175" s="27"/>
      <c r="J175" s="96">
        <v>0</v>
      </c>
      <c r="K175" s="27"/>
      <c r="L175" s="90"/>
      <c r="M175" s="99"/>
      <c r="N175" s="124"/>
    </row>
    <row r="176" spans="1:14" ht="15.75">
      <c r="A176" s="95"/>
      <c r="B176" s="85" t="s">
        <v>127</v>
      </c>
      <c r="C176" s="59"/>
      <c r="D176" s="59"/>
      <c r="E176" s="59"/>
      <c r="F176" s="59"/>
      <c r="G176" s="27"/>
      <c r="H176" s="27"/>
      <c r="I176" s="27"/>
      <c r="J176" s="96">
        <v>0</v>
      </c>
      <c r="K176" s="27"/>
      <c r="L176" s="90"/>
      <c r="M176" s="99"/>
      <c r="N176" s="124"/>
    </row>
    <row r="177" spans="1:14" ht="15.75">
      <c r="A177" s="95"/>
      <c r="B177" s="85" t="s">
        <v>196</v>
      </c>
      <c r="C177" s="59"/>
      <c r="D177" s="59"/>
      <c r="E177" s="59"/>
      <c r="F177" s="59"/>
      <c r="G177" s="27"/>
      <c r="H177" s="27"/>
      <c r="I177" s="27"/>
      <c r="J177" s="96">
        <v>0</v>
      </c>
      <c r="K177" s="27"/>
      <c r="L177" s="90"/>
      <c r="M177" s="99"/>
      <c r="N177" s="124"/>
    </row>
    <row r="178" spans="1:14" ht="15.75">
      <c r="A178" s="98"/>
      <c r="B178" s="157" t="s">
        <v>128</v>
      </c>
      <c r="C178" s="59"/>
      <c r="D178" s="85"/>
      <c r="E178" s="85"/>
      <c r="F178" s="85"/>
      <c r="G178" s="27"/>
      <c r="H178" s="27"/>
      <c r="I178" s="27"/>
      <c r="J178" s="96"/>
      <c r="K178" s="27"/>
      <c r="L178" s="90"/>
      <c r="M178" s="99"/>
      <c r="N178" s="124"/>
    </row>
    <row r="179" spans="1:14" ht="15.75">
      <c r="A179" s="98"/>
      <c r="B179" s="85" t="s">
        <v>129</v>
      </c>
      <c r="C179" s="59"/>
      <c r="D179" s="85"/>
      <c r="E179" s="85"/>
      <c r="F179" s="85"/>
      <c r="G179" s="27"/>
      <c r="H179" s="27"/>
      <c r="I179" s="27"/>
      <c r="J179" s="96">
        <v>0</v>
      </c>
      <c r="K179" s="27"/>
      <c r="L179" s="90"/>
      <c r="M179" s="99"/>
      <c r="N179" s="124"/>
    </row>
    <row r="180" spans="1:14" ht="15.75">
      <c r="A180" s="95"/>
      <c r="B180" s="85" t="s">
        <v>130</v>
      </c>
      <c r="C180" s="59"/>
      <c r="D180" s="100"/>
      <c r="E180" s="100"/>
      <c r="F180" s="101"/>
      <c r="G180" s="27"/>
      <c r="H180" s="27"/>
      <c r="I180" s="27"/>
      <c r="J180" s="96">
        <v>0</v>
      </c>
      <c r="K180" s="27"/>
      <c r="L180" s="90"/>
      <c r="M180" s="99"/>
      <c r="N180" s="124"/>
    </row>
    <row r="181" spans="1:14" ht="15.75">
      <c r="A181" s="95"/>
      <c r="B181" s="85" t="s">
        <v>131</v>
      </c>
      <c r="C181" s="59"/>
      <c r="D181" s="100"/>
      <c r="E181" s="100"/>
      <c r="F181" s="101"/>
      <c r="G181" s="27"/>
      <c r="H181" s="27"/>
      <c r="I181" s="27"/>
      <c r="J181" s="96">
        <v>0</v>
      </c>
      <c r="K181" s="27"/>
      <c r="L181" s="90"/>
      <c r="M181" s="99"/>
      <c r="N181" s="124"/>
    </row>
    <row r="182" spans="1:14" ht="15.75">
      <c r="A182" s="95"/>
      <c r="B182" s="85" t="s">
        <v>132</v>
      </c>
      <c r="C182" s="59"/>
      <c r="D182" s="102"/>
      <c r="E182" s="100"/>
      <c r="F182" s="101"/>
      <c r="G182" s="27"/>
      <c r="H182" s="27"/>
      <c r="I182" s="27"/>
      <c r="J182" s="103">
        <v>0</v>
      </c>
      <c r="K182" s="27"/>
      <c r="L182" s="90"/>
      <c r="M182" s="99"/>
      <c r="N182" s="124"/>
    </row>
    <row r="183" spans="1:14" ht="15.75">
      <c r="A183" s="95"/>
      <c r="B183" s="85"/>
      <c r="C183" s="59"/>
      <c r="D183" s="102"/>
      <c r="E183" s="100"/>
      <c r="F183" s="101"/>
      <c r="G183" s="27"/>
      <c r="H183" s="27"/>
      <c r="I183" s="27"/>
      <c r="J183" s="103"/>
      <c r="K183" s="27"/>
      <c r="L183" s="90"/>
      <c r="M183" s="99"/>
      <c r="N183" s="124"/>
    </row>
    <row r="184" spans="1:14" ht="15.75">
      <c r="A184" s="8"/>
      <c r="B184" s="17" t="s">
        <v>133</v>
      </c>
      <c r="C184" s="63"/>
      <c r="D184" s="94"/>
      <c r="E184" s="63"/>
      <c r="F184" s="94"/>
      <c r="G184" s="63"/>
      <c r="H184" s="94" t="s">
        <v>170</v>
      </c>
      <c r="I184" s="63" t="s">
        <v>171</v>
      </c>
      <c r="J184" s="94" t="s">
        <v>180</v>
      </c>
      <c r="K184" s="63" t="s">
        <v>171</v>
      </c>
      <c r="L184" s="18"/>
      <c r="M184" s="104"/>
      <c r="N184" s="124"/>
    </row>
    <row r="185" spans="1:14" ht="15.75">
      <c r="A185" s="26"/>
      <c r="B185" s="59" t="s">
        <v>134</v>
      </c>
      <c r="C185" s="105"/>
      <c r="D185" s="59"/>
      <c r="E185" s="105"/>
      <c r="F185" s="27"/>
      <c r="G185" s="105"/>
      <c r="H185" s="59">
        <v>3105</v>
      </c>
      <c r="I185" s="105">
        <f>H185/H191</f>
        <v>0.9872813990461049</v>
      </c>
      <c r="J185" s="58">
        <v>171560</v>
      </c>
      <c r="K185" s="106">
        <f>J185/J191</f>
        <v>0.9897254544510531</v>
      </c>
      <c r="L185" s="90"/>
      <c r="M185" s="99"/>
      <c r="N185" s="124"/>
    </row>
    <row r="186" spans="1:14" ht="15.75">
      <c r="A186" s="26"/>
      <c r="B186" s="59" t="s">
        <v>135</v>
      </c>
      <c r="C186" s="105"/>
      <c r="D186" s="59"/>
      <c r="E186" s="105"/>
      <c r="F186" s="27"/>
      <c r="G186" s="107"/>
      <c r="H186" s="59">
        <v>21</v>
      </c>
      <c r="I186" s="105">
        <f>H186/H191</f>
        <v>0.006677265500794912</v>
      </c>
      <c r="J186" s="58">
        <v>970</v>
      </c>
      <c r="K186" s="106">
        <f>J186/J191</f>
        <v>0.00559590633491211</v>
      </c>
      <c r="L186" s="90"/>
      <c r="M186" s="99"/>
      <c r="N186" s="124"/>
    </row>
    <row r="187" spans="1:14" ht="15.75">
      <c r="A187" s="26"/>
      <c r="B187" s="59" t="s">
        <v>136</v>
      </c>
      <c r="C187" s="105"/>
      <c r="D187" s="59"/>
      <c r="E187" s="105"/>
      <c r="F187" s="27"/>
      <c r="G187" s="107"/>
      <c r="H187" s="59">
        <v>2</v>
      </c>
      <c r="I187" s="105">
        <f>H187/H191</f>
        <v>0.0006359300476947536</v>
      </c>
      <c r="J187" s="58">
        <v>130</v>
      </c>
      <c r="K187" s="106">
        <f>J187/J191</f>
        <v>0.0007499668283902827</v>
      </c>
      <c r="L187" s="90"/>
      <c r="M187" s="99"/>
      <c r="N187" s="124"/>
    </row>
    <row r="188" spans="1:14" ht="15.75">
      <c r="A188" s="26"/>
      <c r="B188" s="59" t="s">
        <v>137</v>
      </c>
      <c r="C188" s="105"/>
      <c r="D188" s="59"/>
      <c r="E188" s="105"/>
      <c r="F188" s="27"/>
      <c r="G188" s="107"/>
      <c r="H188" s="59">
        <v>17</v>
      </c>
      <c r="I188" s="105">
        <f>H188/H191</f>
        <v>0.005405405405405406</v>
      </c>
      <c r="J188" s="58">
        <f>126+298+85+172</f>
        <v>681</v>
      </c>
      <c r="K188" s="106">
        <f>J188/$J191</f>
        <v>0.003928672385644481</v>
      </c>
      <c r="L188" s="90"/>
      <c r="M188" s="99"/>
      <c r="N188" s="124"/>
    </row>
    <row r="189" spans="1:14" ht="15.75">
      <c r="A189" s="26"/>
      <c r="B189" s="30"/>
      <c r="C189" s="105"/>
      <c r="D189" s="59"/>
      <c r="E189" s="105"/>
      <c r="F189" s="27"/>
      <c r="G189" s="107"/>
      <c r="H189" s="59"/>
      <c r="I189" s="105"/>
      <c r="J189" s="58"/>
      <c r="K189" s="106"/>
      <c r="L189" s="90"/>
      <c r="M189" s="99"/>
      <c r="N189" s="124"/>
    </row>
    <row r="190" spans="1:14" ht="15.75">
      <c r="A190" s="26"/>
      <c r="B190" s="59"/>
      <c r="C190" s="108"/>
      <c r="D190" s="97"/>
      <c r="E190" s="108"/>
      <c r="F190" s="27"/>
      <c r="G190" s="108"/>
      <c r="H190" s="97"/>
      <c r="I190" s="108"/>
      <c r="J190" s="58"/>
      <c r="K190" s="106"/>
      <c r="L190" s="90"/>
      <c r="M190" s="99"/>
      <c r="N190" s="124"/>
    </row>
    <row r="191" spans="1:14" ht="15.75">
      <c r="A191" s="26"/>
      <c r="B191" s="27"/>
      <c r="C191" s="27"/>
      <c r="D191" s="27"/>
      <c r="E191" s="27"/>
      <c r="F191" s="27"/>
      <c r="G191" s="27"/>
      <c r="H191" s="37">
        <f>SUM(H185:H189)</f>
        <v>3145</v>
      </c>
      <c r="I191" s="109">
        <f>SUM(I185:I190)</f>
        <v>1</v>
      </c>
      <c r="J191" s="58">
        <f>SUM(J185:J190)</f>
        <v>173341</v>
      </c>
      <c r="K191" s="109">
        <f>SUM(K185:K190)</f>
        <v>0.9999999999999999</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5"/>
      <c r="K194" s="15"/>
      <c r="L194" s="15"/>
      <c r="M194" s="15"/>
      <c r="N194" s="124"/>
    </row>
    <row r="195" spans="1:14" ht="15.75">
      <c r="A195" s="117"/>
      <c r="B195" s="15"/>
      <c r="C195" s="15"/>
      <c r="D195" s="10"/>
      <c r="E195" s="10"/>
      <c r="F195" s="10"/>
      <c r="G195" s="15"/>
      <c r="H195" s="15"/>
      <c r="I195" s="15"/>
      <c r="J195" s="15"/>
      <c r="K195" s="15"/>
      <c r="L195" s="15"/>
      <c r="M195" s="15"/>
      <c r="N195" s="124"/>
    </row>
    <row r="196" spans="1:14" ht="15.75">
      <c r="A196" s="117"/>
      <c r="B196" s="16" t="s">
        <v>139</v>
      </c>
      <c r="C196" s="118"/>
      <c r="D196" s="119" t="s">
        <v>147</v>
      </c>
      <c r="E196" s="16"/>
      <c r="F196" s="16" t="s">
        <v>160</v>
      </c>
      <c r="G196" s="118"/>
      <c r="H196" s="118"/>
      <c r="I196" s="15"/>
      <c r="J196" s="15"/>
      <c r="K196" s="15"/>
      <c r="L196" s="15"/>
      <c r="M196" s="15"/>
      <c r="N196" s="124"/>
    </row>
    <row r="197" spans="1:14" ht="15.75">
      <c r="A197" s="117"/>
      <c r="B197" s="16" t="s">
        <v>140</v>
      </c>
      <c r="C197" s="118"/>
      <c r="D197" s="119" t="s">
        <v>148</v>
      </c>
      <c r="E197" s="16"/>
      <c r="F197" s="16" t="s">
        <v>161</v>
      </c>
      <c r="G197" s="118"/>
      <c r="H197" s="118"/>
      <c r="I197" s="15"/>
      <c r="J197" s="15"/>
      <c r="K197" s="15"/>
      <c r="L197" s="15"/>
      <c r="M197" s="15"/>
      <c r="N197" s="124"/>
    </row>
    <row r="198" spans="1:14" ht="15.75">
      <c r="A198" s="117"/>
      <c r="B198" s="16"/>
      <c r="C198" s="118"/>
      <c r="D198" s="119"/>
      <c r="E198" s="16"/>
      <c r="F198" s="16"/>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8.75">
      <c r="A200" s="117"/>
      <c r="B200" s="54" t="s">
        <v>199</v>
      </c>
      <c r="C200" s="118"/>
      <c r="D200" s="119"/>
      <c r="E200" s="16"/>
      <c r="F200" s="16"/>
      <c r="G200" s="118"/>
      <c r="H200" s="118"/>
      <c r="I200" s="15"/>
      <c r="J200" s="15"/>
      <c r="K200" s="15"/>
      <c r="L200" s="15"/>
      <c r="M200" s="15"/>
      <c r="N200" s="124"/>
    </row>
    <row r="201" spans="1:13" ht="15">
      <c r="A201" s="125"/>
      <c r="B201" s="125"/>
      <c r="C201" s="125"/>
      <c r="D201" s="125"/>
      <c r="E201" s="125"/>
      <c r="F201" s="125"/>
      <c r="G201" s="125"/>
      <c r="H201" s="125"/>
      <c r="I201" s="125"/>
      <c r="J201" s="125"/>
      <c r="K201" s="125"/>
      <c r="L201" s="125"/>
      <c r="M201"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3" max="13" man="1"/>
    <brk id="152" max="13" man="1"/>
  </rowBreaks>
  <drawing r:id="rId1"/>
</worksheet>
</file>

<file path=xl/worksheets/sheet6.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9.445312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37161</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25"/>
      <c r="J22" s="24"/>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163</v>
      </c>
      <c r="I25" s="33"/>
      <c r="J25" s="29"/>
      <c r="K25" s="30"/>
      <c r="L25" s="30"/>
      <c r="M25" s="27"/>
      <c r="N25" s="124"/>
    </row>
    <row r="26" spans="1:14" ht="15.75">
      <c r="A26" s="31"/>
      <c r="B26" s="32" t="s">
        <v>14</v>
      </c>
      <c r="C26" s="32"/>
      <c r="D26" s="33"/>
      <c r="E26" s="33"/>
      <c r="F26" s="33" t="s">
        <v>151</v>
      </c>
      <c r="G26" s="33"/>
      <c r="H26" s="33" t="s">
        <v>164</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0.929979</v>
      </c>
      <c r="D30" s="34"/>
      <c r="E30" s="35"/>
      <c r="F30" s="34">
        <f>166500*C30</f>
        <v>154841.5035</v>
      </c>
      <c r="G30" s="34"/>
      <c r="H30" s="34">
        <v>18500</v>
      </c>
      <c r="I30" s="34"/>
      <c r="J30" s="34"/>
      <c r="K30" s="36"/>
      <c r="L30" s="34">
        <f>H30+F30</f>
        <v>173341.5035</v>
      </c>
      <c r="M30" s="37"/>
      <c r="N30" s="124"/>
    </row>
    <row r="31" spans="1:14" ht="12.75" customHeight="1">
      <c r="A31" s="31"/>
      <c r="B31" s="32" t="s">
        <v>18</v>
      </c>
      <c r="C31" s="39">
        <v>0.903514</v>
      </c>
      <c r="D31" s="40"/>
      <c r="E31" s="41"/>
      <c r="F31" s="40">
        <f>166500*C31*1</f>
        <v>150435.081</v>
      </c>
      <c r="G31" s="40"/>
      <c r="H31" s="40">
        <v>18500</v>
      </c>
      <c r="I31" s="40"/>
      <c r="J31" s="40"/>
      <c r="K31" s="42"/>
      <c r="L31" s="40">
        <f>H31+F31+D31</f>
        <v>168935.081</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v>0.0556625</v>
      </c>
      <c r="G33" s="45"/>
      <c r="H33" s="44">
        <v>0.0614125</v>
      </c>
      <c r="I33" s="45"/>
      <c r="J33" s="44"/>
      <c r="K33" s="30"/>
      <c r="L33" s="45">
        <f>SUMPRODUCT(F33:H33,F30:H30)/L30</f>
        <v>0.05627617299724615</v>
      </c>
      <c r="M33" s="27"/>
      <c r="N33" s="124"/>
    </row>
    <row r="34" spans="1:14" ht="15.75">
      <c r="A34" s="26"/>
      <c r="B34" s="27" t="s">
        <v>21</v>
      </c>
      <c r="C34" s="27"/>
      <c r="D34" s="44"/>
      <c r="E34" s="27"/>
      <c r="F34" s="44">
        <f>(5.79625)/100</f>
        <v>0.0579625</v>
      </c>
      <c r="G34" s="45"/>
      <c r="H34" s="44">
        <f>(6.37125)/100</f>
        <v>0.0637125</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46"/>
      <c r="I38" s="46"/>
      <c r="J38" s="46"/>
      <c r="K38" s="46"/>
      <c r="L38" s="46"/>
      <c r="M38" s="27"/>
      <c r="N38" s="124"/>
    </row>
    <row r="39" spans="1:14" ht="15.75">
      <c r="A39" s="26"/>
      <c r="B39" s="27" t="s">
        <v>25</v>
      </c>
      <c r="C39" s="27"/>
      <c r="D39" s="27"/>
      <c r="E39" s="27"/>
      <c r="F39" s="27"/>
      <c r="G39" s="27"/>
      <c r="H39" s="27"/>
      <c r="I39" s="27"/>
      <c r="J39" s="27"/>
      <c r="K39" s="27"/>
      <c r="L39" s="45">
        <f>H29/F29</f>
        <v>0.1111111111111111</v>
      </c>
      <c r="M39" s="27"/>
      <c r="N39" s="124"/>
    </row>
    <row r="40" spans="1:14" ht="15.75">
      <c r="A40" s="26"/>
      <c r="B40" s="27" t="s">
        <v>26</v>
      </c>
      <c r="C40" s="27"/>
      <c r="D40" s="27"/>
      <c r="E40" s="27"/>
      <c r="F40" s="27"/>
      <c r="G40" s="27"/>
      <c r="H40" s="27"/>
      <c r="I40" s="27"/>
      <c r="J40" s="27"/>
      <c r="K40" s="27"/>
      <c r="L40" s="45">
        <f>H31/F31</f>
        <v>0.12297663468536305</v>
      </c>
      <c r="M40" s="27"/>
      <c r="N40" s="124"/>
    </row>
    <row r="41" spans="1:14" ht="15.75">
      <c r="A41" s="26"/>
      <c r="B41" s="27" t="s">
        <v>27</v>
      </c>
      <c r="C41" s="27"/>
      <c r="D41" s="27"/>
      <c r="E41" s="27"/>
      <c r="F41" s="27"/>
      <c r="G41" s="27"/>
      <c r="H41" s="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37151</v>
      </c>
      <c r="M44" s="27"/>
      <c r="N44" s="124"/>
    </row>
    <row r="45" spans="1:14" ht="15.75">
      <c r="A45" s="26"/>
      <c r="B45" s="27" t="s">
        <v>30</v>
      </c>
      <c r="C45" s="27"/>
      <c r="D45" s="27"/>
      <c r="E45" s="27"/>
      <c r="F45" s="27"/>
      <c r="G45" s="27"/>
      <c r="H45" s="27"/>
      <c r="I45" s="27">
        <f>L45-J45+1</f>
        <v>92</v>
      </c>
      <c r="J45" s="50">
        <v>36965</v>
      </c>
      <c r="K45" s="51"/>
      <c r="L45" s="50">
        <v>37056</v>
      </c>
      <c r="M45" s="27"/>
      <c r="N45" s="124"/>
    </row>
    <row r="46" spans="1:14" ht="15.75">
      <c r="A46" s="26"/>
      <c r="B46" s="27" t="s">
        <v>31</v>
      </c>
      <c r="C46" s="27"/>
      <c r="D46" s="27"/>
      <c r="E46" s="27"/>
      <c r="F46" s="27"/>
      <c r="G46" s="27"/>
      <c r="H46" s="27"/>
      <c r="I46" s="27">
        <f>L46-J46+1</f>
        <v>94</v>
      </c>
      <c r="J46" s="50">
        <v>37057</v>
      </c>
      <c r="K46" s="51"/>
      <c r="L46" s="50">
        <v>37150</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37142</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9.5" thickBot="1">
      <c r="A51" s="129"/>
      <c r="B51" s="130" t="s">
        <v>200</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173342</v>
      </c>
      <c r="E56" s="37"/>
      <c r="F56" s="37">
        <f>4407+1652+1</f>
        <v>6060</v>
      </c>
      <c r="G56" s="37"/>
      <c r="H56" s="37">
        <v>1652</v>
      </c>
      <c r="I56" s="37"/>
      <c r="J56" s="37">
        <v>0</v>
      </c>
      <c r="K56" s="37"/>
      <c r="L56" s="58">
        <f>D56-F56+H56-J56</f>
        <v>168934</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173342</v>
      </c>
      <c r="E59" s="37"/>
      <c r="F59" s="37">
        <f>SUM(F56:F58)</f>
        <v>6060</v>
      </c>
      <c r="G59" s="37"/>
      <c r="H59" s="37">
        <f>SUM(H56:H58)</f>
        <v>1652</v>
      </c>
      <c r="I59" s="37"/>
      <c r="J59" s="37">
        <f>SUM(J56:J58)</f>
        <v>0</v>
      </c>
      <c r="K59" s="37"/>
      <c r="L59" s="59">
        <f>SUM(L56:L58)</f>
        <v>168934</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f>L125</f>
        <v>0</v>
      </c>
      <c r="E70" s="37"/>
      <c r="F70" s="37"/>
      <c r="G70" s="37"/>
      <c r="H70" s="37"/>
      <c r="I70" s="37"/>
      <c r="J70" s="37"/>
      <c r="K70" s="37"/>
      <c r="L70" s="59">
        <v>1</v>
      </c>
      <c r="M70" s="27"/>
      <c r="N70" s="124"/>
    </row>
    <row r="71" spans="1:14" ht="15.75">
      <c r="A71" s="26"/>
      <c r="B71" s="27" t="s">
        <v>44</v>
      </c>
      <c r="C71" s="59">
        <f>SUM(C59:C70)</f>
        <v>185000</v>
      </c>
      <c r="D71" s="59">
        <f>SUM(D59:D70)</f>
        <v>173342</v>
      </c>
      <c r="E71" s="37"/>
      <c r="F71" s="59"/>
      <c r="G71" s="37"/>
      <c r="H71" s="59"/>
      <c r="I71" s="37"/>
      <c r="J71" s="59"/>
      <c r="K71" s="37"/>
      <c r="L71" s="59">
        <f>SUM(L59:L70)</f>
        <v>168935</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v>37134</v>
      </c>
      <c r="E75" s="27"/>
      <c r="F75" s="27"/>
      <c r="G75" s="27"/>
      <c r="H75" s="27"/>
      <c r="I75" s="27"/>
      <c r="J75" s="37">
        <f>6060-1</f>
        <v>6059</v>
      </c>
      <c r="K75" s="27"/>
      <c r="L75" s="58"/>
      <c r="M75" s="27"/>
      <c r="N75" s="124"/>
    </row>
    <row r="76" spans="1:14" ht="15.75">
      <c r="A76" s="26"/>
      <c r="B76" s="27" t="s">
        <v>48</v>
      </c>
      <c r="C76" s="27"/>
      <c r="D76" s="27"/>
      <c r="E76" s="27"/>
      <c r="F76" s="27"/>
      <c r="G76" s="27"/>
      <c r="H76" s="27"/>
      <c r="I76" s="27"/>
      <c r="J76" s="37"/>
      <c r="K76" s="27"/>
      <c r="L76" s="58">
        <f>3317-4</f>
        <v>3313</v>
      </c>
      <c r="M76" s="27"/>
      <c r="N76" s="124"/>
    </row>
    <row r="77" spans="1:14" ht="15.75">
      <c r="A77" s="26"/>
      <c r="B77" s="27" t="s">
        <v>49</v>
      </c>
      <c r="C77" s="27"/>
      <c r="D77" s="27"/>
      <c r="E77" s="27"/>
      <c r="F77" s="27"/>
      <c r="G77" s="27"/>
      <c r="H77" s="27"/>
      <c r="I77" s="27"/>
      <c r="J77" s="37"/>
      <c r="K77" s="27"/>
      <c r="L77" s="58">
        <v>69</v>
      </c>
      <c r="M77" s="27"/>
      <c r="N77" s="124"/>
    </row>
    <row r="78" spans="1:14" ht="15.75">
      <c r="A78" s="26"/>
      <c r="B78" s="27" t="s">
        <v>50</v>
      </c>
      <c r="C78" s="27"/>
      <c r="D78" s="27"/>
      <c r="E78" s="27"/>
      <c r="F78" s="27"/>
      <c r="G78" s="27"/>
      <c r="H78" s="27"/>
      <c r="I78" s="27"/>
      <c r="J78" s="37">
        <f>SUM(J74:J77)</f>
        <v>6059</v>
      </c>
      <c r="K78" s="27"/>
      <c r="L78" s="59">
        <f>SUM(L74:L77)</f>
        <v>3382</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6059</v>
      </c>
      <c r="K80" s="27"/>
      <c r="L80" s="59">
        <f>L78+L79</f>
        <v>3382</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v>-145</v>
      </c>
      <c r="M84" s="27"/>
      <c r="N84" s="124"/>
    </row>
    <row r="85" spans="1:14" ht="15.75">
      <c r="A85" s="26">
        <v>4</v>
      </c>
      <c r="B85" s="27" t="s">
        <v>57</v>
      </c>
      <c r="C85" s="27"/>
      <c r="D85" s="27"/>
      <c r="E85" s="27"/>
      <c r="F85" s="27"/>
      <c r="G85" s="27"/>
      <c r="H85" s="27"/>
      <c r="I85" s="27"/>
      <c r="J85" s="27"/>
      <c r="K85" s="27"/>
      <c r="L85" s="58">
        <v>-168</v>
      </c>
      <c r="M85" s="27"/>
      <c r="N85" s="124"/>
    </row>
    <row r="86" spans="1:14" ht="15.75">
      <c r="A86" s="26">
        <v>5</v>
      </c>
      <c r="B86" s="27" t="s">
        <v>58</v>
      </c>
      <c r="C86" s="27"/>
      <c r="D86" s="27"/>
      <c r="E86" s="27"/>
      <c r="F86" s="27"/>
      <c r="G86" s="27"/>
      <c r="H86" s="27"/>
      <c r="I86" s="27"/>
      <c r="J86" s="27"/>
      <c r="K86" s="27"/>
      <c r="L86" s="58">
        <v>-2220</v>
      </c>
      <c r="M86" s="27"/>
      <c r="N86" s="124"/>
    </row>
    <row r="87" spans="1:14" ht="15.75">
      <c r="A87" s="26">
        <v>6</v>
      </c>
      <c r="B87" s="27" t="s">
        <v>59</v>
      </c>
      <c r="C87" s="27"/>
      <c r="D87" s="27"/>
      <c r="E87" s="27"/>
      <c r="F87" s="27"/>
      <c r="G87" s="27"/>
      <c r="H87" s="27"/>
      <c r="I87" s="27"/>
      <c r="J87" s="27"/>
      <c r="K87" s="27"/>
      <c r="L87" s="58">
        <v>-293</v>
      </c>
      <c r="M87" s="27"/>
      <c r="N87" s="124"/>
    </row>
    <row r="88" spans="1:14" ht="15.75">
      <c r="A88" s="26">
        <v>7</v>
      </c>
      <c r="B88" s="27" t="s">
        <v>60</v>
      </c>
      <c r="C88" s="27"/>
      <c r="D88" s="27"/>
      <c r="E88" s="27"/>
      <c r="F88" s="27"/>
      <c r="G88" s="27"/>
      <c r="H88" s="27"/>
      <c r="I88" s="27"/>
      <c r="J88" s="27"/>
      <c r="K88" s="27"/>
      <c r="L88" s="58">
        <v>-3</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-1</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v>-131</v>
      </c>
      <c r="M93" s="27"/>
      <c r="N93" s="124"/>
    </row>
    <row r="94" spans="1:14" ht="15.75">
      <c r="A94" s="26">
        <v>13</v>
      </c>
      <c r="B94" s="27" t="s">
        <v>66</v>
      </c>
      <c r="C94" s="27"/>
      <c r="D94" s="27"/>
      <c r="E94" s="27"/>
      <c r="F94" s="27"/>
      <c r="G94" s="27"/>
      <c r="H94" s="27"/>
      <c r="I94" s="27"/>
      <c r="J94" s="27"/>
      <c r="K94" s="27"/>
      <c r="L94" s="58">
        <f>-SUM(L80:L93)</f>
        <v>-417</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-31</v>
      </c>
      <c r="K96" s="37"/>
      <c r="L96" s="58"/>
      <c r="M96" s="27"/>
      <c r="N96" s="124"/>
    </row>
    <row r="97" spans="1:14" ht="15.75">
      <c r="A97" s="26"/>
      <c r="B97" s="27" t="s">
        <v>69</v>
      </c>
      <c r="C97" s="27"/>
      <c r="D97" s="27"/>
      <c r="E97" s="27"/>
      <c r="F97" s="27"/>
      <c r="G97" s="27"/>
      <c r="H97" s="27"/>
      <c r="I97" s="27"/>
      <c r="J97" s="37">
        <f>-H141</f>
        <v>-1621</v>
      </c>
      <c r="K97" s="37"/>
      <c r="L97" s="58"/>
      <c r="M97" s="27"/>
      <c r="N97" s="124"/>
    </row>
    <row r="98" spans="1:14" ht="15.75">
      <c r="A98" s="26"/>
      <c r="B98" s="27" t="s">
        <v>70</v>
      </c>
      <c r="C98" s="27"/>
      <c r="D98" s="27"/>
      <c r="E98" s="27"/>
      <c r="F98" s="27"/>
      <c r="G98" s="27"/>
      <c r="H98" s="27"/>
      <c r="I98" s="27"/>
      <c r="J98" s="37">
        <v>-4407</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-6059</v>
      </c>
      <c r="K100" s="37"/>
      <c r="L100" s="37">
        <f>SUM(L81:L99)</f>
        <v>-3382</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 customHeight="1">
      <c r="A102" s="8"/>
      <c r="B102" s="10"/>
      <c r="C102" s="10"/>
      <c r="D102" s="10"/>
      <c r="E102" s="10"/>
      <c r="F102" s="10"/>
      <c r="G102" s="10"/>
      <c r="H102" s="10"/>
      <c r="I102" s="10"/>
      <c r="J102" s="10"/>
      <c r="K102" s="10"/>
      <c r="L102" s="57"/>
      <c r="M102" s="10"/>
      <c r="N102" s="124"/>
    </row>
    <row r="103" spans="1:14" ht="12" customHeight="1">
      <c r="A103" s="8"/>
      <c r="B103" s="10"/>
      <c r="C103" s="10"/>
      <c r="D103" s="10"/>
      <c r="E103" s="10"/>
      <c r="F103" s="10"/>
      <c r="G103" s="10"/>
      <c r="H103" s="10"/>
      <c r="I103" s="10"/>
      <c r="J103" s="10"/>
      <c r="K103" s="10"/>
      <c r="L103" s="57"/>
      <c r="M103" s="10"/>
      <c r="N103" s="124"/>
    </row>
    <row r="104" spans="1:14" ht="16.5" customHeight="1" thickBot="1">
      <c r="A104" s="129"/>
      <c r="B104" s="130" t="s">
        <v>200</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30"/>
      <c r="D120" s="30"/>
      <c r="E120" s="30"/>
      <c r="F120" s="30"/>
      <c r="G120" s="30"/>
      <c r="H120" s="30"/>
      <c r="I120" s="30"/>
      <c r="J120" s="30"/>
      <c r="K120" s="30"/>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-1</v>
      </c>
      <c r="M126" s="27"/>
      <c r="N126" s="124"/>
    </row>
    <row r="127" spans="1:14" ht="15.75">
      <c r="A127" s="26"/>
      <c r="B127" s="27" t="s">
        <v>90</v>
      </c>
      <c r="C127" s="27"/>
      <c r="D127" s="27"/>
      <c r="E127" s="27"/>
      <c r="F127" s="27"/>
      <c r="G127" s="27"/>
      <c r="H127" s="27"/>
      <c r="I127" s="27"/>
      <c r="J127" s="27"/>
      <c r="K127" s="27"/>
      <c r="L127" s="58">
        <f>L126+L125</f>
        <v>-1</v>
      </c>
      <c r="M127" s="27"/>
      <c r="N127" s="124"/>
    </row>
    <row r="128" spans="1:14" ht="15.75">
      <c r="A128" s="26"/>
      <c r="B128" s="27" t="s">
        <v>91</v>
      </c>
      <c r="C128" s="27"/>
      <c r="D128" s="27"/>
      <c r="E128" s="27"/>
      <c r="F128" s="27"/>
      <c r="G128" s="27"/>
      <c r="H128" s="72"/>
      <c r="I128" s="27"/>
      <c r="J128" s="27"/>
      <c r="K128" s="27"/>
      <c r="L128" s="58">
        <v>1</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168934</v>
      </c>
      <c r="M134" s="27"/>
      <c r="N134" s="124"/>
    </row>
    <row r="135" spans="1:14" ht="15.75">
      <c r="A135" s="26"/>
      <c r="B135" s="27" t="s">
        <v>95</v>
      </c>
      <c r="C135" s="73"/>
      <c r="D135" s="27"/>
      <c r="E135" s="27"/>
      <c r="F135" s="27"/>
      <c r="G135" s="27"/>
      <c r="H135" s="27"/>
      <c r="I135" s="27"/>
      <c r="J135" s="27"/>
      <c r="K135" s="27"/>
      <c r="L135" s="58">
        <f>L71</f>
        <v>168935</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6141</v>
      </c>
      <c r="I140" s="27"/>
      <c r="J140" s="58">
        <v>501</v>
      </c>
      <c r="K140" s="27"/>
      <c r="L140" s="58">
        <f>J140+H140</f>
        <v>6642</v>
      </c>
      <c r="M140" s="27"/>
      <c r="N140" s="124"/>
    </row>
    <row r="141" spans="1:14" ht="15.75">
      <c r="A141" s="26"/>
      <c r="B141" s="27" t="s">
        <v>99</v>
      </c>
      <c r="C141" s="27"/>
      <c r="D141" s="27"/>
      <c r="E141" s="27"/>
      <c r="F141" s="27"/>
      <c r="G141" s="27"/>
      <c r="H141" s="58">
        <v>1621</v>
      </c>
      <c r="I141" s="27"/>
      <c r="J141" s="58">
        <v>31</v>
      </c>
      <c r="K141" s="27"/>
      <c r="L141" s="58">
        <f>J141+H141</f>
        <v>1652</v>
      </c>
      <c r="M141" s="27"/>
      <c r="N141" s="124"/>
    </row>
    <row r="142" spans="1:14" ht="15.75">
      <c r="A142" s="26"/>
      <c r="B142" s="27" t="s">
        <v>100</v>
      </c>
      <c r="C142" s="27"/>
      <c r="D142" s="27"/>
      <c r="E142" s="27"/>
      <c r="F142" s="27"/>
      <c r="G142" s="27"/>
      <c r="H142" s="58">
        <f>H140+H141</f>
        <v>7762</v>
      </c>
      <c r="I142" s="27"/>
      <c r="J142" s="58">
        <f>J141+J140</f>
        <v>532</v>
      </c>
      <c r="K142" s="27"/>
      <c r="L142" s="58">
        <f>J142+H142</f>
        <v>8294</v>
      </c>
      <c r="M142" s="27"/>
      <c r="N142" s="124"/>
    </row>
    <row r="143" spans="1:14" ht="15.75">
      <c r="A143" s="26"/>
      <c r="B143" s="27" t="s">
        <v>101</v>
      </c>
      <c r="C143" s="27"/>
      <c r="D143" s="27"/>
      <c r="E143" s="27"/>
      <c r="F143" s="27"/>
      <c r="G143" s="27"/>
      <c r="H143" s="58">
        <f>H139-H142-J142</f>
        <v>11706</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1.3806306306306306</v>
      </c>
      <c r="M147" s="27" t="s">
        <v>189</v>
      </c>
      <c r="N147" s="124"/>
    </row>
    <row r="148" spans="1:14" ht="15.75">
      <c r="A148" s="26"/>
      <c r="B148" s="27" t="s">
        <v>104</v>
      </c>
      <c r="C148" s="27"/>
      <c r="D148" s="27"/>
      <c r="E148" s="27"/>
      <c r="F148" s="27"/>
      <c r="G148" s="27"/>
      <c r="H148" s="27"/>
      <c r="I148" s="27"/>
      <c r="J148" s="27"/>
      <c r="K148" s="27"/>
      <c r="L148" s="66">
        <v>1.3</v>
      </c>
      <c r="M148" s="27" t="s">
        <v>189</v>
      </c>
      <c r="N148" s="124"/>
    </row>
    <row r="149" spans="1:14" ht="15.75">
      <c r="A149" s="26"/>
      <c r="B149" s="27" t="s">
        <v>105</v>
      </c>
      <c r="C149" s="27"/>
      <c r="D149" s="27"/>
      <c r="E149" s="27"/>
      <c r="F149" s="27"/>
      <c r="G149" s="27"/>
      <c r="H149" s="27"/>
      <c r="I149" s="27"/>
      <c r="J149" s="27"/>
      <c r="K149" s="27"/>
      <c r="L149" s="66">
        <f>(L80+SUM(L82:L86))/-L87</f>
        <v>2.8839590443686007</v>
      </c>
      <c r="M149" s="27" t="s">
        <v>189</v>
      </c>
      <c r="N149" s="124"/>
    </row>
    <row r="150" spans="1:14" ht="15.75">
      <c r="A150" s="26"/>
      <c r="B150" s="27" t="s">
        <v>106</v>
      </c>
      <c r="C150" s="27"/>
      <c r="D150" s="27"/>
      <c r="E150" s="27"/>
      <c r="F150" s="27"/>
      <c r="G150" s="27"/>
      <c r="H150" s="27"/>
      <c r="I150" s="27"/>
      <c r="J150" s="27"/>
      <c r="K150" s="27"/>
      <c r="L150" s="75">
        <v>2.43</v>
      </c>
      <c r="M150" s="27" t="s">
        <v>189</v>
      </c>
      <c r="N150" s="124"/>
    </row>
    <row r="151" spans="1:14" ht="13.5" customHeight="1">
      <c r="A151" s="26"/>
      <c r="B151" s="27"/>
      <c r="C151" s="27"/>
      <c r="D151" s="27"/>
      <c r="E151" s="27"/>
      <c r="F151" s="27"/>
      <c r="G151" s="27"/>
      <c r="H151" s="27"/>
      <c r="I151" s="27"/>
      <c r="J151" s="27"/>
      <c r="K151" s="27"/>
      <c r="L151" s="27"/>
      <c r="M151" s="27"/>
      <c r="N151" s="124"/>
    </row>
    <row r="152" spans="1:14" ht="13.5" customHeight="1">
      <c r="A152" s="8"/>
      <c r="B152" s="10"/>
      <c r="C152" s="10"/>
      <c r="D152" s="10"/>
      <c r="E152" s="10"/>
      <c r="F152" s="10"/>
      <c r="G152" s="10"/>
      <c r="H152" s="10"/>
      <c r="I152" s="10"/>
      <c r="J152" s="10"/>
      <c r="K152" s="10"/>
      <c r="L152" s="10"/>
      <c r="M152" s="10"/>
      <c r="N152" s="124"/>
    </row>
    <row r="153" spans="1:14" ht="19.5" thickBot="1">
      <c r="A153" s="129"/>
      <c r="B153" s="130" t="s">
        <v>200</v>
      </c>
      <c r="C153" s="131"/>
      <c r="D153" s="131"/>
      <c r="E153" s="131"/>
      <c r="F153" s="131"/>
      <c r="G153" s="131"/>
      <c r="H153" s="131"/>
      <c r="I153" s="131"/>
      <c r="J153" s="131"/>
      <c r="K153" s="131"/>
      <c r="L153" s="131"/>
      <c r="M153" s="134"/>
      <c r="N153" s="124"/>
    </row>
    <row r="154" spans="1:14" ht="15.75">
      <c r="A154" s="2"/>
      <c r="B154" s="76"/>
      <c r="C154" s="76"/>
      <c r="D154" s="76"/>
      <c r="E154" s="76"/>
      <c r="F154" s="76"/>
      <c r="G154" s="76"/>
      <c r="H154" s="76"/>
      <c r="I154" s="76"/>
      <c r="J154" s="76"/>
      <c r="K154" s="76"/>
      <c r="L154" s="76"/>
      <c r="M154" s="76"/>
      <c r="N154" s="124"/>
    </row>
    <row r="155" spans="1:14" ht="15.75">
      <c r="A155" s="77"/>
      <c r="B155" s="56" t="s">
        <v>107</v>
      </c>
      <c r="C155" s="78"/>
      <c r="D155" s="78"/>
      <c r="E155" s="78"/>
      <c r="F155" s="78"/>
      <c r="G155" s="20"/>
      <c r="H155" s="20"/>
      <c r="I155" s="20"/>
      <c r="J155" s="20">
        <v>37134</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0.07055</v>
      </c>
      <c r="K160" s="27"/>
      <c r="L160" s="27"/>
      <c r="M160" s="27"/>
      <c r="N160" s="124"/>
    </row>
    <row r="161" spans="1:14" ht="15.75">
      <c r="A161" s="84"/>
      <c r="B161" s="85" t="s">
        <v>112</v>
      </c>
      <c r="C161" s="86"/>
      <c r="D161" s="86"/>
      <c r="E161" s="86"/>
      <c r="F161" s="86"/>
      <c r="G161" s="72"/>
      <c r="H161" s="72"/>
      <c r="I161" s="72"/>
      <c r="J161" s="87">
        <f>L33</f>
        <v>0.05627617299724615</v>
      </c>
      <c r="K161" s="27"/>
      <c r="L161" s="27"/>
      <c r="M161" s="27"/>
      <c r="N161" s="124"/>
    </row>
    <row r="162" spans="1:14" ht="15.75">
      <c r="A162" s="84"/>
      <c r="B162" s="85" t="s">
        <v>113</v>
      </c>
      <c r="C162" s="86"/>
      <c r="D162" s="86"/>
      <c r="E162" s="86"/>
      <c r="F162" s="86"/>
      <c r="G162" s="72"/>
      <c r="H162" s="72"/>
      <c r="I162" s="72"/>
      <c r="J162" s="87">
        <f>J160-J161</f>
        <v>0.014273827002753849</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18.24</v>
      </c>
      <c r="K166" s="27" t="s">
        <v>182</v>
      </c>
      <c r="L166" s="27"/>
      <c r="M166" s="27"/>
      <c r="N166" s="124"/>
    </row>
    <row r="167" spans="1:14" ht="15.75">
      <c r="A167" s="84"/>
      <c r="B167" s="85" t="s">
        <v>118</v>
      </c>
      <c r="C167" s="86"/>
      <c r="D167" s="86"/>
      <c r="E167" s="86"/>
      <c r="F167" s="86"/>
      <c r="G167" s="72"/>
      <c r="H167" s="72"/>
      <c r="I167" s="72"/>
      <c r="J167" s="87">
        <f>F56/'May 2001'!L56</f>
        <v>0.03495979047201486</v>
      </c>
      <c r="K167" s="27"/>
      <c r="L167" s="27"/>
      <c r="M167" s="27"/>
      <c r="N167" s="124"/>
    </row>
    <row r="168" spans="1:14" ht="15.75">
      <c r="A168" s="84"/>
      <c r="B168" s="85" t="s">
        <v>119</v>
      </c>
      <c r="C168" s="86"/>
      <c r="D168" s="86"/>
      <c r="E168" s="86"/>
      <c r="F168" s="86"/>
      <c r="G168" s="72"/>
      <c r="H168" s="72"/>
      <c r="I168" s="72"/>
      <c r="J168" s="87">
        <v>0.088</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f>15+3</f>
        <v>18</v>
      </c>
      <c r="J171" s="96">
        <f>489+112</f>
        <v>601</v>
      </c>
      <c r="K171" s="27"/>
      <c r="L171" s="90"/>
      <c r="M171" s="97"/>
      <c r="N171" s="124"/>
    </row>
    <row r="172" spans="1:14" ht="15.75">
      <c r="A172" s="95"/>
      <c r="B172" s="85" t="s">
        <v>122</v>
      </c>
      <c r="C172" s="59"/>
      <c r="D172" s="59"/>
      <c r="E172" s="59"/>
      <c r="F172" s="27"/>
      <c r="G172" s="27"/>
      <c r="H172" s="27"/>
      <c r="I172" s="28">
        <v>0</v>
      </c>
      <c r="J172" s="96">
        <v>0</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1</v>
      </c>
      <c r="J176" s="96">
        <v>1</v>
      </c>
      <c r="K176" s="27"/>
      <c r="L176" s="90"/>
      <c r="M176" s="99"/>
      <c r="N176" s="124"/>
    </row>
    <row r="177" spans="1:14" ht="15.75">
      <c r="A177" s="95"/>
      <c r="B177" s="85" t="s">
        <v>127</v>
      </c>
      <c r="C177" s="59"/>
      <c r="D177" s="59"/>
      <c r="E177" s="59"/>
      <c r="F177" s="59"/>
      <c r="G177" s="27"/>
      <c r="H177" s="27"/>
      <c r="I177" s="27">
        <v>1</v>
      </c>
      <c r="J177" s="96">
        <v>1</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v>1</v>
      </c>
      <c r="J180" s="96">
        <v>56</v>
      </c>
      <c r="K180" s="27"/>
      <c r="L180" s="90"/>
      <c r="M180" s="99"/>
      <c r="N180" s="124"/>
    </row>
    <row r="181" spans="1:14" ht="15.75">
      <c r="A181" s="95"/>
      <c r="B181" s="85" t="s">
        <v>130</v>
      </c>
      <c r="C181" s="59"/>
      <c r="D181" s="100"/>
      <c r="E181" s="100"/>
      <c r="F181" s="101"/>
      <c r="G181" s="27"/>
      <c r="H181" s="27"/>
      <c r="I181" s="27"/>
      <c r="J181" s="96">
        <v>9</v>
      </c>
      <c r="K181" s="27"/>
      <c r="L181" s="90"/>
      <c r="M181" s="99"/>
      <c r="N181" s="124"/>
    </row>
    <row r="182" spans="1:14" ht="15.75">
      <c r="A182" s="95"/>
      <c r="B182" s="85" t="s">
        <v>131</v>
      </c>
      <c r="C182" s="59"/>
      <c r="D182" s="100"/>
      <c r="E182" s="100"/>
      <c r="F182" s="101"/>
      <c r="G182" s="27"/>
      <c r="H182" s="27"/>
      <c r="I182" s="27"/>
      <c r="J182" s="96">
        <v>8</v>
      </c>
      <c r="K182" s="27"/>
      <c r="L182" s="90"/>
      <c r="M182" s="99"/>
      <c r="N182" s="124"/>
    </row>
    <row r="183" spans="1:14" ht="15.75">
      <c r="A183" s="95"/>
      <c r="B183" s="85" t="s">
        <v>132</v>
      </c>
      <c r="C183" s="59"/>
      <c r="D183" s="102"/>
      <c r="E183" s="100"/>
      <c r="F183" s="101"/>
      <c r="G183" s="27"/>
      <c r="H183" s="27"/>
      <c r="I183" s="27"/>
      <c r="J183" s="103">
        <v>1.2467</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3073</v>
      </c>
      <c r="I186" s="105">
        <f>H186/H191</f>
        <v>0.9871506585287504</v>
      </c>
      <c r="J186" s="58">
        <v>167412</v>
      </c>
      <c r="K186" s="106">
        <f>J186/J191</f>
        <v>0.990984698256726</v>
      </c>
      <c r="L186" s="90"/>
      <c r="M186" s="99"/>
      <c r="N186" s="124"/>
    </row>
    <row r="187" spans="1:14" ht="15.75">
      <c r="A187" s="26"/>
      <c r="B187" s="59" t="s">
        <v>135</v>
      </c>
      <c r="C187" s="105"/>
      <c r="D187" s="59"/>
      <c r="E187" s="105"/>
      <c r="F187" s="27"/>
      <c r="G187" s="107"/>
      <c r="H187" s="59">
        <v>16</v>
      </c>
      <c r="I187" s="105">
        <f>H187/H191</f>
        <v>0.00513973658849984</v>
      </c>
      <c r="J187" s="58">
        <v>691</v>
      </c>
      <c r="K187" s="106">
        <f>J187/J191</f>
        <v>0.00409033060052683</v>
      </c>
      <c r="L187" s="90"/>
      <c r="M187" s="99"/>
      <c r="N187" s="124"/>
    </row>
    <row r="188" spans="1:14" ht="15.75">
      <c r="A188" s="26"/>
      <c r="B188" s="59" t="s">
        <v>136</v>
      </c>
      <c r="C188" s="105"/>
      <c r="D188" s="59"/>
      <c r="E188" s="105"/>
      <c r="F188" s="27"/>
      <c r="G188" s="107"/>
      <c r="H188" s="59">
        <v>9</v>
      </c>
      <c r="I188" s="105">
        <f>H188/H191</f>
        <v>0.0028911018310311598</v>
      </c>
      <c r="J188" s="58">
        <v>311</v>
      </c>
      <c r="K188" s="106">
        <f>J188/J191</f>
        <v>0.0018409447420605558</v>
      </c>
      <c r="L188" s="90"/>
      <c r="M188" s="99"/>
      <c r="N188" s="124"/>
    </row>
    <row r="189" spans="1:14" ht="15.75">
      <c r="A189" s="26"/>
      <c r="B189" s="59" t="s">
        <v>137</v>
      </c>
      <c r="C189" s="105"/>
      <c r="D189" s="59"/>
      <c r="E189" s="105"/>
      <c r="F189" s="27"/>
      <c r="G189" s="107"/>
      <c r="H189" s="59">
        <f>5+4+1+5</f>
        <v>15</v>
      </c>
      <c r="I189" s="105">
        <f>H189/H191</f>
        <v>0.004818503051718599</v>
      </c>
      <c r="J189" s="58">
        <f>212+135+24+150</f>
        <v>521</v>
      </c>
      <c r="K189" s="106">
        <f>J189/$J191</f>
        <v>0.0030840264006866546</v>
      </c>
      <c r="L189" s="90"/>
      <c r="M189" s="99"/>
      <c r="N189" s="124"/>
    </row>
    <row r="190" spans="1:14" ht="15.75">
      <c r="A190" s="26"/>
      <c r="B190" s="30"/>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3113</v>
      </c>
      <c r="I191" s="109">
        <f>SUM(I186:I190)</f>
        <v>1</v>
      </c>
      <c r="J191" s="58">
        <f>SUM(J186:J190)</f>
        <v>168935</v>
      </c>
      <c r="K191" s="109">
        <f>SUM(K186:K190)</f>
        <v>1</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5"/>
      <c r="K194" s="15"/>
      <c r="L194" s="15"/>
      <c r="M194" s="15"/>
      <c r="N194" s="124"/>
    </row>
    <row r="195" spans="1:14" ht="15.75">
      <c r="A195" s="117"/>
      <c r="B195" s="15"/>
      <c r="C195" s="15"/>
      <c r="D195" s="10"/>
      <c r="E195" s="10"/>
      <c r="F195" s="10"/>
      <c r="G195" s="15"/>
      <c r="H195" s="15"/>
      <c r="I195" s="15"/>
      <c r="J195" s="15"/>
      <c r="K195" s="15"/>
      <c r="L195" s="15"/>
      <c r="M195" s="15"/>
      <c r="N195" s="124"/>
    </row>
    <row r="196" spans="1:14" ht="15.75">
      <c r="A196" s="117"/>
      <c r="B196" s="16" t="s">
        <v>139</v>
      </c>
      <c r="C196" s="118"/>
      <c r="D196" s="119" t="s">
        <v>147</v>
      </c>
      <c r="E196" s="16"/>
      <c r="F196" s="16" t="s">
        <v>160</v>
      </c>
      <c r="G196" s="118"/>
      <c r="H196" s="118"/>
      <c r="I196" s="15"/>
      <c r="J196" s="15"/>
      <c r="K196" s="15"/>
      <c r="L196" s="15"/>
      <c r="M196" s="15"/>
      <c r="N196" s="124"/>
    </row>
    <row r="197" spans="1:14" ht="15.75">
      <c r="A197" s="117"/>
      <c r="B197" s="16" t="s">
        <v>140</v>
      </c>
      <c r="C197" s="118"/>
      <c r="D197" s="119" t="s">
        <v>148</v>
      </c>
      <c r="E197" s="16"/>
      <c r="F197" s="16" t="s">
        <v>161</v>
      </c>
      <c r="G197" s="118"/>
      <c r="H197" s="118"/>
      <c r="I197" s="15"/>
      <c r="J197" s="15"/>
      <c r="K197" s="15"/>
      <c r="L197" s="15"/>
      <c r="M197" s="15"/>
      <c r="N197" s="124"/>
    </row>
    <row r="198" spans="1:14" ht="15.75">
      <c r="A198" s="117"/>
      <c r="B198" s="16"/>
      <c r="C198" s="118"/>
      <c r="D198" s="119"/>
      <c r="E198" s="16"/>
      <c r="F198" s="16"/>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8.75">
      <c r="A200" s="117"/>
      <c r="B200" s="54" t="s">
        <v>200</v>
      </c>
      <c r="C200" s="118"/>
      <c r="D200" s="119"/>
      <c r="E200" s="16"/>
      <c r="F200" s="16"/>
      <c r="G200" s="118"/>
      <c r="H200" s="118"/>
      <c r="I200" s="15"/>
      <c r="J200" s="15"/>
      <c r="K200" s="15"/>
      <c r="L200" s="15"/>
      <c r="M200" s="15"/>
      <c r="N200" s="124"/>
    </row>
    <row r="201" spans="1:13" ht="15">
      <c r="A201" s="125"/>
      <c r="B201" s="125"/>
      <c r="C201" s="125"/>
      <c r="D201" s="125"/>
      <c r="E201" s="125"/>
      <c r="F201" s="125"/>
      <c r="G201" s="125"/>
      <c r="H201" s="125"/>
      <c r="I201" s="125"/>
      <c r="J201" s="125"/>
      <c r="K201" s="125"/>
      <c r="L201" s="125"/>
      <c r="M201"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7.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37256</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145"/>
      <c r="J22" s="24"/>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163</v>
      </c>
      <c r="I25" s="33"/>
      <c r="J25" s="29"/>
      <c r="K25" s="30"/>
      <c r="L25" s="30"/>
      <c r="M25" s="27"/>
      <c r="N25" s="124"/>
    </row>
    <row r="26" spans="1:14" ht="15.75">
      <c r="A26" s="31"/>
      <c r="B26" s="32" t="s">
        <v>14</v>
      </c>
      <c r="C26" s="32"/>
      <c r="D26" s="33"/>
      <c r="E26" s="33"/>
      <c r="F26" s="33" t="s">
        <v>151</v>
      </c>
      <c r="G26" s="33"/>
      <c r="H26" s="33" t="s">
        <v>164</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0.903514</v>
      </c>
      <c r="D30" s="34"/>
      <c r="E30" s="35"/>
      <c r="F30" s="34">
        <f>166500*C30</f>
        <v>150435.081</v>
      </c>
      <c r="G30" s="34"/>
      <c r="H30" s="34">
        <v>18500</v>
      </c>
      <c r="I30" s="34"/>
      <c r="J30" s="34"/>
      <c r="K30" s="36"/>
      <c r="L30" s="34">
        <f>H30+F30</f>
        <v>168935.081</v>
      </c>
      <c r="M30" s="37"/>
      <c r="N30" s="124"/>
    </row>
    <row r="31" spans="1:14" ht="12.75" customHeight="1">
      <c r="A31" s="31"/>
      <c r="B31" s="32" t="s">
        <v>18</v>
      </c>
      <c r="C31" s="39">
        <v>0.880051</v>
      </c>
      <c r="D31" s="40"/>
      <c r="E31" s="41"/>
      <c r="F31" s="40">
        <f>166500*C31*1</f>
        <v>146528.4915</v>
      </c>
      <c r="G31" s="40"/>
      <c r="H31" s="40">
        <v>18500</v>
      </c>
      <c r="I31" s="40"/>
      <c r="J31" s="40"/>
      <c r="K31" s="42"/>
      <c r="L31" s="40">
        <f>H31+F31+D31</f>
        <v>165028.4915</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v>0.0508031</v>
      </c>
      <c r="G33" s="45"/>
      <c r="H33" s="44">
        <v>0.0565531</v>
      </c>
      <c r="I33" s="45"/>
      <c r="J33" s="44"/>
      <c r="K33" s="30"/>
      <c r="L33" s="45">
        <f>SUMPRODUCT(F33:H33,F30:H30)/L30</f>
        <v>0.05143277975254352</v>
      </c>
      <c r="M33" s="27"/>
      <c r="N33" s="124"/>
    </row>
    <row r="34" spans="1:14" ht="15.75">
      <c r="A34" s="26"/>
      <c r="B34" s="27" t="s">
        <v>21</v>
      </c>
      <c r="C34" s="27"/>
      <c r="D34" s="44"/>
      <c r="E34" s="27"/>
      <c r="F34" s="44">
        <v>0.0556625</v>
      </c>
      <c r="G34" s="45"/>
      <c r="H34" s="44">
        <v>0.0614125</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46"/>
      <c r="I38" s="46"/>
      <c r="J38" s="46"/>
      <c r="K38" s="46"/>
      <c r="L38" s="46"/>
      <c r="M38" s="27"/>
      <c r="N38" s="124"/>
    </row>
    <row r="39" spans="1:14" ht="15.75">
      <c r="A39" s="26"/>
      <c r="B39" s="27" t="s">
        <v>25</v>
      </c>
      <c r="C39" s="27"/>
      <c r="D39" s="27"/>
      <c r="E39" s="27"/>
      <c r="F39" s="27"/>
      <c r="G39" s="27"/>
      <c r="H39" s="27"/>
      <c r="I39" s="27"/>
      <c r="J39" s="27"/>
      <c r="K39" s="27"/>
      <c r="L39" s="45">
        <f>H29/F29</f>
        <v>0.1111111111111111</v>
      </c>
      <c r="M39" s="27"/>
      <c r="N39" s="124"/>
    </row>
    <row r="40" spans="1:14" ht="15.75">
      <c r="A40" s="26"/>
      <c r="B40" s="27" t="s">
        <v>26</v>
      </c>
      <c r="C40" s="27"/>
      <c r="D40" s="27"/>
      <c r="E40" s="27"/>
      <c r="F40" s="27"/>
      <c r="G40" s="27"/>
      <c r="H40" s="27"/>
      <c r="I40" s="27"/>
      <c r="J40" s="27"/>
      <c r="K40" s="27"/>
      <c r="L40" s="45">
        <f>H31/F31</f>
        <v>0.12625530919357073</v>
      </c>
      <c r="M40" s="27"/>
      <c r="N40" s="124"/>
    </row>
    <row r="41" spans="1:14" ht="15.75">
      <c r="A41" s="26"/>
      <c r="B41" s="27" t="s">
        <v>27</v>
      </c>
      <c r="C41" s="27"/>
      <c r="D41" s="27"/>
      <c r="E41" s="27"/>
      <c r="F41" s="27"/>
      <c r="G41" s="27"/>
      <c r="H41" s="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37242</v>
      </c>
      <c r="M44" s="27"/>
      <c r="N44" s="124"/>
    </row>
    <row r="45" spans="1:14" ht="15.75">
      <c r="A45" s="26"/>
      <c r="B45" s="27" t="s">
        <v>30</v>
      </c>
      <c r="C45" s="27"/>
      <c r="D45" s="27"/>
      <c r="E45" s="27"/>
      <c r="F45" s="27"/>
      <c r="G45" s="27"/>
      <c r="H45" s="27"/>
      <c r="I45" s="27">
        <f>L45-J45+1</f>
        <v>94</v>
      </c>
      <c r="J45" s="50">
        <v>37057</v>
      </c>
      <c r="K45" s="51"/>
      <c r="L45" s="50">
        <v>37150</v>
      </c>
      <c r="M45" s="27"/>
      <c r="N45" s="124"/>
    </row>
    <row r="46" spans="1:14" ht="15.75">
      <c r="A46" s="26"/>
      <c r="B46" s="27" t="s">
        <v>31</v>
      </c>
      <c r="C46" s="27"/>
      <c r="D46" s="27"/>
      <c r="E46" s="27"/>
      <c r="F46" s="27"/>
      <c r="G46" s="27"/>
      <c r="H46" s="27"/>
      <c r="I46" s="27">
        <f>L46-J46+1</f>
        <v>91</v>
      </c>
      <c r="J46" s="50">
        <v>37151</v>
      </c>
      <c r="K46" s="51"/>
      <c r="L46" s="50">
        <v>37241</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37233</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9.5" thickBot="1">
      <c r="A51" s="129"/>
      <c r="B51" s="130" t="s">
        <v>201</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168934</v>
      </c>
      <c r="E56" s="37"/>
      <c r="F56" s="37">
        <f>3907+1706-1</f>
        <v>5612</v>
      </c>
      <c r="G56" s="37"/>
      <c r="H56" s="37">
        <v>1706</v>
      </c>
      <c r="I56" s="37"/>
      <c r="J56" s="37">
        <v>0</v>
      </c>
      <c r="K56" s="37"/>
      <c r="L56" s="58">
        <f>D56-F56+H56-J56</f>
        <v>165028</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168934</v>
      </c>
      <c r="E59" s="37"/>
      <c r="F59" s="37">
        <f>SUM(F56:F58)</f>
        <v>5612</v>
      </c>
      <c r="G59" s="37"/>
      <c r="H59" s="37">
        <f>SUM(H56:H58)</f>
        <v>1706</v>
      </c>
      <c r="I59" s="37"/>
      <c r="J59" s="37">
        <f>SUM(J56:J58)</f>
        <v>0</v>
      </c>
      <c r="K59" s="37"/>
      <c r="L59" s="59">
        <f>SUM(L56:L58)</f>
        <v>165028</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1</v>
      </c>
      <c r="E70" s="37"/>
      <c r="F70" s="37"/>
      <c r="G70" s="37"/>
      <c r="H70" s="37"/>
      <c r="I70" s="37"/>
      <c r="J70" s="37"/>
      <c r="K70" s="37"/>
      <c r="L70" s="59">
        <v>0</v>
      </c>
      <c r="M70" s="27"/>
      <c r="N70" s="124"/>
    </row>
    <row r="71" spans="1:14" ht="15.75">
      <c r="A71" s="26"/>
      <c r="B71" s="27" t="s">
        <v>44</v>
      </c>
      <c r="C71" s="59">
        <f>SUM(C59:C70)</f>
        <v>185000</v>
      </c>
      <c r="D71" s="59">
        <f>SUM(D59:D70)</f>
        <v>168935</v>
      </c>
      <c r="E71" s="37"/>
      <c r="F71" s="59"/>
      <c r="G71" s="37"/>
      <c r="H71" s="59"/>
      <c r="I71" s="37"/>
      <c r="J71" s="59"/>
      <c r="K71" s="37"/>
      <c r="L71" s="59">
        <f>SUM(L59:L70)</f>
        <v>165028</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v>37225</v>
      </c>
      <c r="E75" s="27"/>
      <c r="F75" s="27"/>
      <c r="G75" s="27"/>
      <c r="H75" s="27"/>
      <c r="I75" s="27"/>
      <c r="J75" s="37">
        <f>5612+1</f>
        <v>5613</v>
      </c>
      <c r="K75" s="27"/>
      <c r="L75" s="58"/>
      <c r="M75" s="27"/>
      <c r="N75" s="124"/>
    </row>
    <row r="76" spans="1:14" ht="15.75">
      <c r="A76" s="26"/>
      <c r="B76" s="27" t="s">
        <v>48</v>
      </c>
      <c r="C76" s="27"/>
      <c r="D76" s="27"/>
      <c r="E76" s="27"/>
      <c r="F76" s="27"/>
      <c r="G76" s="27"/>
      <c r="H76" s="27"/>
      <c r="I76" s="27"/>
      <c r="J76" s="37"/>
      <c r="K76" s="27"/>
      <c r="L76" s="58">
        <f>2629+361-4</f>
        <v>2986</v>
      </c>
      <c r="M76" s="27"/>
      <c r="N76" s="124"/>
    </row>
    <row r="77" spans="1:14" ht="15.75">
      <c r="A77" s="26"/>
      <c r="B77" s="27" t="s">
        <v>49</v>
      </c>
      <c r="C77" s="27"/>
      <c r="D77" s="27"/>
      <c r="E77" s="27"/>
      <c r="F77" s="27"/>
      <c r="G77" s="27"/>
      <c r="H77" s="27"/>
      <c r="I77" s="27"/>
      <c r="J77" s="37"/>
      <c r="K77" s="27"/>
      <c r="L77" s="58">
        <v>81</v>
      </c>
      <c r="M77" s="27"/>
      <c r="N77" s="124"/>
    </row>
    <row r="78" spans="1:14" ht="15.75">
      <c r="A78" s="26"/>
      <c r="B78" s="27" t="s">
        <v>50</v>
      </c>
      <c r="C78" s="27"/>
      <c r="D78" s="27"/>
      <c r="E78" s="27"/>
      <c r="F78" s="27"/>
      <c r="G78" s="27"/>
      <c r="H78" s="27"/>
      <c r="I78" s="27"/>
      <c r="J78" s="37">
        <f>SUM(J74:J77)</f>
        <v>5613</v>
      </c>
      <c r="K78" s="27"/>
      <c r="L78" s="59">
        <f>SUM(L74:L77)</f>
        <v>3067</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5613</v>
      </c>
      <c r="K80" s="27"/>
      <c r="L80" s="59">
        <f>L78+L79</f>
        <v>3067</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-127-11</f>
        <v>-138</v>
      </c>
      <c r="M84" s="27"/>
      <c r="N84" s="124"/>
    </row>
    <row r="85" spans="1:14" ht="15.75">
      <c r="A85" s="26">
        <v>4</v>
      </c>
      <c r="B85" s="27" t="s">
        <v>57</v>
      </c>
      <c r="C85" s="27"/>
      <c r="D85" s="27"/>
      <c r="E85" s="27"/>
      <c r="F85" s="27"/>
      <c r="G85" s="27"/>
      <c r="H85" s="27"/>
      <c r="I85" s="27"/>
      <c r="J85" s="27"/>
      <c r="K85" s="27"/>
      <c r="L85" s="58">
        <v>-223</v>
      </c>
      <c r="M85" s="27"/>
      <c r="N85" s="124"/>
    </row>
    <row r="86" spans="1:14" ht="15.75">
      <c r="A86" s="26">
        <v>5</v>
      </c>
      <c r="B86" s="27" t="s">
        <v>58</v>
      </c>
      <c r="C86" s="27"/>
      <c r="D86" s="27"/>
      <c r="E86" s="27"/>
      <c r="F86" s="27"/>
      <c r="G86" s="27"/>
      <c r="H86" s="27"/>
      <c r="I86" s="27"/>
      <c r="J86" s="27"/>
      <c r="K86" s="27"/>
      <c r="L86" s="58">
        <v>-1905</v>
      </c>
      <c r="M86" s="27"/>
      <c r="N86" s="124"/>
    </row>
    <row r="87" spans="1:14" ht="15.75">
      <c r="A87" s="26">
        <v>6</v>
      </c>
      <c r="B87" s="27" t="s">
        <v>59</v>
      </c>
      <c r="C87" s="27"/>
      <c r="D87" s="27"/>
      <c r="E87" s="27"/>
      <c r="F87" s="27"/>
      <c r="G87" s="27"/>
      <c r="H87" s="27"/>
      <c r="I87" s="27"/>
      <c r="J87" s="27"/>
      <c r="K87" s="27"/>
      <c r="L87" s="58">
        <v>-261</v>
      </c>
      <c r="M87" s="27"/>
      <c r="N87" s="124"/>
    </row>
    <row r="88" spans="1:14" ht="15.75">
      <c r="A88" s="26">
        <v>7</v>
      </c>
      <c r="B88" s="27" t="s">
        <v>60</v>
      </c>
      <c r="C88" s="27"/>
      <c r="D88" s="27"/>
      <c r="E88" s="27"/>
      <c r="F88" s="27"/>
      <c r="G88" s="27"/>
      <c r="H88" s="27"/>
      <c r="I88" s="27"/>
      <c r="J88" s="27"/>
      <c r="K88" s="27"/>
      <c r="L88" s="58">
        <v>-3</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-23-104</f>
        <v>-127</v>
      </c>
      <c r="M93" s="27"/>
      <c r="N93" s="124"/>
    </row>
    <row r="94" spans="1:14" ht="15.75">
      <c r="A94" s="26">
        <v>13</v>
      </c>
      <c r="B94" s="27" t="s">
        <v>66</v>
      </c>
      <c r="C94" s="27"/>
      <c r="D94" s="27"/>
      <c r="E94" s="27"/>
      <c r="F94" s="27"/>
      <c r="G94" s="27"/>
      <c r="H94" s="27"/>
      <c r="I94" s="27"/>
      <c r="J94" s="27"/>
      <c r="K94" s="27"/>
      <c r="L94" s="58">
        <f>-SUM(L80:L93)</f>
        <v>-406</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-8</v>
      </c>
      <c r="K96" s="37"/>
      <c r="L96" s="58"/>
      <c r="M96" s="27"/>
      <c r="N96" s="124"/>
    </row>
    <row r="97" spans="1:14" ht="15.75">
      <c r="A97" s="26"/>
      <c r="B97" s="27" t="s">
        <v>69</v>
      </c>
      <c r="C97" s="27"/>
      <c r="D97" s="27"/>
      <c r="E97" s="27"/>
      <c r="F97" s="27"/>
      <c r="G97" s="27"/>
      <c r="H97" s="27"/>
      <c r="I97" s="27"/>
      <c r="J97" s="37">
        <f>-H141</f>
        <v>-1698</v>
      </c>
      <c r="K97" s="37"/>
      <c r="L97" s="58"/>
      <c r="M97" s="27"/>
      <c r="N97" s="124"/>
    </row>
    <row r="98" spans="1:14" ht="15.75">
      <c r="A98" s="26"/>
      <c r="B98" s="27" t="s">
        <v>70</v>
      </c>
      <c r="C98" s="27"/>
      <c r="D98" s="27"/>
      <c r="E98" s="27"/>
      <c r="F98" s="27"/>
      <c r="G98" s="27"/>
      <c r="H98" s="27"/>
      <c r="I98" s="27"/>
      <c r="J98" s="37">
        <v>-3907</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-5613</v>
      </c>
      <c r="K100" s="37"/>
      <c r="L100" s="37">
        <f>SUM(L81:L99)</f>
        <v>-3067</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5.75">
      <c r="A102" s="26"/>
      <c r="B102" s="27"/>
      <c r="C102" s="27"/>
      <c r="D102" s="27"/>
      <c r="E102" s="27"/>
      <c r="F102" s="27"/>
      <c r="G102" s="27"/>
      <c r="H102" s="27"/>
      <c r="I102" s="27"/>
      <c r="J102" s="37"/>
      <c r="K102" s="37"/>
      <c r="L102" s="37"/>
      <c r="M102" s="27"/>
      <c r="N102" s="124"/>
    </row>
    <row r="103" spans="1:14" ht="12" customHeight="1">
      <c r="A103" s="8"/>
      <c r="B103" s="10"/>
      <c r="C103" s="10"/>
      <c r="D103" s="10"/>
      <c r="E103" s="10"/>
      <c r="F103" s="10"/>
      <c r="G103" s="10"/>
      <c r="H103" s="10"/>
      <c r="I103" s="10"/>
      <c r="J103" s="10"/>
      <c r="K103" s="10"/>
      <c r="L103" s="57"/>
      <c r="M103" s="10"/>
      <c r="N103" s="124"/>
    </row>
    <row r="104" spans="1:14" ht="21.75" customHeight="1" thickBot="1">
      <c r="A104" s="129"/>
      <c r="B104" s="130" t="s">
        <v>201</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30"/>
      <c r="D120" s="30"/>
      <c r="E120" s="30"/>
      <c r="F120" s="30"/>
      <c r="G120" s="30"/>
      <c r="H120" s="30"/>
      <c r="I120" s="30"/>
      <c r="J120" s="30"/>
      <c r="K120" s="30"/>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165028</v>
      </c>
      <c r="M134" s="27"/>
      <c r="N134" s="124"/>
    </row>
    <row r="135" spans="1:14" ht="15.75">
      <c r="A135" s="26"/>
      <c r="B135" s="27" t="s">
        <v>95</v>
      </c>
      <c r="C135" s="73"/>
      <c r="D135" s="27"/>
      <c r="E135" s="27"/>
      <c r="F135" s="27"/>
      <c r="G135" s="27"/>
      <c r="H135" s="27"/>
      <c r="I135" s="27"/>
      <c r="J135" s="27"/>
      <c r="K135" s="27"/>
      <c r="L135" s="58">
        <f>L71</f>
        <v>165028</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7762</v>
      </c>
      <c r="I140" s="27"/>
      <c r="J140" s="58">
        <v>532</v>
      </c>
      <c r="K140" s="27"/>
      <c r="L140" s="58">
        <f>J140+H140</f>
        <v>8294</v>
      </c>
      <c r="M140" s="27"/>
      <c r="N140" s="124"/>
    </row>
    <row r="141" spans="1:14" ht="15.75">
      <c r="A141" s="26"/>
      <c r="B141" s="27" t="s">
        <v>99</v>
      </c>
      <c r="C141" s="27"/>
      <c r="D141" s="27"/>
      <c r="E141" s="27"/>
      <c r="F141" s="27"/>
      <c r="G141" s="27"/>
      <c r="H141" s="58">
        <f>1697+1</f>
        <v>1698</v>
      </c>
      <c r="I141" s="27"/>
      <c r="J141" s="58">
        <v>8</v>
      </c>
      <c r="K141" s="27"/>
      <c r="L141" s="58">
        <f>J141+H141</f>
        <v>1706</v>
      </c>
      <c r="M141" s="27"/>
      <c r="N141" s="124"/>
    </row>
    <row r="142" spans="1:14" ht="15.75">
      <c r="A142" s="26"/>
      <c r="B142" s="27" t="s">
        <v>100</v>
      </c>
      <c r="C142" s="27"/>
      <c r="D142" s="27"/>
      <c r="E142" s="27"/>
      <c r="F142" s="27"/>
      <c r="G142" s="27"/>
      <c r="H142" s="58">
        <f>H140+H141</f>
        <v>9460</v>
      </c>
      <c r="I142" s="27"/>
      <c r="J142" s="58">
        <f>J141+J140</f>
        <v>540</v>
      </c>
      <c r="K142" s="27"/>
      <c r="L142" s="58">
        <f>J142+H142</f>
        <v>10000</v>
      </c>
      <c r="M142" s="27"/>
      <c r="N142" s="124"/>
    </row>
    <row r="143" spans="1:14" ht="15.75">
      <c r="A143" s="26"/>
      <c r="B143" s="27" t="s">
        <v>101</v>
      </c>
      <c r="C143" s="27"/>
      <c r="D143" s="27"/>
      <c r="E143" s="27"/>
      <c r="F143" s="27"/>
      <c r="G143" s="27"/>
      <c r="H143" s="58">
        <f>H139-H142-J142</f>
        <v>10000</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1.4183727034120734</v>
      </c>
      <c r="M147" s="27" t="s">
        <v>189</v>
      </c>
      <c r="N147" s="124"/>
    </row>
    <row r="148" spans="1:14" ht="15.75">
      <c r="A148" s="26"/>
      <c r="B148" s="27" t="s">
        <v>104</v>
      </c>
      <c r="C148" s="27"/>
      <c r="D148" s="27"/>
      <c r="E148" s="27"/>
      <c r="F148" s="27"/>
      <c r="G148" s="27"/>
      <c r="H148" s="27"/>
      <c r="I148" s="27"/>
      <c r="J148" s="27"/>
      <c r="K148" s="27"/>
      <c r="L148" s="66">
        <v>1.32</v>
      </c>
      <c r="M148" s="27" t="s">
        <v>189</v>
      </c>
      <c r="N148" s="124"/>
    </row>
    <row r="149" spans="1:14" ht="15.75">
      <c r="A149" s="26"/>
      <c r="B149" s="27" t="s">
        <v>105</v>
      </c>
      <c r="C149" s="27"/>
      <c r="D149" s="27"/>
      <c r="E149" s="27"/>
      <c r="F149" s="27"/>
      <c r="G149" s="27"/>
      <c r="H149" s="27"/>
      <c r="I149" s="27"/>
      <c r="J149" s="27"/>
      <c r="K149" s="27"/>
      <c r="L149" s="66">
        <f>(L80+SUM(L82:L86))/-L87</f>
        <v>3.053639846743295</v>
      </c>
      <c r="M149" s="27" t="s">
        <v>189</v>
      </c>
      <c r="N149" s="124"/>
    </row>
    <row r="150" spans="1:14" ht="15.75">
      <c r="A150" s="26"/>
      <c r="B150" s="27" t="s">
        <v>106</v>
      </c>
      <c r="C150" s="27"/>
      <c r="D150" s="27"/>
      <c r="E150" s="27"/>
      <c r="F150" s="27"/>
      <c r="G150" s="27"/>
      <c r="H150" s="27"/>
      <c r="I150" s="27"/>
      <c r="J150" s="27"/>
      <c r="K150" s="27"/>
      <c r="L150" s="75">
        <v>2.05</v>
      </c>
      <c r="M150" s="27" t="s">
        <v>189</v>
      </c>
      <c r="N150" s="124"/>
    </row>
    <row r="151" spans="1:14" ht="15" customHeight="1">
      <c r="A151" s="26"/>
      <c r="B151" s="27"/>
      <c r="C151" s="27"/>
      <c r="D151" s="27"/>
      <c r="E151" s="27"/>
      <c r="F151" s="27"/>
      <c r="G151" s="27"/>
      <c r="H151" s="27"/>
      <c r="I151" s="27"/>
      <c r="J151" s="27"/>
      <c r="K151" s="27"/>
      <c r="L151" s="27"/>
      <c r="M151" s="27"/>
      <c r="N151" s="124"/>
    </row>
    <row r="152" spans="1:14" ht="15" customHeight="1">
      <c r="A152" s="8"/>
      <c r="B152" s="10"/>
      <c r="C152" s="10"/>
      <c r="D152" s="10"/>
      <c r="E152" s="10"/>
      <c r="F152" s="10"/>
      <c r="G152" s="10"/>
      <c r="H152" s="10"/>
      <c r="I152" s="10"/>
      <c r="J152" s="10"/>
      <c r="K152" s="10"/>
      <c r="L152" s="10"/>
      <c r="M152" s="10"/>
      <c r="N152" s="124"/>
    </row>
    <row r="153" spans="1:14" ht="15" customHeight="1" thickBot="1">
      <c r="A153" s="129"/>
      <c r="B153" s="130" t="s">
        <v>201</v>
      </c>
      <c r="C153" s="131"/>
      <c r="D153" s="131"/>
      <c r="E153" s="131"/>
      <c r="F153" s="131"/>
      <c r="G153" s="131"/>
      <c r="H153" s="131"/>
      <c r="I153" s="131"/>
      <c r="J153" s="131"/>
      <c r="K153" s="131"/>
      <c r="L153" s="131"/>
      <c r="M153" s="134"/>
      <c r="N153" s="124"/>
    </row>
    <row r="154" spans="1:14" ht="15.75">
      <c r="A154" s="2"/>
      <c r="B154" s="76"/>
      <c r="C154" s="76"/>
      <c r="D154" s="76"/>
      <c r="E154" s="76"/>
      <c r="F154" s="76"/>
      <c r="G154" s="76"/>
      <c r="H154" s="76"/>
      <c r="I154" s="76"/>
      <c r="J154" s="76"/>
      <c r="K154" s="76"/>
      <c r="L154" s="76"/>
      <c r="M154" s="76"/>
      <c r="N154" s="124"/>
    </row>
    <row r="155" spans="1:14" ht="15.75">
      <c r="A155" s="77"/>
      <c r="B155" s="56" t="s">
        <v>107</v>
      </c>
      <c r="C155" s="78"/>
      <c r="D155" s="78"/>
      <c r="E155" s="78"/>
      <c r="F155" s="78"/>
      <c r="G155" s="20"/>
      <c r="H155" s="20"/>
      <c r="I155" s="20"/>
      <c r="J155" s="20">
        <v>37225</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0.0656</v>
      </c>
      <c r="K160" s="27"/>
      <c r="L160" s="27"/>
      <c r="M160" s="27"/>
      <c r="N160" s="124"/>
    </row>
    <row r="161" spans="1:14" ht="15.75">
      <c r="A161" s="84"/>
      <c r="B161" s="85" t="s">
        <v>112</v>
      </c>
      <c r="C161" s="86"/>
      <c r="D161" s="86"/>
      <c r="E161" s="86"/>
      <c r="F161" s="86"/>
      <c r="G161" s="72"/>
      <c r="H161" s="72"/>
      <c r="I161" s="72"/>
      <c r="J161" s="87">
        <f>L33</f>
        <v>0.05143277975254352</v>
      </c>
      <c r="K161" s="27"/>
      <c r="L161" s="27"/>
      <c r="M161" s="27"/>
      <c r="N161" s="124"/>
    </row>
    <row r="162" spans="1:14" ht="15.75">
      <c r="A162" s="84"/>
      <c r="B162" s="85" t="s">
        <v>113</v>
      </c>
      <c r="C162" s="86"/>
      <c r="D162" s="86"/>
      <c r="E162" s="86"/>
      <c r="F162" s="86"/>
      <c r="G162" s="72"/>
      <c r="H162" s="72"/>
      <c r="I162" s="72"/>
      <c r="J162" s="87">
        <f>J160-J161</f>
        <v>0.014167220247456487</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18.01</v>
      </c>
      <c r="K166" s="27" t="s">
        <v>182</v>
      </c>
      <c r="L166" s="27"/>
      <c r="M166" s="27"/>
      <c r="N166" s="124"/>
    </row>
    <row r="167" spans="1:14" ht="15.75">
      <c r="A167" s="84"/>
      <c r="B167" s="85" t="s">
        <v>118</v>
      </c>
      <c r="C167" s="86"/>
      <c r="D167" s="86"/>
      <c r="E167" s="86"/>
      <c r="F167" s="86"/>
      <c r="G167" s="72"/>
      <c r="H167" s="72"/>
      <c r="I167" s="72"/>
      <c r="J167" s="87">
        <f>F56/'Aug 2001'!L56</f>
        <v>0.0332200741117833</v>
      </c>
      <c r="K167" s="27"/>
      <c r="L167" s="27"/>
      <c r="M167" s="27"/>
      <c r="N167" s="124"/>
    </row>
    <row r="168" spans="1:14" ht="15.75">
      <c r="A168" s="84"/>
      <c r="B168" s="85" t="s">
        <v>119</v>
      </c>
      <c r="C168" s="86"/>
      <c r="D168" s="86"/>
      <c r="E168" s="86"/>
      <c r="F168" s="86"/>
      <c r="G168" s="72"/>
      <c r="H168" s="72"/>
      <c r="I168" s="72"/>
      <c r="J168" s="87">
        <v>0.0935</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v>15</v>
      </c>
      <c r="J171" s="96">
        <v>531</v>
      </c>
      <c r="K171" s="27"/>
      <c r="L171" s="90"/>
      <c r="M171" s="97"/>
      <c r="N171" s="124"/>
    </row>
    <row r="172" spans="1:14" ht="15.75">
      <c r="A172" s="95"/>
      <c r="B172" s="85" t="s">
        <v>122</v>
      </c>
      <c r="C172" s="59"/>
      <c r="D172" s="59"/>
      <c r="E172" s="59"/>
      <c r="F172" s="27"/>
      <c r="G172" s="27"/>
      <c r="H172" s="27"/>
      <c r="I172" s="28">
        <v>2</v>
      </c>
      <c r="J172" s="96">
        <v>61</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0</v>
      </c>
      <c r="J176" s="96">
        <v>0</v>
      </c>
      <c r="K176" s="27"/>
      <c r="L176" s="90"/>
      <c r="M176" s="99"/>
      <c r="N176" s="124"/>
    </row>
    <row r="177" spans="1:14" ht="15.75">
      <c r="A177" s="95"/>
      <c r="B177" s="85" t="s">
        <v>127</v>
      </c>
      <c r="C177" s="59"/>
      <c r="D177" s="59"/>
      <c r="E177" s="59"/>
      <c r="F177" s="59"/>
      <c r="G177" s="27"/>
      <c r="H177" s="27"/>
      <c r="I177" s="27">
        <v>1</v>
      </c>
      <c r="J177" s="96">
        <v>1</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c r="J180" s="96">
        <v>0</v>
      </c>
      <c r="K180" s="27"/>
      <c r="L180" s="90"/>
      <c r="M180" s="99"/>
      <c r="N180" s="124"/>
    </row>
    <row r="181" spans="1:14" ht="15.75">
      <c r="A181" s="95"/>
      <c r="B181" s="85" t="s">
        <v>130</v>
      </c>
      <c r="C181" s="59"/>
      <c r="D181" s="100"/>
      <c r="E181" s="100"/>
      <c r="F181" s="101"/>
      <c r="G181" s="27"/>
      <c r="H181" s="27"/>
      <c r="I181" s="27"/>
      <c r="J181" s="96">
        <v>0</v>
      </c>
      <c r="K181" s="27"/>
      <c r="L181" s="90"/>
      <c r="M181" s="99"/>
      <c r="N181" s="124"/>
    </row>
    <row r="182" spans="1:14" ht="15.75">
      <c r="A182" s="95"/>
      <c r="B182" s="85" t="s">
        <v>131</v>
      </c>
      <c r="C182" s="59"/>
      <c r="D182" s="100"/>
      <c r="E182" s="100"/>
      <c r="F182" s="101"/>
      <c r="G182" s="27"/>
      <c r="H182" s="27"/>
      <c r="I182" s="27"/>
      <c r="J182" s="96">
        <v>0</v>
      </c>
      <c r="K182" s="27"/>
      <c r="L182" s="90"/>
      <c r="M182" s="99"/>
      <c r="N182" s="124"/>
    </row>
    <row r="183" spans="1:14" ht="15.75">
      <c r="A183" s="95"/>
      <c r="B183" s="85" t="s">
        <v>132</v>
      </c>
      <c r="C183" s="59"/>
      <c r="D183" s="102"/>
      <c r="E183" s="100"/>
      <c r="F183" s="101"/>
      <c r="G183" s="27"/>
      <c r="H183" s="27"/>
      <c r="I183" s="27"/>
      <c r="J183" s="103">
        <v>0</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2942</v>
      </c>
      <c r="I186" s="105">
        <f>H186/H191</f>
        <v>0.9849347171074657</v>
      </c>
      <c r="J186" s="58">
        <v>163488</v>
      </c>
      <c r="K186" s="106">
        <f>J186/J191</f>
        <v>0.9906682502363235</v>
      </c>
      <c r="L186" s="90"/>
      <c r="M186" s="99"/>
      <c r="N186" s="124"/>
    </row>
    <row r="187" spans="1:14" ht="15.75">
      <c r="A187" s="26"/>
      <c r="B187" s="59" t="s">
        <v>135</v>
      </c>
      <c r="C187" s="105"/>
      <c r="D187" s="59"/>
      <c r="E187" s="105"/>
      <c r="F187" s="27"/>
      <c r="G187" s="107"/>
      <c r="H187" s="59">
        <v>14</v>
      </c>
      <c r="I187" s="105">
        <f>H187/H191</f>
        <v>0.004686976899899564</v>
      </c>
      <c r="J187" s="58">
        <v>569</v>
      </c>
      <c r="K187" s="106">
        <f>J187/J191</f>
        <v>0.003447899750345396</v>
      </c>
      <c r="L187" s="90"/>
      <c r="M187" s="99"/>
      <c r="N187" s="124"/>
    </row>
    <row r="188" spans="1:14" ht="15.75">
      <c r="A188" s="26"/>
      <c r="B188" s="59" t="s">
        <v>136</v>
      </c>
      <c r="C188" s="105"/>
      <c r="D188" s="59"/>
      <c r="E188" s="105"/>
      <c r="F188" s="27"/>
      <c r="G188" s="107"/>
      <c r="H188" s="59">
        <v>13</v>
      </c>
      <c r="I188" s="105">
        <f>H188/H191</f>
        <v>0.004352192835621024</v>
      </c>
      <c r="J188" s="58">
        <v>386</v>
      </c>
      <c r="K188" s="106">
        <f>J188/J191</f>
        <v>0.0023389970186877378</v>
      </c>
      <c r="L188" s="90"/>
      <c r="M188" s="99"/>
      <c r="N188" s="124"/>
    </row>
    <row r="189" spans="1:14" ht="15.75">
      <c r="A189" s="26"/>
      <c r="B189" s="59" t="s">
        <v>137</v>
      </c>
      <c r="C189" s="105"/>
      <c r="D189" s="59"/>
      <c r="E189" s="105"/>
      <c r="F189" s="27"/>
      <c r="G189" s="107"/>
      <c r="H189" s="59">
        <f>4+6+8</f>
        <v>18</v>
      </c>
      <c r="I189" s="105">
        <f>H189/H191</f>
        <v>0.006026113157013726</v>
      </c>
      <c r="J189" s="58">
        <f>158+148+279</f>
        <v>585</v>
      </c>
      <c r="K189" s="106">
        <f>J189/$J191</f>
        <v>0.0035448529946433332</v>
      </c>
      <c r="L189" s="90"/>
      <c r="M189" s="99"/>
      <c r="N189" s="124"/>
    </row>
    <row r="190" spans="1:14" ht="15.75">
      <c r="A190" s="26"/>
      <c r="B190" s="30"/>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2987</v>
      </c>
      <c r="I191" s="109">
        <f>SUM(I186:I190)</f>
        <v>1</v>
      </c>
      <c r="J191" s="58">
        <f>SUM(J186:J190)</f>
        <v>165028</v>
      </c>
      <c r="K191" s="109">
        <f>SUM(K186:K190)</f>
        <v>1</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5"/>
      <c r="K194" s="15"/>
      <c r="L194" s="15"/>
      <c r="M194" s="15"/>
      <c r="N194" s="124"/>
    </row>
    <row r="195" spans="1:14" ht="15.75">
      <c r="A195" s="117"/>
      <c r="B195" s="15"/>
      <c r="C195" s="15"/>
      <c r="D195" s="10"/>
      <c r="E195" s="10"/>
      <c r="F195" s="10"/>
      <c r="G195" s="15"/>
      <c r="H195" s="15"/>
      <c r="I195" s="15"/>
      <c r="J195" s="15"/>
      <c r="K195" s="15"/>
      <c r="L195" s="15"/>
      <c r="M195" s="15"/>
      <c r="N195" s="124"/>
    </row>
    <row r="196" spans="1:14" ht="15.75">
      <c r="A196" s="117"/>
      <c r="B196" s="16" t="s">
        <v>139</v>
      </c>
      <c r="C196" s="118"/>
      <c r="D196" s="119" t="s">
        <v>147</v>
      </c>
      <c r="E196" s="16"/>
      <c r="F196" s="16" t="s">
        <v>160</v>
      </c>
      <c r="G196" s="118"/>
      <c r="H196" s="118"/>
      <c r="I196" s="15"/>
      <c r="J196" s="15"/>
      <c r="K196" s="15"/>
      <c r="L196" s="15"/>
      <c r="M196" s="15"/>
      <c r="N196" s="124"/>
    </row>
    <row r="197" spans="1:14" ht="15.75">
      <c r="A197" s="117"/>
      <c r="B197" s="16" t="s">
        <v>140</v>
      </c>
      <c r="C197" s="118"/>
      <c r="D197" s="119" t="s">
        <v>148</v>
      </c>
      <c r="E197" s="16"/>
      <c r="F197" s="16" t="s">
        <v>161</v>
      </c>
      <c r="G197" s="118"/>
      <c r="H197" s="118"/>
      <c r="I197" s="15"/>
      <c r="J197" s="15"/>
      <c r="K197" s="15"/>
      <c r="L197" s="15"/>
      <c r="M197" s="15"/>
      <c r="N197" s="124"/>
    </row>
    <row r="198" spans="1:14" ht="15.75">
      <c r="A198" s="117"/>
      <c r="B198" s="16"/>
      <c r="C198" s="118"/>
      <c r="D198" s="119"/>
      <c r="E198" s="16"/>
      <c r="F198" s="16"/>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8.75">
      <c r="A200" s="117"/>
      <c r="B200" s="54" t="s">
        <v>201</v>
      </c>
      <c r="C200" s="118"/>
      <c r="D200" s="119"/>
      <c r="E200" s="16"/>
      <c r="F200" s="16"/>
      <c r="G200" s="118"/>
      <c r="H200" s="118"/>
      <c r="I200" s="15"/>
      <c r="J200" s="15"/>
      <c r="K200" s="15"/>
      <c r="L200" s="15"/>
      <c r="M200" s="15"/>
      <c r="N200" s="124"/>
    </row>
    <row r="201" spans="1:13" ht="15">
      <c r="A201" s="125"/>
      <c r="B201" s="125"/>
      <c r="C201" s="125"/>
      <c r="D201" s="125"/>
      <c r="E201" s="125"/>
      <c r="F201" s="125"/>
      <c r="G201" s="125"/>
      <c r="H201" s="125"/>
      <c r="I201" s="125"/>
      <c r="J201" s="125"/>
      <c r="K201" s="125"/>
      <c r="L201" s="125"/>
      <c r="M201"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8.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33593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37333</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25"/>
      <c r="J22" s="24"/>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163</v>
      </c>
      <c r="I25" s="33"/>
      <c r="J25" s="29"/>
      <c r="K25" s="30"/>
      <c r="L25" s="30"/>
      <c r="M25" s="27"/>
      <c r="N25" s="124"/>
    </row>
    <row r="26" spans="1:14" ht="15.75">
      <c r="A26" s="31"/>
      <c r="B26" s="32" t="s">
        <v>14</v>
      </c>
      <c r="C26" s="32"/>
      <c r="D26" s="33"/>
      <c r="E26" s="33"/>
      <c r="F26" s="33" t="s">
        <v>151</v>
      </c>
      <c r="G26" s="33"/>
      <c r="H26" s="33" t="s">
        <v>164</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0.880051</v>
      </c>
      <c r="D30" s="34"/>
      <c r="E30" s="35"/>
      <c r="F30" s="34">
        <f>166500*C30</f>
        <v>146528.4915</v>
      </c>
      <c r="G30" s="34"/>
      <c r="H30" s="34">
        <v>18500</v>
      </c>
      <c r="I30" s="34"/>
      <c r="J30" s="34"/>
      <c r="K30" s="36"/>
      <c r="L30" s="34">
        <f>H30+F30</f>
        <v>165028.4915</v>
      </c>
      <c r="M30" s="37"/>
      <c r="N30" s="124"/>
    </row>
    <row r="31" spans="1:14" ht="12.75" customHeight="1">
      <c r="A31" s="31"/>
      <c r="B31" s="32" t="s">
        <v>18</v>
      </c>
      <c r="C31" s="39">
        <v>0.854505</v>
      </c>
      <c r="D31" s="40"/>
      <c r="E31" s="41"/>
      <c r="F31" s="40">
        <f>166500*C31*1</f>
        <v>142275.0825</v>
      </c>
      <c r="G31" s="40"/>
      <c r="H31" s="40">
        <v>18500</v>
      </c>
      <c r="I31" s="40"/>
      <c r="J31" s="40"/>
      <c r="K31" s="42"/>
      <c r="L31" s="40">
        <f>H31+F31+D31</f>
        <v>160775.0825</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v>0.0435375</v>
      </c>
      <c r="G33" s="45"/>
      <c r="H33" s="44">
        <v>0.0492875</v>
      </c>
      <c r="I33" s="45"/>
      <c r="J33" s="44"/>
      <c r="K33" s="30"/>
      <c r="L33" s="45">
        <f>SUMPRODUCT(F33:H33,F30:H30)/L30</f>
        <v>0.04418208566537888</v>
      </c>
      <c r="M33" s="27"/>
      <c r="N33" s="124"/>
    </row>
    <row r="34" spans="1:14" ht="15.75">
      <c r="A34" s="26"/>
      <c r="B34" s="27" t="s">
        <v>21</v>
      </c>
      <c r="C34" s="27"/>
      <c r="D34" s="44"/>
      <c r="E34" s="27"/>
      <c r="F34" s="44">
        <v>0.0508031</v>
      </c>
      <c r="G34" s="45"/>
      <c r="H34" s="44">
        <v>0.0565531</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46"/>
      <c r="I38" s="46"/>
      <c r="J38" s="46"/>
      <c r="K38" s="46"/>
      <c r="L38" s="46"/>
      <c r="M38" s="27"/>
      <c r="N38" s="124"/>
    </row>
    <row r="39" spans="1:14" ht="15.75">
      <c r="A39" s="26"/>
      <c r="B39" s="27" t="s">
        <v>25</v>
      </c>
      <c r="C39" s="27"/>
      <c r="D39" s="27"/>
      <c r="E39" s="27"/>
      <c r="F39" s="27"/>
      <c r="G39" s="27"/>
      <c r="H39" s="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0.13002979632782855</v>
      </c>
      <c r="M40" s="27"/>
      <c r="N40" s="124"/>
    </row>
    <row r="41" spans="1:14" ht="15.75">
      <c r="A41" s="26"/>
      <c r="B41" s="27" t="s">
        <v>27</v>
      </c>
      <c r="C41" s="27"/>
      <c r="D41" s="27"/>
      <c r="E41" s="27"/>
      <c r="F41" s="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37330</v>
      </c>
      <c r="M44" s="27"/>
      <c r="N44" s="124"/>
    </row>
    <row r="45" spans="1:14" ht="15.75">
      <c r="A45" s="26"/>
      <c r="B45" s="27" t="s">
        <v>30</v>
      </c>
      <c r="C45" s="27"/>
      <c r="D45" s="27"/>
      <c r="E45" s="27"/>
      <c r="F45" s="27"/>
      <c r="G45" s="27"/>
      <c r="H45" s="27"/>
      <c r="I45" s="27">
        <f>L45-J45+1</f>
        <v>91</v>
      </c>
      <c r="J45" s="50">
        <v>37151</v>
      </c>
      <c r="K45" s="51"/>
      <c r="L45" s="50">
        <v>37241</v>
      </c>
      <c r="M45" s="27"/>
      <c r="N45" s="124"/>
    </row>
    <row r="46" spans="1:14" ht="15.75">
      <c r="A46" s="26"/>
      <c r="B46" s="27" t="s">
        <v>31</v>
      </c>
      <c r="C46" s="27"/>
      <c r="D46" s="27"/>
      <c r="E46" s="27"/>
      <c r="F46" s="27"/>
      <c r="G46" s="27"/>
      <c r="H46" s="27"/>
      <c r="I46" s="27">
        <f>L46-J46+1</f>
        <v>88</v>
      </c>
      <c r="J46" s="50">
        <v>37242</v>
      </c>
      <c r="K46" s="51"/>
      <c r="L46" s="50">
        <v>37329</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37323</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9.5" thickBot="1">
      <c r="A51" s="129"/>
      <c r="B51" s="130" t="s">
        <v>202</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165028</v>
      </c>
      <c r="E56" s="37"/>
      <c r="F56" s="37">
        <f>4253+1627</f>
        <v>5880</v>
      </c>
      <c r="G56" s="37"/>
      <c r="H56" s="37">
        <v>1627</v>
      </c>
      <c r="I56" s="37"/>
      <c r="J56" s="37">
        <v>0</v>
      </c>
      <c r="K56" s="37"/>
      <c r="L56" s="58">
        <f>D56-F56+H56-J56</f>
        <v>160775</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165028</v>
      </c>
      <c r="E59" s="37"/>
      <c r="F59" s="37">
        <f>SUM(F56:F58)</f>
        <v>5880</v>
      </c>
      <c r="G59" s="37"/>
      <c r="H59" s="37">
        <f>SUM(H56:H58)</f>
        <v>1627</v>
      </c>
      <c r="I59" s="37"/>
      <c r="J59" s="37">
        <f>SUM(J56:J58)</f>
        <v>0</v>
      </c>
      <c r="K59" s="37"/>
      <c r="L59" s="59">
        <f>SUM(L56:L58)</f>
        <v>160775</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1</v>
      </c>
      <c r="E70" s="37"/>
      <c r="F70" s="37"/>
      <c r="G70" s="37"/>
      <c r="H70" s="37"/>
      <c r="I70" s="37"/>
      <c r="J70" s="37"/>
      <c r="K70" s="37"/>
      <c r="L70" s="59">
        <v>0</v>
      </c>
      <c r="M70" s="27"/>
      <c r="N70" s="124"/>
    </row>
    <row r="71" spans="1:14" ht="15.75">
      <c r="A71" s="26"/>
      <c r="B71" s="27" t="s">
        <v>44</v>
      </c>
      <c r="C71" s="59">
        <f>SUM(C59:C70)</f>
        <v>185000</v>
      </c>
      <c r="D71" s="59">
        <f>SUM(D59:D70)</f>
        <v>165029</v>
      </c>
      <c r="E71" s="37"/>
      <c r="F71" s="59"/>
      <c r="G71" s="37"/>
      <c r="H71" s="59"/>
      <c r="I71" s="37"/>
      <c r="J71" s="59"/>
      <c r="K71" s="37"/>
      <c r="L71" s="59">
        <f>SUM(L59:L70)</f>
        <v>160775</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37315</v>
      </c>
      <c r="E75" s="27"/>
      <c r="F75" s="27"/>
      <c r="G75" s="27"/>
      <c r="H75" s="27"/>
      <c r="I75" s="27"/>
      <c r="J75" s="37">
        <v>5880</v>
      </c>
      <c r="K75" s="27"/>
      <c r="L75" s="58"/>
      <c r="M75" s="27"/>
      <c r="N75" s="124"/>
    </row>
    <row r="76" spans="1:14" ht="15.75">
      <c r="A76" s="26"/>
      <c r="B76" s="27" t="s">
        <v>48</v>
      </c>
      <c r="C76" s="27"/>
      <c r="D76" s="27"/>
      <c r="E76" s="27"/>
      <c r="F76" s="27"/>
      <c r="G76" s="27"/>
      <c r="H76" s="27"/>
      <c r="I76" s="27"/>
      <c r="J76" s="37"/>
      <c r="K76" s="27"/>
      <c r="L76" s="58">
        <f>2413+363-4-2</f>
        <v>2770</v>
      </c>
      <c r="M76" s="27"/>
      <c r="N76" s="124"/>
    </row>
    <row r="77" spans="1:14" ht="15.75">
      <c r="A77" s="26"/>
      <c r="B77" s="27" t="s">
        <v>49</v>
      </c>
      <c r="C77" s="27"/>
      <c r="D77" s="27"/>
      <c r="E77" s="27"/>
      <c r="F77" s="27"/>
      <c r="G77" s="27"/>
      <c r="H77" s="27"/>
      <c r="I77" s="27"/>
      <c r="J77" s="37"/>
      <c r="K77" s="27"/>
      <c r="L77" s="58">
        <v>52</v>
      </c>
      <c r="M77" s="27"/>
      <c r="N77" s="124"/>
    </row>
    <row r="78" spans="1:14" ht="15.75">
      <c r="A78" s="26"/>
      <c r="B78" s="27" t="s">
        <v>50</v>
      </c>
      <c r="C78" s="27"/>
      <c r="D78" s="27"/>
      <c r="E78" s="27"/>
      <c r="F78" s="27"/>
      <c r="G78" s="27"/>
      <c r="H78" s="27"/>
      <c r="I78" s="27"/>
      <c r="J78" s="37">
        <f>SUM(J74:J77)</f>
        <v>5880</v>
      </c>
      <c r="K78" s="27"/>
      <c r="L78" s="59">
        <f>SUM(L74:L77)</f>
        <v>2822</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5880</v>
      </c>
      <c r="K80" s="27"/>
      <c r="L80" s="59">
        <f>L78+L79</f>
        <v>2822</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-119-11</f>
        <v>-130</v>
      </c>
      <c r="M84" s="27"/>
      <c r="N84" s="124"/>
    </row>
    <row r="85" spans="1:14" ht="15.75">
      <c r="A85" s="26">
        <v>4</v>
      </c>
      <c r="B85" s="27" t="s">
        <v>57</v>
      </c>
      <c r="C85" s="27"/>
      <c r="D85" s="27"/>
      <c r="E85" s="27"/>
      <c r="F85" s="27"/>
      <c r="G85" s="27"/>
      <c r="H85" s="27"/>
      <c r="I85" s="27"/>
      <c r="J85" s="27"/>
      <c r="K85" s="27"/>
      <c r="L85" s="58">
        <v>-309</v>
      </c>
      <c r="M85" s="27"/>
      <c r="N85" s="124"/>
    </row>
    <row r="86" spans="1:14" ht="15.75">
      <c r="A86" s="26">
        <v>5</v>
      </c>
      <c r="B86" s="27" t="s">
        <v>58</v>
      </c>
      <c r="C86" s="27"/>
      <c r="D86" s="27"/>
      <c r="E86" s="27"/>
      <c r="F86" s="27"/>
      <c r="G86" s="27"/>
      <c r="H86" s="27"/>
      <c r="I86" s="27"/>
      <c r="J86" s="27"/>
      <c r="K86" s="27"/>
      <c r="L86" s="58">
        <v>-1538</v>
      </c>
      <c r="M86" s="27"/>
      <c r="N86" s="124"/>
    </row>
    <row r="87" spans="1:14" ht="15.75">
      <c r="A87" s="26">
        <v>6</v>
      </c>
      <c r="B87" s="27" t="s">
        <v>59</v>
      </c>
      <c r="C87" s="27"/>
      <c r="D87" s="27"/>
      <c r="E87" s="27"/>
      <c r="F87" s="27"/>
      <c r="G87" s="27"/>
      <c r="H87" s="27"/>
      <c r="I87" s="27"/>
      <c r="J87" s="27"/>
      <c r="K87" s="27"/>
      <c r="L87" s="58">
        <v>-220</v>
      </c>
      <c r="M87" s="27"/>
      <c r="N87" s="124"/>
    </row>
    <row r="88" spans="1:14" ht="15.75">
      <c r="A88" s="26">
        <v>7</v>
      </c>
      <c r="B88" s="27" t="s">
        <v>60</v>
      </c>
      <c r="C88" s="27"/>
      <c r="D88" s="27"/>
      <c r="E88" s="27"/>
      <c r="F88" s="27"/>
      <c r="G88" s="27"/>
      <c r="H88" s="27"/>
      <c r="I88" s="27"/>
      <c r="J88" s="27"/>
      <c r="K88" s="27"/>
      <c r="L88" s="58">
        <v>-3</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-18-104</f>
        <v>-122</v>
      </c>
      <c r="M93" s="27"/>
      <c r="N93" s="124"/>
    </row>
    <row r="94" spans="1:14" ht="15.75">
      <c r="A94" s="26">
        <v>13</v>
      </c>
      <c r="B94" s="27" t="s">
        <v>66</v>
      </c>
      <c r="C94" s="27"/>
      <c r="D94" s="27"/>
      <c r="E94" s="27"/>
      <c r="F94" s="27"/>
      <c r="G94" s="27"/>
      <c r="H94" s="27"/>
      <c r="I94" s="27"/>
      <c r="J94" s="27"/>
      <c r="K94" s="27"/>
      <c r="L94" s="58">
        <f>-SUM(L80:L93)</f>
        <v>-496</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-8</v>
      </c>
      <c r="K96" s="37"/>
      <c r="L96" s="58"/>
      <c r="M96" s="27"/>
      <c r="N96" s="124"/>
    </row>
    <row r="97" spans="1:14" ht="15.75">
      <c r="A97" s="26"/>
      <c r="B97" s="27" t="s">
        <v>69</v>
      </c>
      <c r="C97" s="27"/>
      <c r="D97" s="27"/>
      <c r="E97" s="27"/>
      <c r="F97" s="27"/>
      <c r="G97" s="27"/>
      <c r="H97" s="27"/>
      <c r="I97" s="27"/>
      <c r="J97" s="37">
        <f>-H141</f>
        <v>-1619</v>
      </c>
      <c r="K97" s="37"/>
      <c r="L97" s="58"/>
      <c r="M97" s="27"/>
      <c r="N97" s="124"/>
    </row>
    <row r="98" spans="1:14" ht="15.75">
      <c r="A98" s="26"/>
      <c r="B98" s="27" t="s">
        <v>70</v>
      </c>
      <c r="C98" s="27"/>
      <c r="D98" s="27"/>
      <c r="E98" s="27"/>
      <c r="F98" s="27"/>
      <c r="G98" s="27"/>
      <c r="H98" s="27"/>
      <c r="I98" s="27"/>
      <c r="J98" s="37">
        <v>-4253</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-5880</v>
      </c>
      <c r="K100" s="37"/>
      <c r="L100" s="37">
        <f>SUM(L81:L99)</f>
        <v>-2822</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0" t="s">
        <v>202</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30"/>
      <c r="D120" s="30"/>
      <c r="E120" s="30"/>
      <c r="F120" s="30"/>
      <c r="G120" s="30"/>
      <c r="H120" s="30"/>
      <c r="I120" s="30"/>
      <c r="J120" s="30"/>
      <c r="K120" s="30"/>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160775</v>
      </c>
      <c r="M134" s="27"/>
      <c r="N134" s="124"/>
    </row>
    <row r="135" spans="1:14" ht="15.75">
      <c r="A135" s="26"/>
      <c r="B135" s="27" t="s">
        <v>95</v>
      </c>
      <c r="C135" s="73"/>
      <c r="D135" s="27"/>
      <c r="E135" s="27"/>
      <c r="F135" s="27"/>
      <c r="G135" s="27"/>
      <c r="H135" s="27"/>
      <c r="I135" s="27"/>
      <c r="J135" s="27"/>
      <c r="K135" s="27"/>
      <c r="L135" s="58">
        <f>L71</f>
        <v>160775</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9460</v>
      </c>
      <c r="I140" s="27"/>
      <c r="J140" s="58">
        <v>540</v>
      </c>
      <c r="K140" s="27"/>
      <c r="L140" s="58">
        <f>J140+H140</f>
        <v>10000</v>
      </c>
      <c r="M140" s="27"/>
      <c r="N140" s="124"/>
    </row>
    <row r="141" spans="1:14" ht="15.75">
      <c r="A141" s="26"/>
      <c r="B141" s="27" t="s">
        <v>99</v>
      </c>
      <c r="C141" s="27"/>
      <c r="D141" s="27"/>
      <c r="E141" s="27"/>
      <c r="F141" s="27"/>
      <c r="G141" s="27"/>
      <c r="H141" s="58">
        <v>1619</v>
      </c>
      <c r="I141" s="27"/>
      <c r="J141" s="58">
        <v>8</v>
      </c>
      <c r="K141" s="27"/>
      <c r="L141" s="58">
        <f>J141+H141</f>
        <v>1627</v>
      </c>
      <c r="M141" s="27"/>
      <c r="N141" s="124"/>
    </row>
    <row r="142" spans="1:14" ht="15.75">
      <c r="A142" s="26"/>
      <c r="B142" s="27" t="s">
        <v>100</v>
      </c>
      <c r="C142" s="27"/>
      <c r="D142" s="27"/>
      <c r="E142" s="27"/>
      <c r="F142" s="27"/>
      <c r="G142" s="27"/>
      <c r="H142" s="58">
        <f>H140+H141</f>
        <v>11079</v>
      </c>
      <c r="I142" s="27"/>
      <c r="J142" s="58">
        <f>J141+J140</f>
        <v>548</v>
      </c>
      <c r="K142" s="27"/>
      <c r="L142" s="58">
        <f>J142+H142</f>
        <v>11627</v>
      </c>
      <c r="M142" s="27"/>
      <c r="N142" s="124"/>
    </row>
    <row r="143" spans="1:14" ht="15.75">
      <c r="A143" s="26"/>
      <c r="B143" s="27" t="s">
        <v>101</v>
      </c>
      <c r="C143" s="27"/>
      <c r="D143" s="27"/>
      <c r="E143" s="27"/>
      <c r="F143" s="27"/>
      <c r="G143" s="27"/>
      <c r="H143" s="58">
        <f>H139-H142-J142</f>
        <v>8373</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1.546814044213264</v>
      </c>
      <c r="M147" s="27" t="s">
        <v>189</v>
      </c>
      <c r="N147" s="124"/>
    </row>
    <row r="148" spans="1:14" ht="15.75">
      <c r="A148" s="26"/>
      <c r="B148" s="27" t="s">
        <v>104</v>
      </c>
      <c r="C148" s="27"/>
      <c r="D148" s="27"/>
      <c r="E148" s="27"/>
      <c r="F148" s="27"/>
      <c r="G148" s="27"/>
      <c r="H148" s="27"/>
      <c r="I148" s="27"/>
      <c r="J148" s="27"/>
      <c r="K148" s="27"/>
      <c r="L148" s="66">
        <v>1.34</v>
      </c>
      <c r="M148" s="27" t="s">
        <v>189</v>
      </c>
      <c r="N148" s="124"/>
    </row>
    <row r="149" spans="1:14" ht="15.75">
      <c r="A149" s="26"/>
      <c r="B149" s="27" t="s">
        <v>105</v>
      </c>
      <c r="C149" s="27"/>
      <c r="D149" s="27"/>
      <c r="E149" s="27"/>
      <c r="F149" s="27"/>
      <c r="G149" s="27"/>
      <c r="H149" s="27"/>
      <c r="I149" s="27"/>
      <c r="J149" s="27"/>
      <c r="K149" s="27"/>
      <c r="L149" s="66">
        <f>(L80+SUM(L82:L86))/-L87</f>
        <v>3.8227272727272728</v>
      </c>
      <c r="M149" s="27" t="s">
        <v>189</v>
      </c>
      <c r="N149" s="124"/>
    </row>
    <row r="150" spans="1:14" ht="15.75">
      <c r="A150" s="26"/>
      <c r="B150" s="27" t="s">
        <v>106</v>
      </c>
      <c r="C150" s="27"/>
      <c r="D150" s="27"/>
      <c r="E150" s="27"/>
      <c r="F150" s="27"/>
      <c r="G150" s="27"/>
      <c r="H150" s="27"/>
      <c r="I150" s="27"/>
      <c r="J150" s="27"/>
      <c r="K150" s="27"/>
      <c r="L150" s="75">
        <v>2.62</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9.5" thickBot="1">
      <c r="A153" s="129"/>
      <c r="B153" s="130" t="s">
        <v>202</v>
      </c>
      <c r="C153" s="131"/>
      <c r="D153" s="131"/>
      <c r="E153" s="131"/>
      <c r="F153" s="131"/>
      <c r="G153" s="131"/>
      <c r="H153" s="131"/>
      <c r="I153" s="131"/>
      <c r="J153" s="131"/>
      <c r="K153" s="131"/>
      <c r="L153" s="131"/>
      <c r="M153" s="134"/>
      <c r="N153" s="124"/>
    </row>
    <row r="154" spans="1:14" ht="15.75">
      <c r="A154" s="2"/>
      <c r="B154" s="76"/>
      <c r="C154" s="76"/>
      <c r="D154" s="76"/>
      <c r="E154" s="76"/>
      <c r="F154" s="76"/>
      <c r="G154" s="76"/>
      <c r="H154" s="76"/>
      <c r="I154" s="76"/>
      <c r="J154" s="76"/>
      <c r="K154" s="76"/>
      <c r="L154" s="76"/>
      <c r="M154" s="76"/>
      <c r="N154" s="124"/>
    </row>
    <row r="155" spans="1:14" ht="15.75">
      <c r="A155" s="77"/>
      <c r="B155" s="56" t="s">
        <v>107</v>
      </c>
      <c r="C155" s="78"/>
      <c r="D155" s="78"/>
      <c r="E155" s="78"/>
      <c r="F155" s="78"/>
      <c r="G155" s="20"/>
      <c r="H155" s="20"/>
      <c r="I155" s="20"/>
      <c r="J155" s="20">
        <v>37315</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0.0628</v>
      </c>
      <c r="K160" s="27"/>
      <c r="L160" s="27"/>
      <c r="M160" s="27"/>
      <c r="N160" s="124"/>
    </row>
    <row r="161" spans="1:14" ht="15.75">
      <c r="A161" s="84"/>
      <c r="B161" s="85" t="s">
        <v>112</v>
      </c>
      <c r="C161" s="86"/>
      <c r="D161" s="86"/>
      <c r="E161" s="86"/>
      <c r="F161" s="86"/>
      <c r="G161" s="72"/>
      <c r="H161" s="72"/>
      <c r="I161" s="72"/>
      <c r="J161" s="87">
        <f>L33</f>
        <v>0.04418208566537888</v>
      </c>
      <c r="K161" s="27"/>
      <c r="L161" s="27"/>
      <c r="M161" s="27"/>
      <c r="N161" s="124"/>
    </row>
    <row r="162" spans="1:14" ht="15.75">
      <c r="A162" s="84"/>
      <c r="B162" s="85" t="s">
        <v>113</v>
      </c>
      <c r="C162" s="86"/>
      <c r="D162" s="86"/>
      <c r="E162" s="86"/>
      <c r="F162" s="86"/>
      <c r="G162" s="72"/>
      <c r="H162" s="72"/>
      <c r="I162" s="72"/>
      <c r="J162" s="87">
        <f>J160-J161</f>
        <v>0.018617914334621115</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17.78</v>
      </c>
      <c r="K166" s="27" t="s">
        <v>182</v>
      </c>
      <c r="L166" s="27"/>
      <c r="M166" s="27"/>
      <c r="N166" s="124"/>
    </row>
    <row r="167" spans="1:14" ht="15.75">
      <c r="A167" s="84"/>
      <c r="B167" s="85" t="s">
        <v>118</v>
      </c>
      <c r="C167" s="86"/>
      <c r="D167" s="86"/>
      <c r="E167" s="86"/>
      <c r="F167" s="86"/>
      <c r="G167" s="72"/>
      <c r="H167" s="72"/>
      <c r="I167" s="72"/>
      <c r="J167" s="87">
        <f>F56/'Nov 2001'!L56</f>
        <v>0.035630317279491966</v>
      </c>
      <c r="K167" s="27"/>
      <c r="L167" s="27"/>
      <c r="M167" s="27"/>
      <c r="N167" s="124"/>
    </row>
    <row r="168" spans="1:14" ht="15.75">
      <c r="A168" s="84"/>
      <c r="B168" s="85" t="s">
        <v>119</v>
      </c>
      <c r="C168" s="86"/>
      <c r="D168" s="86"/>
      <c r="E168" s="86"/>
      <c r="F168" s="86"/>
      <c r="G168" s="72"/>
      <c r="H168" s="72"/>
      <c r="I168" s="72"/>
      <c r="J168" s="87">
        <v>0.0988</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v>15</v>
      </c>
      <c r="J171" s="96">
        <v>493</v>
      </c>
      <c r="K171" s="27"/>
      <c r="L171" s="90"/>
      <c r="M171" s="97"/>
      <c r="N171" s="124"/>
    </row>
    <row r="172" spans="1:14" ht="15.75">
      <c r="A172" s="95"/>
      <c r="B172" s="85" t="s">
        <v>122</v>
      </c>
      <c r="C172" s="59"/>
      <c r="D172" s="59"/>
      <c r="E172" s="59"/>
      <c r="F172" s="27"/>
      <c r="G172" s="27"/>
      <c r="H172" s="27"/>
      <c r="I172" s="28">
        <v>2</v>
      </c>
      <c r="J172" s="96">
        <v>63</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0</v>
      </c>
      <c r="J176" s="96">
        <v>0</v>
      </c>
      <c r="K176" s="27"/>
      <c r="L176" s="90"/>
      <c r="M176" s="99"/>
      <c r="N176" s="124"/>
    </row>
    <row r="177" spans="1:14" ht="15.75">
      <c r="A177" s="95"/>
      <c r="B177" s="85" t="s">
        <v>127</v>
      </c>
      <c r="C177" s="59"/>
      <c r="D177" s="59"/>
      <c r="E177" s="59"/>
      <c r="F177" s="59"/>
      <c r="G177" s="27"/>
      <c r="H177" s="27"/>
      <c r="I177" s="27">
        <v>1</v>
      </c>
      <c r="J177" s="96">
        <v>1</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v>0</v>
      </c>
      <c r="J180" s="96">
        <v>0</v>
      </c>
      <c r="K180" s="27"/>
      <c r="L180" s="90"/>
      <c r="M180" s="99"/>
      <c r="N180" s="124"/>
    </row>
    <row r="181" spans="1:14" ht="15.75">
      <c r="A181" s="95"/>
      <c r="B181" s="85" t="s">
        <v>130</v>
      </c>
      <c r="C181" s="59"/>
      <c r="D181" s="100"/>
      <c r="E181" s="100"/>
      <c r="F181" s="101"/>
      <c r="G181" s="27"/>
      <c r="H181" s="27"/>
      <c r="I181" s="27"/>
      <c r="J181" s="96">
        <v>0</v>
      </c>
      <c r="K181" s="27"/>
      <c r="L181" s="90"/>
      <c r="M181" s="99"/>
      <c r="N181" s="124"/>
    </row>
    <row r="182" spans="1:14" ht="15.75">
      <c r="A182" s="95"/>
      <c r="B182" s="85" t="s">
        <v>131</v>
      </c>
      <c r="C182" s="59"/>
      <c r="D182" s="100"/>
      <c r="E182" s="100"/>
      <c r="F182" s="101"/>
      <c r="G182" s="27"/>
      <c r="H182" s="27"/>
      <c r="I182" s="27"/>
      <c r="J182" s="96">
        <v>0</v>
      </c>
      <c r="K182" s="27"/>
      <c r="L182" s="90"/>
      <c r="M182" s="99"/>
      <c r="N182" s="124"/>
    </row>
    <row r="183" spans="1:14" ht="15.75">
      <c r="A183" s="95"/>
      <c r="B183" s="85" t="s">
        <v>132</v>
      </c>
      <c r="C183" s="59"/>
      <c r="D183" s="102"/>
      <c r="E183" s="100"/>
      <c r="F183" s="101"/>
      <c r="G183" s="27"/>
      <c r="H183" s="27"/>
      <c r="I183" s="27"/>
      <c r="J183" s="103">
        <v>0</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2859</v>
      </c>
      <c r="I186" s="105">
        <f>H186/H191</f>
        <v>0.9848432655873235</v>
      </c>
      <c r="J186" s="58">
        <v>159292</v>
      </c>
      <c r="K186" s="106">
        <f>J186/J191</f>
        <v>0.9907759290934536</v>
      </c>
      <c r="L186" s="90"/>
      <c r="M186" s="99"/>
      <c r="N186" s="124"/>
    </row>
    <row r="187" spans="1:14" ht="15.75">
      <c r="A187" s="26"/>
      <c r="B187" s="59" t="s">
        <v>135</v>
      </c>
      <c r="C187" s="105"/>
      <c r="D187" s="59"/>
      <c r="E187" s="105"/>
      <c r="F187" s="27"/>
      <c r="G187" s="107"/>
      <c r="H187" s="59">
        <v>16</v>
      </c>
      <c r="I187" s="105">
        <f>H187/H191</f>
        <v>0.005511539786427834</v>
      </c>
      <c r="J187" s="58">
        <v>652</v>
      </c>
      <c r="K187" s="106">
        <f>J187/J191</f>
        <v>0.004055356865184264</v>
      </c>
      <c r="L187" s="90"/>
      <c r="M187" s="99"/>
      <c r="N187" s="124"/>
    </row>
    <row r="188" spans="1:14" ht="15.75">
      <c r="A188" s="26"/>
      <c r="B188" s="59" t="s">
        <v>136</v>
      </c>
      <c r="C188" s="105"/>
      <c r="D188" s="59"/>
      <c r="E188" s="105"/>
      <c r="F188" s="27"/>
      <c r="G188" s="107"/>
      <c r="H188" s="59">
        <v>8</v>
      </c>
      <c r="I188" s="105">
        <f>H188/H191</f>
        <v>0.002755769893213917</v>
      </c>
      <c r="J188" s="58">
        <v>181</v>
      </c>
      <c r="K188" s="106">
        <f>J188/J191</f>
        <v>0.0011257969211631161</v>
      </c>
      <c r="L188" s="90"/>
      <c r="M188" s="99"/>
      <c r="N188" s="124"/>
    </row>
    <row r="189" spans="1:14" ht="15.75">
      <c r="A189" s="26"/>
      <c r="B189" s="59" t="s">
        <v>137</v>
      </c>
      <c r="C189" s="105"/>
      <c r="D189" s="59"/>
      <c r="E189" s="105"/>
      <c r="F189" s="27"/>
      <c r="G189" s="107"/>
      <c r="H189" s="59">
        <f>3+4+4+9</f>
        <v>20</v>
      </c>
      <c r="I189" s="105">
        <f>H189/H191</f>
        <v>0.006889424733034792</v>
      </c>
      <c r="J189" s="58">
        <f>84+115+135+316</f>
        <v>650</v>
      </c>
      <c r="K189" s="106">
        <f>J189/$J191</f>
        <v>0.004042917120199036</v>
      </c>
      <c r="L189" s="90"/>
      <c r="M189" s="99"/>
      <c r="N189" s="124"/>
    </row>
    <row r="190" spans="1:14" ht="15.75">
      <c r="A190" s="26"/>
      <c r="B190" s="30"/>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2903</v>
      </c>
      <c r="I191" s="109">
        <f>SUM(I186:I190)</f>
        <v>1</v>
      </c>
      <c r="J191" s="58">
        <f>SUM(J186:J190)</f>
        <v>160775</v>
      </c>
      <c r="K191" s="109">
        <f>SUM(K186:K190)</f>
        <v>0.9999999999999999</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5"/>
      <c r="K194" s="15"/>
      <c r="L194" s="15"/>
      <c r="M194" s="15"/>
      <c r="N194" s="124"/>
    </row>
    <row r="195" spans="1:14" ht="15.75">
      <c r="A195" s="117"/>
      <c r="B195" s="15"/>
      <c r="C195" s="15"/>
      <c r="D195" s="10"/>
      <c r="E195" s="10"/>
      <c r="F195" s="10"/>
      <c r="G195" s="15"/>
      <c r="H195" s="15"/>
      <c r="I195" s="15"/>
      <c r="J195" s="15"/>
      <c r="K195" s="15"/>
      <c r="L195" s="15"/>
      <c r="M195" s="15"/>
      <c r="N195" s="124"/>
    </row>
    <row r="196" spans="1:14" ht="15.75">
      <c r="A196" s="117"/>
      <c r="B196" s="16" t="s">
        <v>139</v>
      </c>
      <c r="C196" s="118"/>
      <c r="D196" s="119" t="s">
        <v>147</v>
      </c>
      <c r="E196" s="16"/>
      <c r="F196" s="16" t="s">
        <v>160</v>
      </c>
      <c r="G196" s="118"/>
      <c r="H196" s="118"/>
      <c r="I196" s="15"/>
      <c r="J196" s="15"/>
      <c r="K196" s="15"/>
      <c r="L196" s="15"/>
      <c r="M196" s="15"/>
      <c r="N196" s="124"/>
    </row>
    <row r="197" spans="1:14" ht="15.75">
      <c r="A197" s="117"/>
      <c r="B197" s="16" t="s">
        <v>140</v>
      </c>
      <c r="C197" s="118"/>
      <c r="D197" s="119" t="s">
        <v>148</v>
      </c>
      <c r="E197" s="16"/>
      <c r="F197" s="16" t="s">
        <v>161</v>
      </c>
      <c r="G197" s="118"/>
      <c r="H197" s="118"/>
      <c r="I197" s="15"/>
      <c r="J197" s="15"/>
      <c r="K197" s="15"/>
      <c r="L197" s="15"/>
      <c r="M197" s="15"/>
      <c r="N197" s="124"/>
    </row>
    <row r="198" spans="1:14" ht="15.75">
      <c r="A198" s="117"/>
      <c r="B198" s="16"/>
      <c r="C198" s="118"/>
      <c r="D198" s="119"/>
      <c r="E198" s="16"/>
      <c r="F198" s="16"/>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8.75">
      <c r="A200" s="117"/>
      <c r="B200" s="54" t="s">
        <v>202</v>
      </c>
      <c r="C200" s="118"/>
      <c r="D200" s="119"/>
      <c r="E200" s="16"/>
      <c r="F200" s="16"/>
      <c r="G200" s="118"/>
      <c r="H200" s="118"/>
      <c r="I200" s="15"/>
      <c r="J200" s="15"/>
      <c r="K200" s="15"/>
      <c r="L200" s="15"/>
      <c r="M200" s="15"/>
      <c r="N200" s="124"/>
    </row>
    <row r="201" spans="1:13" ht="15">
      <c r="A201" s="125"/>
      <c r="B201" s="125"/>
      <c r="C201" s="125"/>
      <c r="D201" s="125"/>
      <c r="E201" s="125"/>
      <c r="F201" s="125"/>
      <c r="G201" s="125"/>
      <c r="H201" s="125"/>
      <c r="I201" s="125"/>
      <c r="J201" s="125"/>
      <c r="K201" s="125"/>
      <c r="L201" s="125"/>
      <c r="M201"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xl/worksheets/sheet9.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3359375" style="1" customWidth="1"/>
    <col min="14" max="16384" width="9.6640625" style="1" customWidth="1"/>
  </cols>
  <sheetData>
    <row r="1" spans="1:14" ht="20.25">
      <c r="A1" s="2"/>
      <c r="B1" s="3" t="s">
        <v>0</v>
      </c>
      <c r="C1" s="4"/>
      <c r="D1" s="5"/>
      <c r="E1" s="5"/>
      <c r="F1" s="5"/>
      <c r="G1" s="5"/>
      <c r="H1" s="5"/>
      <c r="I1" s="5"/>
      <c r="J1" s="5"/>
      <c r="K1" s="5"/>
      <c r="L1" s="5"/>
      <c r="M1" s="5"/>
      <c r="N1" s="124"/>
    </row>
    <row r="2" spans="1:14" ht="15.75">
      <c r="A2" s="8"/>
      <c r="B2" s="9"/>
      <c r="C2" s="9"/>
      <c r="D2" s="10"/>
      <c r="E2" s="10"/>
      <c r="F2" s="10"/>
      <c r="G2" s="10"/>
      <c r="H2" s="10"/>
      <c r="I2" s="10"/>
      <c r="J2" s="10"/>
      <c r="K2" s="10"/>
      <c r="L2" s="10"/>
      <c r="M2" s="10"/>
      <c r="N2" s="124"/>
    </row>
    <row r="3" spans="1:14" ht="15.75">
      <c r="A3" s="11"/>
      <c r="B3" s="143" t="s">
        <v>1</v>
      </c>
      <c r="C3" s="10"/>
      <c r="D3" s="10"/>
      <c r="E3" s="10"/>
      <c r="F3" s="10"/>
      <c r="G3" s="10"/>
      <c r="H3" s="10"/>
      <c r="I3" s="10"/>
      <c r="J3" s="10"/>
      <c r="K3" s="10"/>
      <c r="L3" s="10"/>
      <c r="M3" s="10"/>
      <c r="N3" s="124"/>
    </row>
    <row r="4" spans="1:14" ht="15.75">
      <c r="A4" s="8"/>
      <c r="B4" s="9"/>
      <c r="C4" s="9"/>
      <c r="D4" s="10"/>
      <c r="E4" s="10"/>
      <c r="F4" s="10"/>
      <c r="G4" s="10"/>
      <c r="H4" s="10"/>
      <c r="I4" s="10"/>
      <c r="J4" s="10"/>
      <c r="K4" s="10"/>
      <c r="L4" s="10"/>
      <c r="M4" s="10"/>
      <c r="N4" s="124"/>
    </row>
    <row r="5" spans="1:14" ht="12" customHeight="1">
      <c r="A5" s="8"/>
      <c r="B5" s="13" t="s">
        <v>2</v>
      </c>
      <c r="C5" s="14"/>
      <c r="D5" s="10"/>
      <c r="E5" s="10"/>
      <c r="F5" s="10"/>
      <c r="G5" s="10"/>
      <c r="H5" s="10"/>
      <c r="I5" s="10"/>
      <c r="J5" s="10"/>
      <c r="K5" s="10"/>
      <c r="L5" s="10"/>
      <c r="M5" s="10"/>
      <c r="N5" s="124"/>
    </row>
    <row r="6" spans="1:14" ht="12" customHeight="1">
      <c r="A6" s="8"/>
      <c r="B6" s="13" t="s">
        <v>3</v>
      </c>
      <c r="C6" s="14"/>
      <c r="D6" s="10"/>
      <c r="E6" s="10"/>
      <c r="F6" s="10"/>
      <c r="G6" s="10"/>
      <c r="H6" s="10"/>
      <c r="I6" s="10"/>
      <c r="J6" s="10"/>
      <c r="K6" s="10"/>
      <c r="L6" s="10"/>
      <c r="M6" s="10"/>
      <c r="N6" s="124"/>
    </row>
    <row r="7" spans="1:14" ht="12" customHeight="1">
      <c r="A7" s="8"/>
      <c r="B7" s="13" t="s">
        <v>4</v>
      </c>
      <c r="C7" s="14"/>
      <c r="D7" s="10"/>
      <c r="E7" s="10"/>
      <c r="F7" s="10"/>
      <c r="G7" s="10"/>
      <c r="H7" s="10"/>
      <c r="I7" s="10"/>
      <c r="J7" s="10"/>
      <c r="K7" s="10"/>
      <c r="L7" s="10"/>
      <c r="M7" s="10"/>
      <c r="N7" s="124"/>
    </row>
    <row r="8" spans="1:14" ht="12" customHeight="1">
      <c r="A8" s="8"/>
      <c r="B8" s="13" t="s">
        <v>5</v>
      </c>
      <c r="C8" s="14"/>
      <c r="D8" s="10"/>
      <c r="E8" s="10"/>
      <c r="F8" s="10"/>
      <c r="G8" s="10"/>
      <c r="H8" s="10"/>
      <c r="I8" s="10"/>
      <c r="J8" s="10"/>
      <c r="K8" s="10"/>
      <c r="L8" s="10"/>
      <c r="M8" s="10"/>
      <c r="N8" s="124"/>
    </row>
    <row r="9" spans="1:14" ht="12" customHeight="1">
      <c r="A9" s="8"/>
      <c r="B9" s="15"/>
      <c r="C9" s="14"/>
      <c r="D9" s="10"/>
      <c r="E9" s="10"/>
      <c r="F9" s="10"/>
      <c r="G9" s="10"/>
      <c r="H9" s="10"/>
      <c r="I9" s="10"/>
      <c r="J9" s="10"/>
      <c r="K9" s="10"/>
      <c r="L9" s="10"/>
      <c r="M9" s="10"/>
      <c r="N9" s="124"/>
    </row>
    <row r="10" spans="1:14" ht="15.75">
      <c r="A10" s="8"/>
      <c r="B10" s="13"/>
      <c r="C10" s="14"/>
      <c r="D10" s="16"/>
      <c r="E10" s="16"/>
      <c r="F10" s="10"/>
      <c r="G10" s="10"/>
      <c r="H10" s="10"/>
      <c r="I10" s="10"/>
      <c r="J10" s="10"/>
      <c r="K10" s="10"/>
      <c r="L10" s="10"/>
      <c r="M10" s="10"/>
      <c r="N10" s="124"/>
    </row>
    <row r="11" spans="1:14" ht="15.75">
      <c r="A11" s="8"/>
      <c r="B11" s="16" t="s">
        <v>6</v>
      </c>
      <c r="C11" s="16"/>
      <c r="D11" s="10"/>
      <c r="E11" s="10"/>
      <c r="F11" s="10"/>
      <c r="G11" s="10"/>
      <c r="H11" s="10"/>
      <c r="I11" s="10"/>
      <c r="J11" s="10"/>
      <c r="K11" s="10"/>
      <c r="L11" s="10"/>
      <c r="M11" s="10"/>
      <c r="N11" s="124"/>
    </row>
    <row r="12" spans="1:14" ht="15.75">
      <c r="A12" s="8"/>
      <c r="B12" s="16"/>
      <c r="C12" s="16"/>
      <c r="D12" s="10"/>
      <c r="E12" s="10"/>
      <c r="F12" s="10"/>
      <c r="G12" s="10"/>
      <c r="H12" s="10"/>
      <c r="I12" s="10"/>
      <c r="J12" s="10"/>
      <c r="K12" s="10"/>
      <c r="L12" s="10"/>
      <c r="M12" s="10"/>
      <c r="N12" s="124"/>
    </row>
    <row r="13" spans="1:14" ht="15.75">
      <c r="A13" s="2"/>
      <c r="B13" s="5"/>
      <c r="C13" s="5"/>
      <c r="D13" s="5"/>
      <c r="E13" s="5"/>
      <c r="F13" s="5"/>
      <c r="G13" s="5"/>
      <c r="H13" s="5"/>
      <c r="I13" s="5"/>
      <c r="J13" s="5"/>
      <c r="K13" s="5"/>
      <c r="L13" s="5"/>
      <c r="M13" s="5"/>
      <c r="N13" s="124"/>
    </row>
    <row r="14" spans="1:14" ht="15.75">
      <c r="A14" s="8"/>
      <c r="B14" s="17" t="s">
        <v>7</v>
      </c>
      <c r="C14" s="17"/>
      <c r="D14" s="18"/>
      <c r="E14" s="18"/>
      <c r="F14" s="18"/>
      <c r="G14" s="18"/>
      <c r="H14" s="18"/>
      <c r="I14" s="18"/>
      <c r="J14" s="18"/>
      <c r="K14" s="18"/>
      <c r="L14" s="19" t="s">
        <v>183</v>
      </c>
      <c r="M14" s="18"/>
      <c r="N14" s="124"/>
    </row>
    <row r="15" spans="1:14" ht="15.75">
      <c r="A15" s="8"/>
      <c r="B15" s="17" t="s">
        <v>193</v>
      </c>
      <c r="C15" s="17"/>
      <c r="D15" s="18"/>
      <c r="E15" s="18"/>
      <c r="F15" s="18"/>
      <c r="G15" s="18"/>
      <c r="H15" s="63"/>
      <c r="I15" s="126"/>
      <c r="J15" s="63" t="s">
        <v>197</v>
      </c>
      <c r="K15" s="126">
        <v>1</v>
      </c>
      <c r="L15" s="19"/>
      <c r="M15" s="18"/>
      <c r="N15" s="124"/>
    </row>
    <row r="16" spans="1:14" ht="15.75">
      <c r="A16" s="8"/>
      <c r="B16" s="17" t="s">
        <v>194</v>
      </c>
      <c r="C16" s="17"/>
      <c r="D16" s="18"/>
      <c r="E16" s="18"/>
      <c r="F16" s="18"/>
      <c r="G16" s="18"/>
      <c r="H16" s="63"/>
      <c r="I16" s="126"/>
      <c r="J16" s="63" t="s">
        <v>197</v>
      </c>
      <c r="K16" s="126">
        <v>1</v>
      </c>
      <c r="L16" s="19"/>
      <c r="M16" s="18"/>
      <c r="N16" s="124"/>
    </row>
    <row r="17" spans="1:14" ht="15.75">
      <c r="A17" s="8"/>
      <c r="B17" s="17" t="s">
        <v>8</v>
      </c>
      <c r="C17" s="17"/>
      <c r="D17" s="18"/>
      <c r="E17" s="18"/>
      <c r="F17" s="18"/>
      <c r="G17" s="18"/>
      <c r="H17" s="18"/>
      <c r="I17" s="18"/>
      <c r="J17" s="18"/>
      <c r="K17" s="18"/>
      <c r="L17" s="20">
        <v>36585</v>
      </c>
      <c r="M17" s="18"/>
      <c r="N17" s="124"/>
    </row>
    <row r="18" spans="1:14" ht="15.75">
      <c r="A18" s="8"/>
      <c r="B18" s="17" t="s">
        <v>9</v>
      </c>
      <c r="C18" s="17"/>
      <c r="D18" s="18"/>
      <c r="E18" s="18"/>
      <c r="F18" s="18"/>
      <c r="G18" s="18"/>
      <c r="H18" s="18"/>
      <c r="I18" s="18"/>
      <c r="J18" s="18"/>
      <c r="K18" s="18"/>
      <c r="L18" s="20">
        <v>37427</v>
      </c>
      <c r="M18" s="18"/>
      <c r="N18" s="124"/>
    </row>
    <row r="19" spans="1:14" ht="15.75">
      <c r="A19" s="8"/>
      <c r="B19" s="10"/>
      <c r="C19" s="10"/>
      <c r="D19" s="10"/>
      <c r="E19" s="10"/>
      <c r="F19" s="10"/>
      <c r="G19" s="10"/>
      <c r="H19" s="10"/>
      <c r="I19" s="10"/>
      <c r="J19" s="10"/>
      <c r="K19" s="10"/>
      <c r="L19" s="21"/>
      <c r="M19" s="10"/>
      <c r="N19" s="124"/>
    </row>
    <row r="20" spans="1:14" ht="15.75">
      <c r="A20" s="8"/>
      <c r="B20" s="22" t="s">
        <v>10</v>
      </c>
      <c r="C20" s="10"/>
      <c r="D20" s="10"/>
      <c r="E20" s="10"/>
      <c r="F20" s="10"/>
      <c r="G20" s="10"/>
      <c r="H20" s="10"/>
      <c r="I20" s="10"/>
      <c r="J20" s="21" t="s">
        <v>172</v>
      </c>
      <c r="K20" s="10"/>
      <c r="L20" s="15"/>
      <c r="M20" s="10"/>
      <c r="N20" s="124"/>
    </row>
    <row r="21" spans="1:14" ht="15.75">
      <c r="A21" s="8"/>
      <c r="B21" s="10"/>
      <c r="C21" s="10"/>
      <c r="D21" s="10"/>
      <c r="E21" s="10"/>
      <c r="F21" s="10"/>
      <c r="G21" s="10"/>
      <c r="H21" s="10"/>
      <c r="I21" s="10"/>
      <c r="J21" s="10"/>
      <c r="K21" s="10"/>
      <c r="L21" s="23"/>
      <c r="M21" s="10"/>
      <c r="N21" s="124"/>
    </row>
    <row r="22" spans="1:14" ht="15.75">
      <c r="A22" s="8"/>
      <c r="B22" s="10"/>
      <c r="C22" s="144" t="s">
        <v>141</v>
      </c>
      <c r="D22" s="24"/>
      <c r="E22" s="24"/>
      <c r="F22" s="145" t="s">
        <v>149</v>
      </c>
      <c r="G22" s="145"/>
      <c r="H22" s="145" t="s">
        <v>162</v>
      </c>
      <c r="I22" s="145"/>
      <c r="J22" s="24"/>
      <c r="K22" s="15"/>
      <c r="L22" s="15"/>
      <c r="M22" s="10"/>
      <c r="N22" s="124"/>
    </row>
    <row r="23" spans="1:14" ht="15.75">
      <c r="A23" s="8"/>
      <c r="B23" s="10" t="s">
        <v>11</v>
      </c>
      <c r="C23" s="144" t="s">
        <v>142</v>
      </c>
      <c r="D23" s="24"/>
      <c r="E23" s="24"/>
      <c r="F23" s="24" t="s">
        <v>150</v>
      </c>
      <c r="G23" s="24"/>
      <c r="H23" s="24" t="s">
        <v>163</v>
      </c>
      <c r="I23" s="24"/>
      <c r="J23" s="24"/>
      <c r="K23" s="15"/>
      <c r="L23" s="15"/>
      <c r="M23" s="10"/>
      <c r="N23" s="124"/>
    </row>
    <row r="24" spans="1:14" ht="15.75">
      <c r="A24" s="26"/>
      <c r="B24" s="27" t="s">
        <v>12</v>
      </c>
      <c r="C24" s="28"/>
      <c r="D24" s="29"/>
      <c r="E24" s="29"/>
      <c r="F24" s="29" t="s">
        <v>151</v>
      </c>
      <c r="G24" s="29"/>
      <c r="H24" s="29" t="s">
        <v>164</v>
      </c>
      <c r="I24" s="29"/>
      <c r="J24" s="29"/>
      <c r="K24" s="30"/>
      <c r="L24" s="30"/>
      <c r="M24" s="27"/>
      <c r="N24" s="124"/>
    </row>
    <row r="25" spans="1:14" ht="15.75">
      <c r="A25" s="31"/>
      <c r="B25" s="32" t="s">
        <v>13</v>
      </c>
      <c r="C25" s="32"/>
      <c r="D25" s="33"/>
      <c r="E25" s="33"/>
      <c r="F25" s="33" t="s">
        <v>150</v>
      </c>
      <c r="G25" s="33"/>
      <c r="H25" s="33" t="s">
        <v>163</v>
      </c>
      <c r="I25" s="33"/>
      <c r="J25" s="29"/>
      <c r="K25" s="30"/>
      <c r="L25" s="30"/>
      <c r="M25" s="27"/>
      <c r="N25" s="124"/>
    </row>
    <row r="26" spans="1:14" ht="15.75">
      <c r="A26" s="31"/>
      <c r="B26" s="32" t="s">
        <v>14</v>
      </c>
      <c r="C26" s="32"/>
      <c r="D26" s="33"/>
      <c r="E26" s="33"/>
      <c r="F26" s="33" t="s">
        <v>151</v>
      </c>
      <c r="G26" s="33"/>
      <c r="H26" s="33" t="s">
        <v>164</v>
      </c>
      <c r="I26" s="33"/>
      <c r="J26" s="29"/>
      <c r="K26" s="30"/>
      <c r="L26" s="30"/>
      <c r="M26" s="27"/>
      <c r="N26" s="124"/>
    </row>
    <row r="27" spans="1:14" ht="15.75">
      <c r="A27" s="26"/>
      <c r="B27" s="27" t="s">
        <v>15</v>
      </c>
      <c r="C27" s="27"/>
      <c r="D27" s="28"/>
      <c r="E27" s="29"/>
      <c r="F27" s="28" t="s">
        <v>152</v>
      </c>
      <c r="G27" s="29"/>
      <c r="H27" s="28" t="s">
        <v>165</v>
      </c>
      <c r="I27" s="29"/>
      <c r="J27" s="28"/>
      <c r="K27" s="30"/>
      <c r="L27" s="30"/>
      <c r="M27" s="27"/>
      <c r="N27" s="124"/>
    </row>
    <row r="28" spans="1:14" ht="15.75">
      <c r="A28" s="26"/>
      <c r="B28" s="27"/>
      <c r="C28" s="27"/>
      <c r="D28" s="27"/>
      <c r="E28" s="29"/>
      <c r="F28" s="29"/>
      <c r="G28" s="29"/>
      <c r="H28" s="29"/>
      <c r="I28" s="29"/>
      <c r="J28" s="29"/>
      <c r="K28" s="30"/>
      <c r="L28" s="30"/>
      <c r="M28" s="27"/>
      <c r="N28" s="124"/>
    </row>
    <row r="29" spans="1:14" ht="15.75">
      <c r="A29" s="26"/>
      <c r="B29" s="27" t="s">
        <v>16</v>
      </c>
      <c r="C29" s="27"/>
      <c r="D29" s="34"/>
      <c r="E29" s="35"/>
      <c r="F29" s="34">
        <v>166500</v>
      </c>
      <c r="G29" s="34"/>
      <c r="H29" s="34">
        <v>18500</v>
      </c>
      <c r="I29" s="34"/>
      <c r="J29" s="34"/>
      <c r="K29" s="36"/>
      <c r="L29" s="34">
        <f>H29+F29</f>
        <v>185000</v>
      </c>
      <c r="M29" s="37"/>
      <c r="N29" s="124"/>
    </row>
    <row r="30" spans="1:14" ht="15.75">
      <c r="A30" s="26"/>
      <c r="B30" s="27" t="s">
        <v>17</v>
      </c>
      <c r="C30" s="38">
        <v>0.854505</v>
      </c>
      <c r="D30" s="34"/>
      <c r="E30" s="35"/>
      <c r="F30" s="34">
        <f>166500*C30</f>
        <v>142275.0825</v>
      </c>
      <c r="G30" s="34"/>
      <c r="H30" s="34">
        <v>18500</v>
      </c>
      <c r="I30" s="34"/>
      <c r="J30" s="34"/>
      <c r="K30" s="36"/>
      <c r="L30" s="34">
        <f>H30+F30</f>
        <v>160775.0825</v>
      </c>
      <c r="M30" s="37"/>
      <c r="N30" s="124"/>
    </row>
    <row r="31" spans="1:14" ht="12.75" customHeight="1">
      <c r="A31" s="31"/>
      <c r="B31" s="32" t="s">
        <v>18</v>
      </c>
      <c r="C31" s="39">
        <v>0.827894</v>
      </c>
      <c r="D31" s="40"/>
      <c r="E31" s="41"/>
      <c r="F31" s="40">
        <f>166500*C31*1</f>
        <v>137844.351</v>
      </c>
      <c r="G31" s="40"/>
      <c r="H31" s="40">
        <v>18500</v>
      </c>
      <c r="I31" s="40"/>
      <c r="J31" s="40"/>
      <c r="K31" s="42"/>
      <c r="L31" s="40">
        <f>H31+F31+D31</f>
        <v>156344.351</v>
      </c>
      <c r="M31" s="37"/>
      <c r="N31" s="124"/>
    </row>
    <row r="32" spans="1:14" ht="15.75">
      <c r="A32" s="26"/>
      <c r="B32" s="27" t="s">
        <v>19</v>
      </c>
      <c r="C32" s="43"/>
      <c r="D32" s="28"/>
      <c r="E32" s="27"/>
      <c r="F32" s="28" t="s">
        <v>153</v>
      </c>
      <c r="G32" s="28"/>
      <c r="H32" s="28" t="s">
        <v>166</v>
      </c>
      <c r="I32" s="28"/>
      <c r="J32" s="28"/>
      <c r="K32" s="30"/>
      <c r="L32" s="30"/>
      <c r="M32" s="27"/>
      <c r="N32" s="124"/>
    </row>
    <row r="33" spans="1:14" ht="15.75">
      <c r="A33" s="26"/>
      <c r="B33" s="27" t="s">
        <v>20</v>
      </c>
      <c r="C33" s="27"/>
      <c r="D33" s="44"/>
      <c r="E33" s="27"/>
      <c r="F33" s="44">
        <v>0.0441125</v>
      </c>
      <c r="G33" s="45"/>
      <c r="H33" s="44">
        <v>0.0498625</v>
      </c>
      <c r="I33" s="45"/>
      <c r="J33" s="44"/>
      <c r="K33" s="30"/>
      <c r="L33" s="45">
        <f>SUMPRODUCT(F33:H33,F30:H30)/L30</f>
        <v>0.04477413859688892</v>
      </c>
      <c r="M33" s="27"/>
      <c r="N33" s="124"/>
    </row>
    <row r="34" spans="1:14" ht="15.75">
      <c r="A34" s="26"/>
      <c r="B34" s="27" t="s">
        <v>21</v>
      </c>
      <c r="C34" s="27"/>
      <c r="D34" s="44"/>
      <c r="E34" s="27"/>
      <c r="F34" s="44">
        <v>0.0435375</v>
      </c>
      <c r="G34" s="45"/>
      <c r="H34" s="44">
        <v>0.0492875</v>
      </c>
      <c r="I34" s="45"/>
      <c r="J34" s="44"/>
      <c r="K34" s="30"/>
      <c r="L34" s="30"/>
      <c r="M34" s="27"/>
      <c r="N34" s="124"/>
    </row>
    <row r="35" spans="1:14" ht="15.75">
      <c r="A35" s="26"/>
      <c r="B35" s="27" t="s">
        <v>22</v>
      </c>
      <c r="C35" s="27"/>
      <c r="D35" s="28"/>
      <c r="E35" s="27"/>
      <c r="F35" s="28" t="s">
        <v>155</v>
      </c>
      <c r="G35" s="28"/>
      <c r="H35" s="28" t="s">
        <v>155</v>
      </c>
      <c r="I35" s="28"/>
      <c r="J35" s="28"/>
      <c r="K35" s="30"/>
      <c r="L35" s="30"/>
      <c r="M35" s="27"/>
      <c r="N35" s="124"/>
    </row>
    <row r="36" spans="1:14" ht="15.75">
      <c r="A36" s="26"/>
      <c r="B36" s="27" t="s">
        <v>23</v>
      </c>
      <c r="C36" s="27"/>
      <c r="D36" s="28"/>
      <c r="E36" s="27"/>
      <c r="F36" s="28" t="s">
        <v>156</v>
      </c>
      <c r="G36" s="28"/>
      <c r="H36" s="28" t="s">
        <v>156</v>
      </c>
      <c r="I36" s="28"/>
      <c r="J36" s="28"/>
      <c r="K36" s="30"/>
      <c r="L36" s="30"/>
      <c r="M36" s="27"/>
      <c r="N36" s="124"/>
    </row>
    <row r="37" spans="1:14" ht="15.75">
      <c r="A37" s="26"/>
      <c r="B37" s="27" t="s">
        <v>24</v>
      </c>
      <c r="C37" s="27"/>
      <c r="D37" s="28"/>
      <c r="E37" s="27"/>
      <c r="F37" s="28" t="s">
        <v>157</v>
      </c>
      <c r="G37" s="28"/>
      <c r="H37" s="28" t="s">
        <v>167</v>
      </c>
      <c r="I37" s="28"/>
      <c r="J37" s="28"/>
      <c r="K37" s="30"/>
      <c r="L37" s="30"/>
      <c r="M37" s="27"/>
      <c r="N37" s="124"/>
    </row>
    <row r="38" spans="1:14" ht="15.75">
      <c r="A38" s="26"/>
      <c r="B38" s="27"/>
      <c r="C38" s="27"/>
      <c r="D38" s="46"/>
      <c r="E38" s="46"/>
      <c r="F38" s="27"/>
      <c r="G38" s="46"/>
      <c r="H38" s="46"/>
      <c r="I38" s="46"/>
      <c r="J38" s="46"/>
      <c r="K38" s="46"/>
      <c r="L38" s="46"/>
      <c r="M38" s="27"/>
      <c r="N38" s="124"/>
    </row>
    <row r="39" spans="1:14" ht="15.75">
      <c r="A39" s="26"/>
      <c r="B39" s="27" t="s">
        <v>25</v>
      </c>
      <c r="C39" s="27"/>
      <c r="D39" s="27"/>
      <c r="E39" s="27"/>
      <c r="F39" s="27"/>
      <c r="G39" s="27"/>
      <c r="H39" s="27"/>
      <c r="I39" s="27"/>
      <c r="J39" s="27"/>
      <c r="K39" s="27"/>
      <c r="L39" s="45">
        <f>H29/F29</f>
        <v>0.1111111111111111</v>
      </c>
      <c r="M39" s="27"/>
      <c r="N39" s="124"/>
    </row>
    <row r="40" spans="1:14" ht="15.75">
      <c r="A40" s="26"/>
      <c r="B40" s="27" t="s">
        <v>26</v>
      </c>
      <c r="C40" s="27"/>
      <c r="D40" s="27"/>
      <c r="E40" s="27"/>
      <c r="F40" s="27"/>
      <c r="G40" s="27"/>
      <c r="H40" s="127"/>
      <c r="I40" s="27"/>
      <c r="J40" s="27"/>
      <c r="K40" s="27"/>
      <c r="L40" s="45">
        <f>H31/F31</f>
        <v>0.13420934456719233</v>
      </c>
      <c r="M40" s="27"/>
      <c r="N40" s="124"/>
    </row>
    <row r="41" spans="1:14" ht="15.75">
      <c r="A41" s="26"/>
      <c r="B41" s="27" t="s">
        <v>27</v>
      </c>
      <c r="C41" s="27"/>
      <c r="D41" s="27"/>
      <c r="E41" s="27"/>
      <c r="F41" s="27"/>
      <c r="G41" s="27"/>
      <c r="H41" s="127"/>
      <c r="I41" s="27"/>
      <c r="J41" s="28" t="s">
        <v>149</v>
      </c>
      <c r="K41" s="28" t="s">
        <v>181</v>
      </c>
      <c r="L41" s="34">
        <v>74000</v>
      </c>
      <c r="M41" s="27"/>
      <c r="N41" s="124"/>
    </row>
    <row r="42" spans="1:14" ht="15.75">
      <c r="A42" s="26"/>
      <c r="B42" s="27"/>
      <c r="C42" s="27"/>
      <c r="D42" s="27"/>
      <c r="E42" s="27"/>
      <c r="F42" s="27"/>
      <c r="G42" s="27"/>
      <c r="H42" s="27"/>
      <c r="I42" s="27"/>
      <c r="J42" s="27" t="s">
        <v>173</v>
      </c>
      <c r="K42" s="27"/>
      <c r="L42" s="47"/>
      <c r="M42" s="27"/>
      <c r="N42" s="124"/>
    </row>
    <row r="43" spans="1:14" ht="15.75">
      <c r="A43" s="26"/>
      <c r="B43" s="27" t="s">
        <v>28</v>
      </c>
      <c r="C43" s="27"/>
      <c r="D43" s="27"/>
      <c r="E43" s="27"/>
      <c r="F43" s="27"/>
      <c r="G43" s="27"/>
      <c r="H43" s="27"/>
      <c r="I43" s="27"/>
      <c r="J43" s="28"/>
      <c r="K43" s="28"/>
      <c r="L43" s="28" t="s">
        <v>184</v>
      </c>
      <c r="M43" s="27"/>
      <c r="N43" s="124"/>
    </row>
    <row r="44" spans="1:14" ht="15.75">
      <c r="A44" s="31"/>
      <c r="B44" s="32" t="s">
        <v>29</v>
      </c>
      <c r="C44" s="32"/>
      <c r="D44" s="32"/>
      <c r="E44" s="32"/>
      <c r="F44" s="32"/>
      <c r="G44" s="32"/>
      <c r="H44" s="32"/>
      <c r="I44" s="32"/>
      <c r="J44" s="48"/>
      <c r="K44" s="48"/>
      <c r="L44" s="49">
        <v>37424</v>
      </c>
      <c r="M44" s="27"/>
      <c r="N44" s="124"/>
    </row>
    <row r="45" spans="1:14" ht="15.75">
      <c r="A45" s="26"/>
      <c r="B45" s="27" t="s">
        <v>30</v>
      </c>
      <c r="C45" s="27"/>
      <c r="D45" s="27"/>
      <c r="E45" s="27"/>
      <c r="F45" s="27"/>
      <c r="G45" s="27"/>
      <c r="H45" s="27"/>
      <c r="I45" s="27">
        <f>L45-J45+1</f>
        <v>88</v>
      </c>
      <c r="J45" s="50">
        <v>37242</v>
      </c>
      <c r="K45" s="51"/>
      <c r="L45" s="50">
        <v>37329</v>
      </c>
      <c r="M45" s="27"/>
      <c r="N45" s="124"/>
    </row>
    <row r="46" spans="1:14" ht="15.75">
      <c r="A46" s="26"/>
      <c r="B46" s="27" t="s">
        <v>31</v>
      </c>
      <c r="C46" s="27"/>
      <c r="D46" s="27"/>
      <c r="E46" s="27"/>
      <c r="F46" s="27"/>
      <c r="G46" s="27"/>
      <c r="H46" s="27"/>
      <c r="I46" s="27">
        <f>L46-J46+1</f>
        <v>94</v>
      </c>
      <c r="J46" s="50">
        <v>37330</v>
      </c>
      <c r="K46" s="51"/>
      <c r="L46" s="50">
        <v>37423</v>
      </c>
      <c r="M46" s="27"/>
      <c r="N46" s="124"/>
    </row>
    <row r="47" spans="1:14" ht="15.75">
      <c r="A47" s="26"/>
      <c r="B47" s="27" t="s">
        <v>32</v>
      </c>
      <c r="C47" s="27"/>
      <c r="D47" s="27"/>
      <c r="E47" s="27"/>
      <c r="F47" s="27"/>
      <c r="G47" s="27"/>
      <c r="H47" s="27"/>
      <c r="I47" s="27"/>
      <c r="J47" s="50"/>
      <c r="K47" s="51"/>
      <c r="L47" s="50" t="s">
        <v>198</v>
      </c>
      <c r="M47" s="27"/>
      <c r="N47" s="124"/>
    </row>
    <row r="48" spans="1:14" ht="15.75">
      <c r="A48" s="26"/>
      <c r="B48" s="27" t="s">
        <v>33</v>
      </c>
      <c r="C48" s="27"/>
      <c r="D48" s="27"/>
      <c r="E48" s="27"/>
      <c r="F48" s="27"/>
      <c r="G48" s="27"/>
      <c r="H48" s="27"/>
      <c r="I48" s="27"/>
      <c r="J48" s="50"/>
      <c r="K48" s="51"/>
      <c r="L48" s="50">
        <v>37414</v>
      </c>
      <c r="M48" s="27"/>
      <c r="N48" s="124"/>
    </row>
    <row r="49" spans="1:14" ht="15.75">
      <c r="A49" s="26"/>
      <c r="B49" s="27"/>
      <c r="C49" s="27"/>
      <c r="D49" s="27"/>
      <c r="E49" s="27"/>
      <c r="F49" s="27"/>
      <c r="G49" s="27"/>
      <c r="H49" s="27"/>
      <c r="I49" s="27"/>
      <c r="J49" s="50"/>
      <c r="K49" s="51"/>
      <c r="L49" s="50"/>
      <c r="M49" s="27"/>
      <c r="N49" s="124"/>
    </row>
    <row r="50" spans="1:14" ht="15.75">
      <c r="A50" s="8"/>
      <c r="B50" s="10"/>
      <c r="C50" s="10"/>
      <c r="D50" s="10"/>
      <c r="E50" s="10"/>
      <c r="F50" s="10"/>
      <c r="G50" s="10"/>
      <c r="H50" s="10"/>
      <c r="I50" s="10"/>
      <c r="J50" s="52"/>
      <c r="K50" s="53"/>
      <c r="L50" s="52"/>
      <c r="M50" s="10"/>
      <c r="N50" s="124"/>
    </row>
    <row r="51" spans="1:14" ht="19.5" thickBot="1">
      <c r="A51" s="129"/>
      <c r="B51" s="130" t="s">
        <v>203</v>
      </c>
      <c r="C51" s="131"/>
      <c r="D51" s="131"/>
      <c r="E51" s="131"/>
      <c r="F51" s="131"/>
      <c r="G51" s="131"/>
      <c r="H51" s="131"/>
      <c r="I51" s="131"/>
      <c r="J51" s="132"/>
      <c r="K51" s="133"/>
      <c r="L51" s="132"/>
      <c r="M51" s="134"/>
      <c r="N51" s="124"/>
    </row>
    <row r="52" spans="1:14" ht="15.75">
      <c r="A52" s="2"/>
      <c r="B52" s="5"/>
      <c r="C52" s="5"/>
      <c r="D52" s="5"/>
      <c r="E52" s="5"/>
      <c r="F52" s="5"/>
      <c r="G52" s="5"/>
      <c r="H52" s="5"/>
      <c r="I52" s="5"/>
      <c r="J52" s="5"/>
      <c r="K52" s="5"/>
      <c r="L52" s="55"/>
      <c r="M52" s="5"/>
      <c r="N52" s="124"/>
    </row>
    <row r="53" spans="1:14" ht="15.75">
      <c r="A53" s="8"/>
      <c r="B53" s="56" t="s">
        <v>35</v>
      </c>
      <c r="C53" s="16"/>
      <c r="D53" s="10"/>
      <c r="E53" s="10"/>
      <c r="F53" s="10"/>
      <c r="G53" s="10"/>
      <c r="H53" s="10"/>
      <c r="I53" s="10"/>
      <c r="J53" s="10"/>
      <c r="K53" s="10"/>
      <c r="L53" s="57"/>
      <c r="M53" s="10"/>
      <c r="N53" s="124"/>
    </row>
    <row r="54" spans="1:14" ht="15.75">
      <c r="A54" s="8"/>
      <c r="B54" s="16"/>
      <c r="C54" s="16"/>
      <c r="D54" s="10"/>
      <c r="E54" s="10"/>
      <c r="F54" s="10"/>
      <c r="G54" s="10"/>
      <c r="H54" s="10"/>
      <c r="I54" s="10"/>
      <c r="J54" s="10"/>
      <c r="K54" s="10"/>
      <c r="L54" s="57"/>
      <c r="M54" s="10"/>
      <c r="N54" s="124"/>
    </row>
    <row r="55" spans="1:14" s="152" customFormat="1" ht="63">
      <c r="A55" s="146"/>
      <c r="B55" s="147" t="s">
        <v>36</v>
      </c>
      <c r="C55" s="148" t="s">
        <v>143</v>
      </c>
      <c r="D55" s="148" t="s">
        <v>145</v>
      </c>
      <c r="E55" s="148"/>
      <c r="F55" s="148" t="s">
        <v>158</v>
      </c>
      <c r="G55" s="148"/>
      <c r="H55" s="148" t="s">
        <v>168</v>
      </c>
      <c r="I55" s="148"/>
      <c r="J55" s="148" t="s">
        <v>174</v>
      </c>
      <c r="K55" s="148"/>
      <c r="L55" s="149" t="s">
        <v>186</v>
      </c>
      <c r="M55" s="150"/>
      <c r="N55" s="151"/>
    </row>
    <row r="56" spans="1:14" ht="15.75">
      <c r="A56" s="26"/>
      <c r="B56" s="27" t="s">
        <v>37</v>
      </c>
      <c r="C56" s="37">
        <v>158981</v>
      </c>
      <c r="D56" s="37">
        <v>160775</v>
      </c>
      <c r="E56" s="37"/>
      <c r="F56" s="37">
        <f>4431+1578</f>
        <v>6009</v>
      </c>
      <c r="G56" s="37"/>
      <c r="H56" s="37">
        <v>1578</v>
      </c>
      <c r="I56" s="37"/>
      <c r="J56" s="37">
        <v>0</v>
      </c>
      <c r="K56" s="37"/>
      <c r="L56" s="58">
        <f>D56-F56+H56-J56</f>
        <v>156344</v>
      </c>
      <c r="M56" s="27"/>
      <c r="N56" s="124"/>
    </row>
    <row r="57" spans="1:14" ht="15.75">
      <c r="A57" s="26"/>
      <c r="B57" s="27" t="s">
        <v>38</v>
      </c>
      <c r="C57" s="37">
        <v>141</v>
      </c>
      <c r="D57" s="37">
        <v>0</v>
      </c>
      <c r="E57" s="37"/>
      <c r="F57" s="37">
        <v>0</v>
      </c>
      <c r="G57" s="37"/>
      <c r="H57" s="37">
        <v>0</v>
      </c>
      <c r="I57" s="37"/>
      <c r="J57" s="37">
        <v>0</v>
      </c>
      <c r="K57" s="37"/>
      <c r="L57" s="58">
        <f>D57-F57+H57-J57</f>
        <v>0</v>
      </c>
      <c r="M57" s="27"/>
      <c r="N57" s="124"/>
    </row>
    <row r="58" spans="1:14" ht="15.75">
      <c r="A58" s="26"/>
      <c r="B58" s="27"/>
      <c r="C58" s="37"/>
      <c r="D58" s="37"/>
      <c r="E58" s="37"/>
      <c r="F58" s="37"/>
      <c r="G58" s="37"/>
      <c r="H58" s="37"/>
      <c r="I58" s="37"/>
      <c r="J58" s="37"/>
      <c r="K58" s="37"/>
      <c r="L58" s="58"/>
      <c r="M58" s="27"/>
      <c r="N58" s="124"/>
    </row>
    <row r="59" spans="1:14" ht="15.75">
      <c r="A59" s="26"/>
      <c r="B59" s="27" t="s">
        <v>39</v>
      </c>
      <c r="C59" s="37">
        <f>SUM(C56:C58)</f>
        <v>159122</v>
      </c>
      <c r="D59" s="37">
        <f>SUM(D56:D58)</f>
        <v>160775</v>
      </c>
      <c r="E59" s="37"/>
      <c r="F59" s="37">
        <f>SUM(F56:F58)</f>
        <v>6009</v>
      </c>
      <c r="G59" s="37"/>
      <c r="H59" s="37">
        <f>SUM(H56:H58)</f>
        <v>1578</v>
      </c>
      <c r="I59" s="37"/>
      <c r="J59" s="37">
        <f>SUM(J56:J58)</f>
        <v>0</v>
      </c>
      <c r="K59" s="37"/>
      <c r="L59" s="59">
        <f>SUM(L56:L58)</f>
        <v>156344</v>
      </c>
      <c r="M59" s="27"/>
      <c r="N59" s="124"/>
    </row>
    <row r="60" spans="1:14" ht="15.75">
      <c r="A60" s="26"/>
      <c r="B60" s="27"/>
      <c r="C60" s="37"/>
      <c r="D60" s="37"/>
      <c r="E60" s="37"/>
      <c r="F60" s="37"/>
      <c r="G60" s="37"/>
      <c r="H60" s="37"/>
      <c r="I60" s="37"/>
      <c r="J60" s="37"/>
      <c r="K60" s="37"/>
      <c r="L60" s="59"/>
      <c r="M60" s="27"/>
      <c r="N60" s="124"/>
    </row>
    <row r="61" spans="1:14" ht="15.75">
      <c r="A61" s="8"/>
      <c r="B61" s="143" t="s">
        <v>40</v>
      </c>
      <c r="C61" s="60"/>
      <c r="D61" s="60"/>
      <c r="E61" s="60"/>
      <c r="F61" s="60"/>
      <c r="G61" s="60"/>
      <c r="H61" s="60"/>
      <c r="I61" s="60"/>
      <c r="J61" s="60"/>
      <c r="K61" s="60"/>
      <c r="L61" s="61"/>
      <c r="M61" s="10"/>
      <c r="N61" s="124"/>
    </row>
    <row r="62" spans="1:14" ht="15.75">
      <c r="A62" s="8"/>
      <c r="B62" s="10"/>
      <c r="C62" s="60"/>
      <c r="D62" s="60"/>
      <c r="E62" s="60"/>
      <c r="F62" s="60"/>
      <c r="G62" s="60"/>
      <c r="H62" s="60"/>
      <c r="I62" s="60"/>
      <c r="J62" s="60"/>
      <c r="K62" s="60"/>
      <c r="L62" s="61"/>
      <c r="M62" s="10"/>
      <c r="N62" s="124"/>
    </row>
    <row r="63" spans="1:14" ht="15.75">
      <c r="A63" s="26"/>
      <c r="B63" s="27" t="s">
        <v>37</v>
      </c>
      <c r="C63" s="37"/>
      <c r="D63" s="37"/>
      <c r="E63" s="37"/>
      <c r="F63" s="37"/>
      <c r="G63" s="37"/>
      <c r="H63" s="37"/>
      <c r="I63" s="37"/>
      <c r="J63" s="37"/>
      <c r="K63" s="37"/>
      <c r="L63" s="59"/>
      <c r="M63" s="27"/>
      <c r="N63" s="124"/>
    </row>
    <row r="64" spans="1:14" ht="15.75">
      <c r="A64" s="26"/>
      <c r="B64" s="27" t="s">
        <v>38</v>
      </c>
      <c r="C64" s="37"/>
      <c r="D64" s="37"/>
      <c r="E64" s="37"/>
      <c r="F64" s="37"/>
      <c r="G64" s="37"/>
      <c r="H64" s="37"/>
      <c r="I64" s="37"/>
      <c r="J64" s="37"/>
      <c r="K64" s="37"/>
      <c r="L64" s="59"/>
      <c r="M64" s="27"/>
      <c r="N64" s="124"/>
    </row>
    <row r="65" spans="1:14" ht="15.75">
      <c r="A65" s="26"/>
      <c r="B65" s="27"/>
      <c r="C65" s="37"/>
      <c r="D65" s="37"/>
      <c r="E65" s="37"/>
      <c r="F65" s="37"/>
      <c r="G65" s="37"/>
      <c r="H65" s="37"/>
      <c r="I65" s="37"/>
      <c r="J65" s="37"/>
      <c r="K65" s="37"/>
      <c r="L65" s="59"/>
      <c r="M65" s="27"/>
      <c r="N65" s="124"/>
    </row>
    <row r="66" spans="1:14" ht="15.75">
      <c r="A66" s="26"/>
      <c r="B66" s="27" t="s">
        <v>39</v>
      </c>
      <c r="C66" s="37"/>
      <c r="D66" s="37"/>
      <c r="E66" s="37"/>
      <c r="F66" s="37"/>
      <c r="G66" s="37"/>
      <c r="H66" s="37"/>
      <c r="I66" s="37"/>
      <c r="J66" s="37"/>
      <c r="K66" s="37"/>
      <c r="L66" s="37"/>
      <c r="M66" s="27"/>
      <c r="N66" s="124"/>
    </row>
    <row r="67" spans="1:14" ht="15.75">
      <c r="A67" s="26"/>
      <c r="B67" s="27"/>
      <c r="C67" s="37"/>
      <c r="D67" s="37"/>
      <c r="E67" s="37"/>
      <c r="F67" s="37"/>
      <c r="G67" s="37"/>
      <c r="H67" s="37"/>
      <c r="I67" s="37"/>
      <c r="J67" s="37"/>
      <c r="K67" s="37"/>
      <c r="L67" s="37"/>
      <c r="M67" s="27"/>
      <c r="N67" s="124"/>
    </row>
    <row r="68" spans="1:14" ht="15.75">
      <c r="A68" s="26"/>
      <c r="B68" s="27" t="s">
        <v>41</v>
      </c>
      <c r="C68" s="37">
        <v>0</v>
      </c>
      <c r="D68" s="37">
        <v>0</v>
      </c>
      <c r="E68" s="37"/>
      <c r="F68" s="37"/>
      <c r="G68" s="37"/>
      <c r="H68" s="37"/>
      <c r="I68" s="37"/>
      <c r="J68" s="37"/>
      <c r="K68" s="37"/>
      <c r="L68" s="58">
        <f>D68-F68+H68-J68</f>
        <v>0</v>
      </c>
      <c r="M68" s="27"/>
      <c r="N68" s="124"/>
    </row>
    <row r="69" spans="1:14" ht="15.75">
      <c r="A69" s="26"/>
      <c r="B69" s="27" t="s">
        <v>42</v>
      </c>
      <c r="C69" s="37">
        <v>25878</v>
      </c>
      <c r="D69" s="37">
        <v>0</v>
      </c>
      <c r="E69" s="37"/>
      <c r="F69" s="37"/>
      <c r="G69" s="37"/>
      <c r="H69" s="37"/>
      <c r="I69" s="37"/>
      <c r="J69" s="37"/>
      <c r="K69" s="37"/>
      <c r="L69" s="59">
        <v>0</v>
      </c>
      <c r="M69" s="27"/>
      <c r="N69" s="124"/>
    </row>
    <row r="70" spans="1:14" ht="15.75">
      <c r="A70" s="26"/>
      <c r="B70" s="27" t="s">
        <v>43</v>
      </c>
      <c r="C70" s="37">
        <v>0</v>
      </c>
      <c r="D70" s="37">
        <v>0</v>
      </c>
      <c r="E70" s="37"/>
      <c r="F70" s="37"/>
      <c r="G70" s="37"/>
      <c r="H70" s="37"/>
      <c r="I70" s="37"/>
      <c r="J70" s="37"/>
      <c r="K70" s="37"/>
      <c r="L70" s="59">
        <v>0</v>
      </c>
      <c r="M70" s="27"/>
      <c r="N70" s="124"/>
    </row>
    <row r="71" spans="1:14" ht="15.75">
      <c r="A71" s="26"/>
      <c r="B71" s="27" t="s">
        <v>44</v>
      </c>
      <c r="C71" s="59">
        <f>SUM(C59:C70)</f>
        <v>185000</v>
      </c>
      <c r="D71" s="59">
        <f>SUM(D59:D70)</f>
        <v>160775</v>
      </c>
      <c r="E71" s="37"/>
      <c r="F71" s="59"/>
      <c r="G71" s="37"/>
      <c r="H71" s="59"/>
      <c r="I71" s="37"/>
      <c r="J71" s="59"/>
      <c r="K71" s="37"/>
      <c r="L71" s="59">
        <f>SUM(L59:L70)</f>
        <v>156344</v>
      </c>
      <c r="M71" s="27"/>
      <c r="N71" s="124"/>
    </row>
    <row r="72" spans="1:14" ht="15.75">
      <c r="A72" s="8"/>
      <c r="B72" s="10"/>
      <c r="C72" s="10"/>
      <c r="D72" s="10"/>
      <c r="E72" s="10"/>
      <c r="F72" s="10"/>
      <c r="G72" s="10"/>
      <c r="H72" s="10"/>
      <c r="I72" s="10"/>
      <c r="J72" s="10"/>
      <c r="K72" s="10"/>
      <c r="L72" s="10"/>
      <c r="M72" s="10"/>
      <c r="N72" s="124"/>
    </row>
    <row r="73" spans="1:14" ht="15.75">
      <c r="A73" s="8"/>
      <c r="B73" s="56" t="s">
        <v>45</v>
      </c>
      <c r="C73" s="17"/>
      <c r="D73" s="17"/>
      <c r="E73" s="17"/>
      <c r="F73" s="17"/>
      <c r="G73" s="17"/>
      <c r="H73" s="17"/>
      <c r="I73" s="63"/>
      <c r="J73" s="63" t="s">
        <v>175</v>
      </c>
      <c r="K73" s="63"/>
      <c r="L73" s="63" t="s">
        <v>187</v>
      </c>
      <c r="M73" s="10"/>
      <c r="N73" s="124"/>
    </row>
    <row r="74" spans="1:14" ht="15.75">
      <c r="A74" s="26"/>
      <c r="B74" s="27" t="s">
        <v>46</v>
      </c>
      <c r="C74" s="27"/>
      <c r="D74" s="27"/>
      <c r="E74" s="27"/>
      <c r="F74" s="27"/>
      <c r="G74" s="27"/>
      <c r="H74" s="27"/>
      <c r="I74" s="27"/>
      <c r="J74" s="37">
        <v>0</v>
      </c>
      <c r="K74" s="27"/>
      <c r="L74" s="58">
        <v>0</v>
      </c>
      <c r="M74" s="27"/>
      <c r="N74" s="124"/>
    </row>
    <row r="75" spans="1:14" ht="15.75">
      <c r="A75" s="26"/>
      <c r="B75" s="27" t="s">
        <v>47</v>
      </c>
      <c r="C75" s="46" t="s">
        <v>144</v>
      </c>
      <c r="D75" s="64">
        <f>J155</f>
        <v>37407</v>
      </c>
      <c r="E75" s="27"/>
      <c r="F75" s="27"/>
      <c r="G75" s="27"/>
      <c r="H75" s="27"/>
      <c r="I75" s="27"/>
      <c r="J75" s="37">
        <v>6009</v>
      </c>
      <c r="K75" s="27"/>
      <c r="L75" s="58"/>
      <c r="M75" s="27"/>
      <c r="N75" s="124"/>
    </row>
    <row r="76" spans="1:14" ht="15.75">
      <c r="A76" s="26"/>
      <c r="B76" s="27" t="s">
        <v>48</v>
      </c>
      <c r="C76" s="27"/>
      <c r="D76" s="27"/>
      <c r="E76" s="27"/>
      <c r="F76" s="27"/>
      <c r="G76" s="27"/>
      <c r="H76" s="27"/>
      <c r="I76" s="27"/>
      <c r="J76" s="37"/>
      <c r="K76" s="27"/>
      <c r="L76" s="58">
        <f>2373+346-4-5</f>
        <v>2710</v>
      </c>
      <c r="M76" s="27"/>
      <c r="N76" s="124"/>
    </row>
    <row r="77" spans="1:14" ht="15.75">
      <c r="A77" s="26"/>
      <c r="B77" s="27" t="s">
        <v>49</v>
      </c>
      <c r="C77" s="27"/>
      <c r="D77" s="27"/>
      <c r="E77" s="27"/>
      <c r="F77" s="27"/>
      <c r="G77" s="27"/>
      <c r="H77" s="27"/>
      <c r="I77" s="27"/>
      <c r="J77" s="37"/>
      <c r="K77" s="27"/>
      <c r="L77" s="58">
        <v>100</v>
      </c>
      <c r="M77" s="27"/>
      <c r="N77" s="124"/>
    </row>
    <row r="78" spans="1:14" ht="15.75">
      <c r="A78" s="26"/>
      <c r="B78" s="27" t="s">
        <v>50</v>
      </c>
      <c r="C78" s="27"/>
      <c r="D78" s="27"/>
      <c r="E78" s="27"/>
      <c r="F78" s="27"/>
      <c r="G78" s="27"/>
      <c r="H78" s="27"/>
      <c r="I78" s="27"/>
      <c r="J78" s="37">
        <f>SUM(J74:J77)</f>
        <v>6009</v>
      </c>
      <c r="K78" s="27"/>
      <c r="L78" s="59">
        <f>SUM(L74:L77)</f>
        <v>2810</v>
      </c>
      <c r="M78" s="27"/>
      <c r="N78" s="124"/>
    </row>
    <row r="79" spans="1:14" ht="15.75">
      <c r="A79" s="26"/>
      <c r="B79" s="27" t="s">
        <v>51</v>
      </c>
      <c r="C79" s="27"/>
      <c r="D79" s="27"/>
      <c r="E79" s="27"/>
      <c r="F79" s="27"/>
      <c r="G79" s="27"/>
      <c r="H79" s="27"/>
      <c r="I79" s="27"/>
      <c r="J79" s="37">
        <v>0</v>
      </c>
      <c r="K79" s="27"/>
      <c r="L79" s="58">
        <v>0</v>
      </c>
      <c r="M79" s="27"/>
      <c r="N79" s="124"/>
    </row>
    <row r="80" spans="1:14" ht="15.75">
      <c r="A80" s="26"/>
      <c r="B80" s="27" t="s">
        <v>52</v>
      </c>
      <c r="C80" s="27"/>
      <c r="D80" s="27"/>
      <c r="E80" s="27"/>
      <c r="F80" s="27"/>
      <c r="G80" s="27"/>
      <c r="H80" s="27"/>
      <c r="I80" s="27"/>
      <c r="J80" s="37">
        <f>J78+J79</f>
        <v>6009</v>
      </c>
      <c r="K80" s="27"/>
      <c r="L80" s="59">
        <f>L78+L79</f>
        <v>2810</v>
      </c>
      <c r="M80" s="27"/>
      <c r="N80" s="124"/>
    </row>
    <row r="81" spans="1:14" ht="15.75">
      <c r="A81" s="26"/>
      <c r="B81" s="153" t="s">
        <v>53</v>
      </c>
      <c r="C81" s="65"/>
      <c r="D81" s="27"/>
      <c r="E81" s="27"/>
      <c r="F81" s="27"/>
      <c r="G81" s="27"/>
      <c r="H81" s="27"/>
      <c r="I81" s="27"/>
      <c r="J81" s="37"/>
      <c r="K81" s="27"/>
      <c r="L81" s="58"/>
      <c r="M81" s="27"/>
      <c r="N81" s="124"/>
    </row>
    <row r="82" spans="1:14" ht="15.75">
      <c r="A82" s="26">
        <v>1</v>
      </c>
      <c r="B82" s="27" t="s">
        <v>54</v>
      </c>
      <c r="C82" s="27"/>
      <c r="D82" s="27"/>
      <c r="E82" s="27"/>
      <c r="F82" s="27"/>
      <c r="G82" s="27"/>
      <c r="H82" s="27"/>
      <c r="I82" s="27"/>
      <c r="J82" s="27"/>
      <c r="K82" s="27"/>
      <c r="L82" s="58">
        <v>0</v>
      </c>
      <c r="M82" s="27"/>
      <c r="N82" s="124"/>
    </row>
    <row r="83" spans="1:14" ht="15.75">
      <c r="A83" s="26">
        <v>2</v>
      </c>
      <c r="B83" s="27" t="s">
        <v>55</v>
      </c>
      <c r="C83" s="27"/>
      <c r="D83" s="27"/>
      <c r="E83" s="27"/>
      <c r="F83" s="27"/>
      <c r="G83" s="27"/>
      <c r="H83" s="27"/>
      <c r="I83" s="27"/>
      <c r="J83" s="27"/>
      <c r="K83" s="27"/>
      <c r="L83" s="58">
        <v>-4</v>
      </c>
      <c r="M83" s="27"/>
      <c r="N83" s="124"/>
    </row>
    <row r="84" spans="1:14" ht="15.75">
      <c r="A84" s="26">
        <v>3</v>
      </c>
      <c r="B84" s="27" t="s">
        <v>56</v>
      </c>
      <c r="C84" s="27"/>
      <c r="D84" s="27"/>
      <c r="E84" s="27"/>
      <c r="F84" s="27"/>
      <c r="G84" s="27"/>
      <c r="H84" s="27"/>
      <c r="I84" s="27"/>
      <c r="J84" s="27"/>
      <c r="K84" s="27"/>
      <c r="L84" s="58">
        <f>-124-10</f>
        <v>-134</v>
      </c>
      <c r="M84" s="27"/>
      <c r="N84" s="124"/>
    </row>
    <row r="85" spans="1:14" ht="15.75">
      <c r="A85" s="26">
        <v>4</v>
      </c>
      <c r="B85" s="27" t="s">
        <v>57</v>
      </c>
      <c r="C85" s="27"/>
      <c r="D85" s="27"/>
      <c r="E85" s="27"/>
      <c r="F85" s="27"/>
      <c r="G85" s="27"/>
      <c r="H85" s="27"/>
      <c r="I85" s="27"/>
      <c r="J85" s="27"/>
      <c r="K85" s="27"/>
      <c r="L85" s="58">
        <v>-323</v>
      </c>
      <c r="M85" s="27"/>
      <c r="N85" s="124"/>
    </row>
    <row r="86" spans="1:14" ht="15.75">
      <c r="A86" s="26">
        <v>5</v>
      </c>
      <c r="B86" s="27" t="s">
        <v>58</v>
      </c>
      <c r="C86" s="27"/>
      <c r="D86" s="27"/>
      <c r="E86" s="27"/>
      <c r="F86" s="27"/>
      <c r="G86" s="27"/>
      <c r="H86" s="27"/>
      <c r="I86" s="27"/>
      <c r="J86" s="27"/>
      <c r="K86" s="27"/>
      <c r="L86" s="58">
        <v>-1616</v>
      </c>
      <c r="M86" s="27"/>
      <c r="N86" s="124"/>
    </row>
    <row r="87" spans="1:14" ht="15.75">
      <c r="A87" s="26">
        <v>6</v>
      </c>
      <c r="B87" s="27" t="s">
        <v>59</v>
      </c>
      <c r="C87" s="27"/>
      <c r="D87" s="27"/>
      <c r="E87" s="27"/>
      <c r="F87" s="27"/>
      <c r="G87" s="27"/>
      <c r="H87" s="27"/>
      <c r="I87" s="27"/>
      <c r="J87" s="27"/>
      <c r="K87" s="27"/>
      <c r="L87" s="58">
        <v>-238</v>
      </c>
      <c r="M87" s="27"/>
      <c r="N87" s="124"/>
    </row>
    <row r="88" spans="1:14" ht="15.75">
      <c r="A88" s="26">
        <v>7</v>
      </c>
      <c r="B88" s="27" t="s">
        <v>60</v>
      </c>
      <c r="C88" s="27"/>
      <c r="D88" s="27"/>
      <c r="E88" s="27"/>
      <c r="F88" s="27"/>
      <c r="G88" s="27"/>
      <c r="H88" s="27"/>
      <c r="I88" s="27"/>
      <c r="J88" s="27"/>
      <c r="K88" s="27"/>
      <c r="L88" s="58">
        <v>-5</v>
      </c>
      <c r="M88" s="27"/>
      <c r="N88" s="124"/>
    </row>
    <row r="89" spans="1:14" ht="15.75">
      <c r="A89" s="26">
        <v>8</v>
      </c>
      <c r="B89" s="27" t="s">
        <v>61</v>
      </c>
      <c r="C89" s="27"/>
      <c r="D89" s="27"/>
      <c r="E89" s="27"/>
      <c r="F89" s="27"/>
      <c r="G89" s="27"/>
      <c r="H89" s="27"/>
      <c r="I89" s="27"/>
      <c r="J89" s="27"/>
      <c r="K89" s="27"/>
      <c r="L89" s="58">
        <v>0</v>
      </c>
      <c r="M89" s="27"/>
      <c r="N89" s="124"/>
    </row>
    <row r="90" spans="1:14" ht="15.75">
      <c r="A90" s="26">
        <v>9</v>
      </c>
      <c r="B90" s="27" t="s">
        <v>62</v>
      </c>
      <c r="C90" s="27"/>
      <c r="D90" s="27"/>
      <c r="E90" s="27"/>
      <c r="F90" s="27"/>
      <c r="G90" s="27"/>
      <c r="H90" s="27"/>
      <c r="I90" s="27"/>
      <c r="J90" s="27"/>
      <c r="K90" s="27"/>
      <c r="L90" s="58">
        <v>0</v>
      </c>
      <c r="M90" s="27"/>
      <c r="N90" s="124"/>
    </row>
    <row r="91" spans="1:14" ht="15.75">
      <c r="A91" s="26">
        <v>10</v>
      </c>
      <c r="B91" s="27" t="s">
        <v>63</v>
      </c>
      <c r="C91" s="27"/>
      <c r="D91" s="27"/>
      <c r="E91" s="27"/>
      <c r="F91" s="27"/>
      <c r="G91" s="27"/>
      <c r="H91" s="27"/>
      <c r="I91" s="27"/>
      <c r="J91" s="27"/>
      <c r="K91" s="27"/>
      <c r="L91" s="58">
        <v>0</v>
      </c>
      <c r="M91" s="27"/>
      <c r="N91" s="124"/>
    </row>
    <row r="92" spans="1:14" ht="15.75">
      <c r="A92" s="26">
        <v>11</v>
      </c>
      <c r="B92" s="27" t="s">
        <v>64</v>
      </c>
      <c r="C92" s="27"/>
      <c r="D92" s="27"/>
      <c r="E92" s="27"/>
      <c r="F92" s="27"/>
      <c r="G92" s="27"/>
      <c r="H92" s="27"/>
      <c r="I92" s="27"/>
      <c r="J92" s="27"/>
      <c r="K92" s="27"/>
      <c r="L92" s="58">
        <v>0</v>
      </c>
      <c r="M92" s="27"/>
      <c r="N92" s="124"/>
    </row>
    <row r="93" spans="1:14" ht="15.75">
      <c r="A93" s="26">
        <v>12</v>
      </c>
      <c r="B93" s="27" t="s">
        <v>65</v>
      </c>
      <c r="C93" s="27"/>
      <c r="D93" s="27"/>
      <c r="E93" s="27"/>
      <c r="F93" s="27"/>
      <c r="G93" s="27"/>
      <c r="H93" s="27"/>
      <c r="I93" s="27"/>
      <c r="J93" s="27"/>
      <c r="K93" s="27"/>
      <c r="L93" s="58">
        <f>-18-104</f>
        <v>-122</v>
      </c>
      <c r="M93" s="27"/>
      <c r="N93" s="124"/>
    </row>
    <row r="94" spans="1:14" ht="15.75">
      <c r="A94" s="26">
        <v>13</v>
      </c>
      <c r="B94" s="27" t="s">
        <v>66</v>
      </c>
      <c r="C94" s="27"/>
      <c r="D94" s="27"/>
      <c r="E94" s="27"/>
      <c r="F94" s="27"/>
      <c r="G94" s="27"/>
      <c r="H94" s="27"/>
      <c r="I94" s="27"/>
      <c r="J94" s="27"/>
      <c r="K94" s="27"/>
      <c r="L94" s="58">
        <f>-SUM(L80:L93)</f>
        <v>-368</v>
      </c>
      <c r="M94" s="27"/>
      <c r="N94" s="124"/>
    </row>
    <row r="95" spans="1:14" ht="15.75">
      <c r="A95" s="26"/>
      <c r="B95" s="153" t="s">
        <v>67</v>
      </c>
      <c r="C95" s="65"/>
      <c r="D95" s="27"/>
      <c r="E95" s="27"/>
      <c r="F95" s="27"/>
      <c r="G95" s="27"/>
      <c r="H95" s="27"/>
      <c r="I95" s="27"/>
      <c r="J95" s="27"/>
      <c r="K95" s="27"/>
      <c r="L95" s="66"/>
      <c r="M95" s="27"/>
      <c r="N95" s="124"/>
    </row>
    <row r="96" spans="1:14" ht="15.75">
      <c r="A96" s="26"/>
      <c r="B96" s="27" t="s">
        <v>68</v>
      </c>
      <c r="C96" s="65"/>
      <c r="D96" s="27"/>
      <c r="E96" s="27"/>
      <c r="F96" s="27"/>
      <c r="G96" s="27"/>
      <c r="H96" s="27"/>
      <c r="I96" s="27"/>
      <c r="J96" s="37">
        <f>-J141</f>
        <v>-13</v>
      </c>
      <c r="K96" s="37"/>
      <c r="L96" s="58"/>
      <c r="M96" s="27"/>
      <c r="N96" s="124"/>
    </row>
    <row r="97" spans="1:14" ht="15.75">
      <c r="A97" s="26"/>
      <c r="B97" s="27" t="s">
        <v>69</v>
      </c>
      <c r="C97" s="27"/>
      <c r="D97" s="27"/>
      <c r="E97" s="27"/>
      <c r="F97" s="27"/>
      <c r="G97" s="27"/>
      <c r="H97" s="27"/>
      <c r="I97" s="27"/>
      <c r="J97" s="37">
        <f>-H141</f>
        <v>-1565</v>
      </c>
      <c r="K97" s="37"/>
      <c r="L97" s="58"/>
      <c r="M97" s="27"/>
      <c r="N97" s="124"/>
    </row>
    <row r="98" spans="1:14" ht="15.75">
      <c r="A98" s="26"/>
      <c r="B98" s="27" t="s">
        <v>70</v>
      </c>
      <c r="C98" s="27"/>
      <c r="D98" s="27"/>
      <c r="E98" s="27"/>
      <c r="F98" s="27"/>
      <c r="G98" s="27"/>
      <c r="H98" s="27"/>
      <c r="I98" s="27"/>
      <c r="J98" s="37">
        <v>-4431</v>
      </c>
      <c r="K98" s="37"/>
      <c r="L98" s="58"/>
      <c r="M98" s="27"/>
      <c r="N98" s="124"/>
    </row>
    <row r="99" spans="1:14" ht="15.75">
      <c r="A99" s="26"/>
      <c r="B99" s="27" t="s">
        <v>71</v>
      </c>
      <c r="C99" s="27"/>
      <c r="D99" s="27"/>
      <c r="E99" s="27"/>
      <c r="F99" s="27"/>
      <c r="G99" s="27"/>
      <c r="H99" s="27"/>
      <c r="I99" s="27"/>
      <c r="J99" s="37">
        <v>0</v>
      </c>
      <c r="K99" s="37"/>
      <c r="L99" s="58"/>
      <c r="M99" s="27"/>
      <c r="N99" s="124"/>
    </row>
    <row r="100" spans="1:14" ht="15.75">
      <c r="A100" s="26"/>
      <c r="B100" s="27" t="s">
        <v>72</v>
      </c>
      <c r="C100" s="27"/>
      <c r="D100" s="27"/>
      <c r="E100" s="27"/>
      <c r="F100" s="27"/>
      <c r="G100" s="27"/>
      <c r="H100" s="27"/>
      <c r="I100" s="27"/>
      <c r="J100" s="37">
        <f>SUM(J81:J99)</f>
        <v>-6009</v>
      </c>
      <c r="K100" s="37"/>
      <c r="L100" s="37">
        <f>SUM(L81:L99)</f>
        <v>-2810</v>
      </c>
      <c r="M100" s="27"/>
      <c r="N100" s="124"/>
    </row>
    <row r="101" spans="1:14" ht="15.75">
      <c r="A101" s="26"/>
      <c r="B101" s="27" t="s">
        <v>73</v>
      </c>
      <c r="C101" s="27"/>
      <c r="D101" s="27"/>
      <c r="E101" s="27"/>
      <c r="F101" s="27"/>
      <c r="G101" s="27"/>
      <c r="H101" s="27"/>
      <c r="I101" s="27"/>
      <c r="J101" s="37">
        <f>J80+J100</f>
        <v>0</v>
      </c>
      <c r="K101" s="37"/>
      <c r="L101" s="37">
        <f>L80+L100</f>
        <v>0</v>
      </c>
      <c r="M101" s="27"/>
      <c r="N101" s="124"/>
    </row>
    <row r="102" spans="1:14" ht="12.75" customHeight="1">
      <c r="A102" s="26"/>
      <c r="B102" s="27"/>
      <c r="C102" s="27"/>
      <c r="D102" s="27"/>
      <c r="E102" s="27"/>
      <c r="F102" s="27"/>
      <c r="G102" s="27"/>
      <c r="H102" s="27"/>
      <c r="I102" s="27"/>
      <c r="J102" s="37"/>
      <c r="K102" s="37"/>
      <c r="L102" s="37"/>
      <c r="M102" s="27"/>
      <c r="N102" s="124"/>
    </row>
    <row r="103" spans="1:14" ht="7.5" customHeight="1">
      <c r="A103" s="8"/>
      <c r="B103" s="10"/>
      <c r="C103" s="10"/>
      <c r="D103" s="10"/>
      <c r="E103" s="10"/>
      <c r="F103" s="10"/>
      <c r="G103" s="10"/>
      <c r="H103" s="10"/>
      <c r="I103" s="10"/>
      <c r="J103" s="10"/>
      <c r="K103" s="10"/>
      <c r="L103" s="57"/>
      <c r="M103" s="10"/>
      <c r="N103" s="124"/>
    </row>
    <row r="104" spans="1:14" ht="18" customHeight="1" thickBot="1">
      <c r="A104" s="129"/>
      <c r="B104" s="136" t="str">
        <f>B51</f>
        <v>PM2 INVESTOR REPORT QUARTER ENDING MAY 2002</v>
      </c>
      <c r="C104" s="131"/>
      <c r="D104" s="131"/>
      <c r="E104" s="131"/>
      <c r="F104" s="131"/>
      <c r="G104" s="131"/>
      <c r="H104" s="131"/>
      <c r="I104" s="131"/>
      <c r="J104" s="131"/>
      <c r="K104" s="131"/>
      <c r="L104" s="135"/>
      <c r="M104" s="134"/>
      <c r="N104" s="124"/>
    </row>
    <row r="105" spans="1:14" ht="12" customHeight="1">
      <c r="A105" s="2"/>
      <c r="B105" s="5"/>
      <c r="C105" s="5"/>
      <c r="D105" s="5"/>
      <c r="E105" s="5"/>
      <c r="F105" s="5"/>
      <c r="G105" s="5"/>
      <c r="H105" s="5"/>
      <c r="I105" s="5"/>
      <c r="J105" s="5"/>
      <c r="K105" s="5"/>
      <c r="L105" s="67"/>
      <c r="M105" s="5"/>
      <c r="N105" s="124"/>
    </row>
    <row r="106" spans="1:14" ht="15.75">
      <c r="A106" s="8"/>
      <c r="B106" s="56" t="s">
        <v>74</v>
      </c>
      <c r="C106" s="16"/>
      <c r="D106" s="10"/>
      <c r="E106" s="10"/>
      <c r="F106" s="10"/>
      <c r="G106" s="10"/>
      <c r="H106" s="10"/>
      <c r="I106" s="10"/>
      <c r="J106" s="10"/>
      <c r="K106" s="10"/>
      <c r="L106" s="57"/>
      <c r="M106" s="10"/>
      <c r="N106" s="124"/>
    </row>
    <row r="107" spans="1:14" ht="15.75">
      <c r="A107" s="8"/>
      <c r="B107" s="22"/>
      <c r="C107" s="16"/>
      <c r="D107" s="10"/>
      <c r="E107" s="10"/>
      <c r="F107" s="10"/>
      <c r="G107" s="10"/>
      <c r="H107" s="10"/>
      <c r="I107" s="10"/>
      <c r="J107" s="10"/>
      <c r="K107" s="10"/>
      <c r="L107" s="57"/>
      <c r="M107" s="10"/>
      <c r="N107" s="124"/>
    </row>
    <row r="108" spans="1:14" ht="15.75">
      <c r="A108" s="8"/>
      <c r="B108" s="154" t="s">
        <v>75</v>
      </c>
      <c r="C108" s="16"/>
      <c r="D108" s="10"/>
      <c r="E108" s="10"/>
      <c r="F108" s="10"/>
      <c r="G108" s="10"/>
      <c r="H108" s="10"/>
      <c r="I108" s="10"/>
      <c r="J108" s="10"/>
      <c r="K108" s="10"/>
      <c r="L108" s="57"/>
      <c r="M108" s="10"/>
      <c r="N108" s="124"/>
    </row>
    <row r="109" spans="1:14" ht="15.75">
      <c r="A109" s="26"/>
      <c r="B109" s="27" t="s">
        <v>76</v>
      </c>
      <c r="C109" s="27"/>
      <c r="D109" s="27"/>
      <c r="E109" s="27"/>
      <c r="F109" s="27"/>
      <c r="G109" s="27"/>
      <c r="H109" s="27"/>
      <c r="I109" s="27"/>
      <c r="J109" s="27"/>
      <c r="K109" s="27"/>
      <c r="L109" s="58">
        <v>4995</v>
      </c>
      <c r="M109" s="27"/>
      <c r="N109" s="124"/>
    </row>
    <row r="110" spans="1:14" ht="15.75">
      <c r="A110" s="26"/>
      <c r="B110" s="27" t="s">
        <v>77</v>
      </c>
      <c r="C110" s="27"/>
      <c r="D110" s="27"/>
      <c r="E110" s="27"/>
      <c r="F110" s="27"/>
      <c r="G110" s="27"/>
      <c r="H110" s="27"/>
      <c r="I110" s="27"/>
      <c r="J110" s="27"/>
      <c r="K110" s="27"/>
      <c r="L110" s="58">
        <v>4995</v>
      </c>
      <c r="M110" s="27"/>
      <c r="N110" s="124"/>
    </row>
    <row r="111" spans="1:14" ht="15.75">
      <c r="A111" s="26"/>
      <c r="B111" s="27" t="s">
        <v>78</v>
      </c>
      <c r="C111" s="27"/>
      <c r="D111" s="27"/>
      <c r="E111" s="27"/>
      <c r="F111" s="27"/>
      <c r="G111" s="27"/>
      <c r="H111" s="27"/>
      <c r="I111" s="27"/>
      <c r="J111" s="27"/>
      <c r="K111" s="27"/>
      <c r="L111" s="58">
        <v>0</v>
      </c>
      <c r="M111" s="27"/>
      <c r="N111" s="124"/>
    </row>
    <row r="112" spans="1:14" ht="15.75">
      <c r="A112" s="26"/>
      <c r="B112" s="27" t="s">
        <v>79</v>
      </c>
      <c r="C112" s="27"/>
      <c r="D112" s="27"/>
      <c r="E112" s="27"/>
      <c r="F112" s="27"/>
      <c r="G112" s="27"/>
      <c r="H112" s="27"/>
      <c r="I112" s="27"/>
      <c r="J112" s="27"/>
      <c r="K112" s="27"/>
      <c r="L112" s="58">
        <v>0</v>
      </c>
      <c r="M112" s="27"/>
      <c r="N112" s="124"/>
    </row>
    <row r="113" spans="1:14" ht="15.75">
      <c r="A113" s="26"/>
      <c r="B113" s="27" t="s">
        <v>80</v>
      </c>
      <c r="C113" s="27"/>
      <c r="D113" s="27"/>
      <c r="E113" s="27"/>
      <c r="F113" s="27"/>
      <c r="G113" s="27"/>
      <c r="H113" s="27"/>
      <c r="I113" s="27"/>
      <c r="J113" s="27"/>
      <c r="K113" s="27"/>
      <c r="L113" s="58">
        <v>0</v>
      </c>
      <c r="M113" s="27"/>
      <c r="N113" s="124"/>
    </row>
    <row r="114" spans="1:14" ht="15.75">
      <c r="A114" s="26"/>
      <c r="B114" s="27" t="s">
        <v>58</v>
      </c>
      <c r="C114" s="27"/>
      <c r="D114" s="27"/>
      <c r="E114" s="27"/>
      <c r="F114" s="27"/>
      <c r="G114" s="27"/>
      <c r="H114" s="27"/>
      <c r="I114" s="27"/>
      <c r="J114" s="27"/>
      <c r="K114" s="27"/>
      <c r="L114" s="58">
        <v>0</v>
      </c>
      <c r="M114" s="27"/>
      <c r="N114" s="124"/>
    </row>
    <row r="115" spans="1:14" ht="15.75">
      <c r="A115" s="26"/>
      <c r="B115" s="27" t="s">
        <v>59</v>
      </c>
      <c r="C115" s="27"/>
      <c r="D115" s="27"/>
      <c r="E115" s="27"/>
      <c r="F115" s="27"/>
      <c r="G115" s="27"/>
      <c r="H115" s="27"/>
      <c r="I115" s="27"/>
      <c r="J115" s="27"/>
      <c r="K115" s="27"/>
      <c r="L115" s="58">
        <v>0</v>
      </c>
      <c r="M115" s="27"/>
      <c r="N115" s="124"/>
    </row>
    <row r="116" spans="1:14" ht="15.75">
      <c r="A116" s="26"/>
      <c r="B116" s="27" t="s">
        <v>81</v>
      </c>
      <c r="C116" s="27"/>
      <c r="D116" s="27"/>
      <c r="E116" s="27"/>
      <c r="F116" s="27"/>
      <c r="G116" s="27"/>
      <c r="H116" s="27"/>
      <c r="I116" s="27"/>
      <c r="J116" s="27"/>
      <c r="K116" s="27"/>
      <c r="L116" s="58">
        <f>SUM(L110:L115)</f>
        <v>4995</v>
      </c>
      <c r="M116" s="27"/>
      <c r="N116" s="124"/>
    </row>
    <row r="117" spans="1:14" ht="15.75">
      <c r="A117" s="26"/>
      <c r="B117" s="27"/>
      <c r="C117" s="27"/>
      <c r="D117" s="27"/>
      <c r="E117" s="27"/>
      <c r="F117" s="27"/>
      <c r="G117" s="27"/>
      <c r="H117" s="27"/>
      <c r="I117" s="27"/>
      <c r="J117" s="27"/>
      <c r="K117" s="27"/>
      <c r="L117" s="68"/>
      <c r="M117" s="27"/>
      <c r="N117" s="124"/>
    </row>
    <row r="118" spans="1:14" ht="15.75">
      <c r="A118" s="8"/>
      <c r="B118" s="154" t="s">
        <v>82</v>
      </c>
      <c r="C118" s="10"/>
      <c r="D118" s="10"/>
      <c r="E118" s="10"/>
      <c r="F118" s="10"/>
      <c r="G118" s="10"/>
      <c r="H118" s="10"/>
      <c r="I118" s="10"/>
      <c r="J118" s="10"/>
      <c r="K118" s="10"/>
      <c r="L118" s="57"/>
      <c r="M118" s="10"/>
      <c r="N118" s="124"/>
    </row>
    <row r="119" spans="1:14" ht="15.75">
      <c r="A119" s="26"/>
      <c r="B119" s="27" t="s">
        <v>83</v>
      </c>
      <c r="C119" s="27"/>
      <c r="D119" s="69"/>
      <c r="E119" s="27"/>
      <c r="F119" s="27"/>
      <c r="G119" s="27"/>
      <c r="H119" s="27"/>
      <c r="I119" s="27"/>
      <c r="J119" s="27"/>
      <c r="K119" s="27"/>
      <c r="L119" s="70" t="s">
        <v>154</v>
      </c>
      <c r="M119" s="27"/>
      <c r="N119" s="124"/>
    </row>
    <row r="120" spans="1:14" ht="15.75">
      <c r="A120" s="26"/>
      <c r="B120" s="27" t="s">
        <v>84</v>
      </c>
      <c r="C120" s="30"/>
      <c r="D120" s="30"/>
      <c r="E120" s="30"/>
      <c r="F120" s="30"/>
      <c r="G120" s="30"/>
      <c r="H120" s="30"/>
      <c r="I120" s="30"/>
      <c r="J120" s="30"/>
      <c r="K120" s="30"/>
      <c r="L120" s="70" t="s">
        <v>154</v>
      </c>
      <c r="M120" s="27"/>
      <c r="N120" s="124"/>
    </row>
    <row r="121" spans="1:14" ht="15.75">
      <c r="A121" s="26"/>
      <c r="B121" s="27" t="s">
        <v>85</v>
      </c>
      <c r="C121" s="27"/>
      <c r="D121" s="27"/>
      <c r="E121" s="27"/>
      <c r="F121" s="27"/>
      <c r="G121" s="27"/>
      <c r="H121" s="27"/>
      <c r="I121" s="27"/>
      <c r="J121" s="27"/>
      <c r="K121" s="27"/>
      <c r="L121" s="70" t="s">
        <v>154</v>
      </c>
      <c r="M121" s="27"/>
      <c r="N121" s="124"/>
    </row>
    <row r="122" spans="1:14" ht="15.75">
      <c r="A122" s="26"/>
      <c r="B122" s="27" t="s">
        <v>86</v>
      </c>
      <c r="C122" s="27"/>
      <c r="D122" s="27"/>
      <c r="E122" s="27"/>
      <c r="F122" s="27"/>
      <c r="G122" s="27"/>
      <c r="H122" s="27"/>
      <c r="I122" s="27"/>
      <c r="J122" s="27"/>
      <c r="K122" s="27"/>
      <c r="L122" s="70" t="s">
        <v>154</v>
      </c>
      <c r="M122" s="27"/>
      <c r="N122" s="124"/>
    </row>
    <row r="123" spans="1:14" ht="15.75">
      <c r="A123" s="26"/>
      <c r="B123" s="27"/>
      <c r="C123" s="27"/>
      <c r="D123" s="27"/>
      <c r="E123" s="27"/>
      <c r="F123" s="27"/>
      <c r="G123" s="27"/>
      <c r="H123" s="27"/>
      <c r="I123" s="27"/>
      <c r="J123" s="27"/>
      <c r="K123" s="27"/>
      <c r="L123" s="68"/>
      <c r="M123" s="27"/>
      <c r="N123" s="124"/>
    </row>
    <row r="124" spans="1:14" ht="15.75">
      <c r="A124" s="8"/>
      <c r="B124" s="154" t="s">
        <v>87</v>
      </c>
      <c r="C124" s="16"/>
      <c r="D124" s="10"/>
      <c r="E124" s="10"/>
      <c r="F124" s="10"/>
      <c r="G124" s="10"/>
      <c r="H124" s="10"/>
      <c r="I124" s="10"/>
      <c r="J124" s="10"/>
      <c r="K124" s="10"/>
      <c r="L124" s="71"/>
      <c r="M124" s="10"/>
      <c r="N124" s="124"/>
    </row>
    <row r="125" spans="1:14" ht="15.75">
      <c r="A125" s="26"/>
      <c r="B125" s="27" t="s">
        <v>88</v>
      </c>
      <c r="C125" s="27"/>
      <c r="D125" s="27"/>
      <c r="E125" s="27"/>
      <c r="F125" s="27"/>
      <c r="G125" s="27"/>
      <c r="H125" s="27"/>
      <c r="I125" s="27"/>
      <c r="J125" s="27"/>
      <c r="K125" s="27"/>
      <c r="L125" s="58">
        <v>0</v>
      </c>
      <c r="M125" s="27"/>
      <c r="N125" s="124"/>
    </row>
    <row r="126" spans="1:14" ht="15.75">
      <c r="A126" s="26"/>
      <c r="B126" s="27" t="s">
        <v>89</v>
      </c>
      <c r="C126" s="27"/>
      <c r="D126" s="27"/>
      <c r="E126" s="27"/>
      <c r="F126" s="27"/>
      <c r="G126" s="27"/>
      <c r="H126" s="27"/>
      <c r="I126" s="27"/>
      <c r="J126" s="27"/>
      <c r="K126" s="27"/>
      <c r="L126" s="58">
        <v>0</v>
      </c>
      <c r="M126" s="27"/>
      <c r="N126" s="124"/>
    </row>
    <row r="127" spans="1:14" ht="15.75">
      <c r="A127" s="26"/>
      <c r="B127" s="27" t="s">
        <v>90</v>
      </c>
      <c r="C127" s="27"/>
      <c r="D127" s="27"/>
      <c r="E127" s="27"/>
      <c r="F127" s="27"/>
      <c r="G127" s="27"/>
      <c r="H127" s="27"/>
      <c r="I127" s="27"/>
      <c r="J127" s="27"/>
      <c r="K127" s="27"/>
      <c r="L127" s="58">
        <f>L126+L125</f>
        <v>0</v>
      </c>
      <c r="M127" s="27"/>
      <c r="N127" s="124"/>
    </row>
    <row r="128" spans="1:14" ht="15.75">
      <c r="A128" s="26"/>
      <c r="B128" s="27" t="s">
        <v>91</v>
      </c>
      <c r="C128" s="27"/>
      <c r="D128" s="27"/>
      <c r="E128" s="27"/>
      <c r="F128" s="27"/>
      <c r="G128" s="27"/>
      <c r="H128" s="72"/>
      <c r="I128" s="27"/>
      <c r="J128" s="27"/>
      <c r="K128" s="27"/>
      <c r="L128" s="58">
        <v>0</v>
      </c>
      <c r="M128" s="27"/>
      <c r="N128" s="124"/>
    </row>
    <row r="129" spans="1:14" ht="15.75">
      <c r="A129" s="26"/>
      <c r="B129" s="27" t="s">
        <v>92</v>
      </c>
      <c r="C129" s="27"/>
      <c r="D129" s="27"/>
      <c r="E129" s="27"/>
      <c r="F129" s="27"/>
      <c r="G129" s="27"/>
      <c r="H129" s="27"/>
      <c r="I129" s="27"/>
      <c r="J129" s="27"/>
      <c r="K129" s="27"/>
      <c r="L129" s="58">
        <f>L127+L128</f>
        <v>0</v>
      </c>
      <c r="M129" s="27"/>
      <c r="N129" s="124"/>
    </row>
    <row r="130" spans="1:14" ht="7.5" customHeight="1">
      <c r="A130" s="26"/>
      <c r="B130" s="27"/>
      <c r="C130" s="27"/>
      <c r="D130" s="27"/>
      <c r="E130" s="27"/>
      <c r="F130" s="27"/>
      <c r="G130" s="27"/>
      <c r="H130" s="27"/>
      <c r="I130" s="27"/>
      <c r="J130" s="27"/>
      <c r="K130" s="27"/>
      <c r="L130" s="68"/>
      <c r="M130" s="27"/>
      <c r="N130" s="124"/>
    </row>
    <row r="131" spans="1:14" ht="6" customHeight="1">
      <c r="A131" s="2"/>
      <c r="B131" s="5"/>
      <c r="C131" s="5"/>
      <c r="D131" s="5"/>
      <c r="E131" s="5"/>
      <c r="F131" s="5"/>
      <c r="G131" s="5"/>
      <c r="H131" s="5"/>
      <c r="I131" s="5"/>
      <c r="J131" s="5"/>
      <c r="K131" s="5"/>
      <c r="L131" s="67"/>
      <c r="M131" s="5"/>
      <c r="N131" s="124"/>
    </row>
    <row r="132" spans="1:14" ht="15.75">
      <c r="A132" s="8"/>
      <c r="B132" s="154" t="s">
        <v>93</v>
      </c>
      <c r="C132" s="16"/>
      <c r="D132" s="10"/>
      <c r="E132" s="10"/>
      <c r="F132" s="10"/>
      <c r="G132" s="10"/>
      <c r="H132" s="10"/>
      <c r="I132" s="10"/>
      <c r="J132" s="10"/>
      <c r="K132" s="10"/>
      <c r="L132" s="57"/>
      <c r="M132" s="10"/>
      <c r="N132" s="124"/>
    </row>
    <row r="133" spans="1:14" ht="15.75">
      <c r="A133" s="8"/>
      <c r="B133" s="22"/>
      <c r="C133" s="16"/>
      <c r="D133" s="10"/>
      <c r="E133" s="10"/>
      <c r="F133" s="10"/>
      <c r="G133" s="10"/>
      <c r="H133" s="10"/>
      <c r="I133" s="10"/>
      <c r="J133" s="10"/>
      <c r="K133" s="10"/>
      <c r="L133" s="57"/>
      <c r="M133" s="10"/>
      <c r="N133" s="124"/>
    </row>
    <row r="134" spans="1:14" ht="15.75">
      <c r="A134" s="26"/>
      <c r="B134" s="27" t="s">
        <v>94</v>
      </c>
      <c r="C134" s="73"/>
      <c r="D134" s="27"/>
      <c r="E134" s="27"/>
      <c r="F134" s="27"/>
      <c r="G134" s="27"/>
      <c r="H134" s="27"/>
      <c r="I134" s="27"/>
      <c r="J134" s="27"/>
      <c r="K134" s="27"/>
      <c r="L134" s="58">
        <f>L59</f>
        <v>156344</v>
      </c>
      <c r="M134" s="27"/>
      <c r="N134" s="124"/>
    </row>
    <row r="135" spans="1:14" ht="15.75">
      <c r="A135" s="26"/>
      <c r="B135" s="27" t="s">
        <v>95</v>
      </c>
      <c r="C135" s="73"/>
      <c r="D135" s="27"/>
      <c r="E135" s="27"/>
      <c r="F135" s="27"/>
      <c r="G135" s="27"/>
      <c r="H135" s="27"/>
      <c r="I135" s="27"/>
      <c r="J135" s="27"/>
      <c r="K135" s="27"/>
      <c r="L135" s="58">
        <f>L71</f>
        <v>156344</v>
      </c>
      <c r="M135" s="27"/>
      <c r="N135" s="124"/>
    </row>
    <row r="136" spans="1:14" ht="7.5" customHeight="1">
      <c r="A136" s="26"/>
      <c r="B136" s="27"/>
      <c r="C136" s="27"/>
      <c r="D136" s="27"/>
      <c r="E136" s="27"/>
      <c r="F136" s="27"/>
      <c r="G136" s="27"/>
      <c r="H136" s="27"/>
      <c r="I136" s="27"/>
      <c r="J136" s="27"/>
      <c r="K136" s="27"/>
      <c r="L136" s="68"/>
      <c r="M136" s="27"/>
      <c r="N136" s="124"/>
    </row>
    <row r="137" spans="1:14" ht="15.75">
      <c r="A137" s="2"/>
      <c r="B137" s="5"/>
      <c r="C137" s="5"/>
      <c r="D137" s="5"/>
      <c r="E137" s="5"/>
      <c r="F137" s="5"/>
      <c r="G137" s="5"/>
      <c r="H137" s="5"/>
      <c r="I137" s="5"/>
      <c r="J137" s="5"/>
      <c r="K137" s="5"/>
      <c r="L137" s="67"/>
      <c r="M137" s="5"/>
      <c r="N137" s="124"/>
    </row>
    <row r="138" spans="1:14" ht="15.75">
      <c r="A138" s="8"/>
      <c r="B138" s="154" t="s">
        <v>96</v>
      </c>
      <c r="C138" s="143"/>
      <c r="D138" s="143"/>
      <c r="E138" s="143"/>
      <c r="F138" s="143"/>
      <c r="G138" s="143"/>
      <c r="H138" s="155" t="s">
        <v>169</v>
      </c>
      <c r="I138" s="155"/>
      <c r="J138" s="155" t="s">
        <v>176</v>
      </c>
      <c r="K138" s="143"/>
      <c r="L138" s="156" t="s">
        <v>188</v>
      </c>
      <c r="M138" s="12"/>
      <c r="N138" s="124"/>
    </row>
    <row r="139" spans="1:14" ht="15.75">
      <c r="A139" s="26"/>
      <c r="B139" s="27" t="s">
        <v>97</v>
      </c>
      <c r="C139" s="27"/>
      <c r="D139" s="27"/>
      <c r="E139" s="27"/>
      <c r="F139" s="27"/>
      <c r="G139" s="27"/>
      <c r="H139" s="58">
        <v>20000</v>
      </c>
      <c r="I139" s="27"/>
      <c r="J139" s="46"/>
      <c r="K139" s="27"/>
      <c r="L139" s="58"/>
      <c r="M139" s="27"/>
      <c r="N139" s="124"/>
    </row>
    <row r="140" spans="1:14" ht="15.75">
      <c r="A140" s="26"/>
      <c r="B140" s="27" t="s">
        <v>98</v>
      </c>
      <c r="C140" s="27"/>
      <c r="D140" s="27"/>
      <c r="E140" s="27"/>
      <c r="F140" s="27"/>
      <c r="G140" s="27"/>
      <c r="H140" s="58">
        <v>11079</v>
      </c>
      <c r="I140" s="27"/>
      <c r="J140" s="58">
        <v>548</v>
      </c>
      <c r="K140" s="27"/>
      <c r="L140" s="58">
        <f>J140+H140</f>
        <v>11627</v>
      </c>
      <c r="M140" s="27"/>
      <c r="N140" s="124"/>
    </row>
    <row r="141" spans="1:14" ht="15.75">
      <c r="A141" s="26"/>
      <c r="B141" s="27" t="s">
        <v>99</v>
      </c>
      <c r="C141" s="27"/>
      <c r="D141" s="27"/>
      <c r="E141" s="27"/>
      <c r="F141" s="27"/>
      <c r="G141" s="27"/>
      <c r="H141" s="58">
        <v>1565</v>
      </c>
      <c r="I141" s="27"/>
      <c r="J141" s="58">
        <v>13</v>
      </c>
      <c r="K141" s="27"/>
      <c r="L141" s="58">
        <f>J141+H141</f>
        <v>1578</v>
      </c>
      <c r="M141" s="27"/>
      <c r="N141" s="124"/>
    </row>
    <row r="142" spans="1:14" ht="15.75">
      <c r="A142" s="26"/>
      <c r="B142" s="27" t="s">
        <v>100</v>
      </c>
      <c r="C142" s="27"/>
      <c r="D142" s="27"/>
      <c r="E142" s="27"/>
      <c r="F142" s="27"/>
      <c r="G142" s="27"/>
      <c r="H142" s="58">
        <f>H140+H141</f>
        <v>12644</v>
      </c>
      <c r="I142" s="27"/>
      <c r="J142" s="58">
        <f>J141+J140</f>
        <v>561</v>
      </c>
      <c r="K142" s="27"/>
      <c r="L142" s="58">
        <f>J142+H142</f>
        <v>13205</v>
      </c>
      <c r="M142" s="27"/>
      <c r="N142" s="124"/>
    </row>
    <row r="143" spans="1:14" ht="15.75">
      <c r="A143" s="26"/>
      <c r="B143" s="27" t="s">
        <v>101</v>
      </c>
      <c r="C143" s="27"/>
      <c r="D143" s="27"/>
      <c r="E143" s="27"/>
      <c r="F143" s="27"/>
      <c r="G143" s="27"/>
      <c r="H143" s="58">
        <f>H139-H142-J142</f>
        <v>6795</v>
      </c>
      <c r="I143" s="27"/>
      <c r="J143" s="46"/>
      <c r="K143" s="27"/>
      <c r="L143" s="58"/>
      <c r="M143" s="27"/>
      <c r="N143" s="124"/>
    </row>
    <row r="144" spans="1:14" ht="7.5" customHeight="1">
      <c r="A144" s="26"/>
      <c r="B144" s="27"/>
      <c r="C144" s="27"/>
      <c r="D144" s="27"/>
      <c r="E144" s="27"/>
      <c r="F144" s="27"/>
      <c r="G144" s="27"/>
      <c r="H144" s="27"/>
      <c r="I144" s="27"/>
      <c r="J144" s="27"/>
      <c r="K144" s="27"/>
      <c r="L144" s="68"/>
      <c r="M144" s="27"/>
      <c r="N144" s="124"/>
    </row>
    <row r="145" spans="1:14" ht="9" customHeight="1">
      <c r="A145" s="2"/>
      <c r="B145" s="5"/>
      <c r="C145" s="5"/>
      <c r="D145" s="5"/>
      <c r="E145" s="5"/>
      <c r="F145" s="5"/>
      <c r="G145" s="5"/>
      <c r="H145" s="5"/>
      <c r="I145" s="5"/>
      <c r="J145" s="5"/>
      <c r="K145" s="5"/>
      <c r="L145" s="67"/>
      <c r="M145" s="5"/>
      <c r="N145" s="124"/>
    </row>
    <row r="146" spans="1:14" ht="15.75">
      <c r="A146" s="8"/>
      <c r="B146" s="154" t="s">
        <v>102</v>
      </c>
      <c r="C146" s="16"/>
      <c r="D146" s="10"/>
      <c r="E146" s="10"/>
      <c r="F146" s="10"/>
      <c r="G146" s="10"/>
      <c r="H146" s="10"/>
      <c r="I146" s="10"/>
      <c r="J146" s="10"/>
      <c r="K146" s="10"/>
      <c r="L146" s="74"/>
      <c r="M146" s="10"/>
      <c r="N146" s="124"/>
    </row>
    <row r="147" spans="1:14" ht="15.75">
      <c r="A147" s="26"/>
      <c r="B147" s="27" t="s">
        <v>103</v>
      </c>
      <c r="C147" s="27"/>
      <c r="D147" s="27"/>
      <c r="E147" s="27"/>
      <c r="F147" s="27"/>
      <c r="G147" s="27"/>
      <c r="H147" s="27"/>
      <c r="I147" s="27"/>
      <c r="J147" s="27"/>
      <c r="K147" s="27"/>
      <c r="L147" s="66">
        <f>(L80+L82+L83+L84+L85)/-L86</f>
        <v>1.453589108910891</v>
      </c>
      <c r="M147" s="27" t="s">
        <v>189</v>
      </c>
      <c r="N147" s="124"/>
    </row>
    <row r="148" spans="1:14" ht="15.75">
      <c r="A148" s="26"/>
      <c r="B148" s="27" t="s">
        <v>104</v>
      </c>
      <c r="C148" s="27"/>
      <c r="D148" s="27"/>
      <c r="E148" s="27"/>
      <c r="F148" s="27"/>
      <c r="G148" s="27"/>
      <c r="H148" s="27"/>
      <c r="I148" s="27"/>
      <c r="J148" s="27"/>
      <c r="K148" s="27"/>
      <c r="L148" s="66">
        <v>1.34</v>
      </c>
      <c r="M148" s="27" t="s">
        <v>189</v>
      </c>
      <c r="N148" s="124"/>
    </row>
    <row r="149" spans="1:14" ht="15.75">
      <c r="A149" s="26"/>
      <c r="B149" s="27" t="s">
        <v>105</v>
      </c>
      <c r="C149" s="27"/>
      <c r="D149" s="27"/>
      <c r="E149" s="27"/>
      <c r="F149" s="27"/>
      <c r="G149" s="27"/>
      <c r="H149" s="27"/>
      <c r="I149" s="27"/>
      <c r="J149" s="27"/>
      <c r="K149" s="27"/>
      <c r="L149" s="66">
        <f>(L80+SUM(L82:L86))/-L87</f>
        <v>3.0798319327731094</v>
      </c>
      <c r="M149" s="27" t="s">
        <v>189</v>
      </c>
      <c r="N149" s="124"/>
    </row>
    <row r="150" spans="1:14" ht="15.75">
      <c r="A150" s="26"/>
      <c r="B150" s="27" t="s">
        <v>106</v>
      </c>
      <c r="C150" s="27"/>
      <c r="D150" s="27"/>
      <c r="E150" s="27"/>
      <c r="F150" s="27"/>
      <c r="G150" s="27"/>
      <c r="H150" s="27"/>
      <c r="I150" s="27"/>
      <c r="J150" s="27"/>
      <c r="K150" s="27"/>
      <c r="L150" s="75">
        <v>2.66</v>
      </c>
      <c r="M150" s="27" t="s">
        <v>189</v>
      </c>
      <c r="N150" s="124"/>
    </row>
    <row r="151" spans="1:14" ht="12.75" customHeight="1">
      <c r="A151" s="26"/>
      <c r="B151" s="27"/>
      <c r="C151" s="27"/>
      <c r="D151" s="27"/>
      <c r="E151" s="27"/>
      <c r="F151" s="27"/>
      <c r="G151" s="27"/>
      <c r="H151" s="27"/>
      <c r="I151" s="27"/>
      <c r="J151" s="27"/>
      <c r="K151" s="27"/>
      <c r="L151" s="27"/>
      <c r="M151" s="27"/>
      <c r="N151" s="124"/>
    </row>
    <row r="152" spans="1:14" ht="12.75" customHeight="1">
      <c r="A152" s="8"/>
      <c r="B152" s="10"/>
      <c r="C152" s="10"/>
      <c r="D152" s="10"/>
      <c r="E152" s="10"/>
      <c r="F152" s="10"/>
      <c r="G152" s="10"/>
      <c r="H152" s="10"/>
      <c r="I152" s="10"/>
      <c r="J152" s="10"/>
      <c r="K152" s="10"/>
      <c r="L152" s="10"/>
      <c r="M152" s="10"/>
      <c r="N152" s="124"/>
    </row>
    <row r="153" spans="1:14" ht="16.5" thickBot="1">
      <c r="A153" s="129"/>
      <c r="B153" s="136" t="str">
        <f>B104</f>
        <v>PM2 INVESTOR REPORT QUARTER ENDING MAY 2002</v>
      </c>
      <c r="C153" s="131"/>
      <c r="D153" s="131"/>
      <c r="E153" s="131"/>
      <c r="F153" s="131"/>
      <c r="G153" s="131"/>
      <c r="H153" s="131"/>
      <c r="I153" s="131"/>
      <c r="J153" s="131"/>
      <c r="K153" s="131"/>
      <c r="L153" s="131"/>
      <c r="M153" s="134"/>
      <c r="N153" s="124"/>
    </row>
    <row r="154" spans="1:14" ht="15.75">
      <c r="A154" s="2"/>
      <c r="B154" s="76"/>
      <c r="C154" s="76"/>
      <c r="D154" s="76"/>
      <c r="E154" s="76"/>
      <c r="F154" s="76"/>
      <c r="G154" s="76"/>
      <c r="H154" s="76"/>
      <c r="I154" s="76"/>
      <c r="J154" s="76"/>
      <c r="K154" s="76"/>
      <c r="L154" s="76"/>
      <c r="M154" s="76"/>
      <c r="N154" s="124"/>
    </row>
    <row r="155" spans="1:14" ht="15.75">
      <c r="A155" s="77"/>
      <c r="B155" s="56" t="s">
        <v>107</v>
      </c>
      <c r="C155" s="78"/>
      <c r="D155" s="78"/>
      <c r="E155" s="78"/>
      <c r="F155" s="78"/>
      <c r="G155" s="20"/>
      <c r="H155" s="20"/>
      <c r="I155" s="20"/>
      <c r="J155" s="20">
        <v>37407</v>
      </c>
      <c r="K155" s="18"/>
      <c r="L155" s="18"/>
      <c r="M155" s="10"/>
      <c r="N155" s="124"/>
    </row>
    <row r="156" spans="1:14" ht="15.75">
      <c r="A156" s="80"/>
      <c r="B156" s="81"/>
      <c r="C156" s="82"/>
      <c r="D156" s="82"/>
      <c r="E156" s="82"/>
      <c r="F156" s="82"/>
      <c r="G156" s="83"/>
      <c r="H156" s="83"/>
      <c r="I156" s="83"/>
      <c r="J156" s="83"/>
      <c r="K156" s="10"/>
      <c r="L156" s="10"/>
      <c r="M156" s="10"/>
      <c r="N156" s="124"/>
    </row>
    <row r="157" spans="1:14" ht="15.75">
      <c r="A157" s="84"/>
      <c r="B157" s="85" t="s">
        <v>108</v>
      </c>
      <c r="C157" s="86"/>
      <c r="D157" s="86"/>
      <c r="E157" s="86"/>
      <c r="F157" s="86"/>
      <c r="G157" s="72"/>
      <c r="H157" s="72"/>
      <c r="I157" s="72"/>
      <c r="J157" s="87">
        <v>0.0736</v>
      </c>
      <c r="K157" s="27"/>
      <c r="L157" s="27"/>
      <c r="M157" s="27"/>
      <c r="N157" s="124"/>
    </row>
    <row r="158" spans="1:14" ht="15.75">
      <c r="A158" s="84"/>
      <c r="B158" s="85" t="s">
        <v>109</v>
      </c>
      <c r="C158" s="86"/>
      <c r="D158" s="86"/>
      <c r="E158" s="86"/>
      <c r="F158" s="86"/>
      <c r="G158" s="72"/>
      <c r="H158" s="72"/>
      <c r="I158" s="72"/>
      <c r="J158" s="87">
        <v>0.0554</v>
      </c>
      <c r="K158" s="27"/>
      <c r="L158" s="27"/>
      <c r="M158" s="27"/>
      <c r="N158" s="124"/>
    </row>
    <row r="159" spans="1:14" ht="15.75">
      <c r="A159" s="84"/>
      <c r="B159" s="85" t="s">
        <v>110</v>
      </c>
      <c r="C159" s="86"/>
      <c r="D159" s="86"/>
      <c r="E159" s="86"/>
      <c r="F159" s="86"/>
      <c r="G159" s="72"/>
      <c r="H159" s="72"/>
      <c r="I159" s="72"/>
      <c r="J159" s="87">
        <f>J157-J158</f>
        <v>0.0182</v>
      </c>
      <c r="K159" s="27"/>
      <c r="L159" s="27"/>
      <c r="M159" s="27"/>
      <c r="N159" s="124"/>
    </row>
    <row r="160" spans="1:14" ht="15.75">
      <c r="A160" s="84"/>
      <c r="B160" s="85" t="s">
        <v>111</v>
      </c>
      <c r="C160" s="86"/>
      <c r="D160" s="86"/>
      <c r="E160" s="86"/>
      <c r="F160" s="86"/>
      <c r="G160" s="72"/>
      <c r="H160" s="72"/>
      <c r="I160" s="72"/>
      <c r="J160" s="87">
        <v>0.0628</v>
      </c>
      <c r="K160" s="27"/>
      <c r="L160" s="27"/>
      <c r="M160" s="27"/>
      <c r="N160" s="124"/>
    </row>
    <row r="161" spans="1:14" ht="15.75">
      <c r="A161" s="84"/>
      <c r="B161" s="85" t="s">
        <v>112</v>
      </c>
      <c r="C161" s="86"/>
      <c r="D161" s="86"/>
      <c r="E161" s="86"/>
      <c r="F161" s="86"/>
      <c r="G161" s="72"/>
      <c r="H161" s="72"/>
      <c r="I161" s="72"/>
      <c r="J161" s="87">
        <f>L33</f>
        <v>0.04477413859688892</v>
      </c>
      <c r="K161" s="27"/>
      <c r="L161" s="27"/>
      <c r="M161" s="27"/>
      <c r="N161" s="124"/>
    </row>
    <row r="162" spans="1:14" ht="15.75">
      <c r="A162" s="84"/>
      <c r="B162" s="85" t="s">
        <v>113</v>
      </c>
      <c r="C162" s="86"/>
      <c r="D162" s="86"/>
      <c r="E162" s="86"/>
      <c r="F162" s="86"/>
      <c r="G162" s="72"/>
      <c r="H162" s="72"/>
      <c r="I162" s="72"/>
      <c r="J162" s="87">
        <f>J160-J161</f>
        <v>0.018025861403111076</v>
      </c>
      <c r="K162" s="27"/>
      <c r="L162" s="27"/>
      <c r="M162" s="27"/>
      <c r="N162" s="124"/>
    </row>
    <row r="163" spans="1:14" ht="15.75">
      <c r="A163" s="84"/>
      <c r="B163" s="85" t="s">
        <v>114</v>
      </c>
      <c r="C163" s="86"/>
      <c r="D163" s="86"/>
      <c r="E163" s="86"/>
      <c r="F163" s="86"/>
      <c r="G163" s="72"/>
      <c r="H163" s="72"/>
      <c r="I163" s="72"/>
      <c r="J163" s="88" t="s">
        <v>177</v>
      </c>
      <c r="K163" s="27"/>
      <c r="L163" s="27"/>
      <c r="M163" s="27"/>
      <c r="N163" s="124"/>
    </row>
    <row r="164" spans="1:14" ht="15.75">
      <c r="A164" s="84"/>
      <c r="B164" s="85" t="s">
        <v>115</v>
      </c>
      <c r="C164" s="86"/>
      <c r="D164" s="86"/>
      <c r="E164" s="86"/>
      <c r="F164" s="86"/>
      <c r="G164" s="72"/>
      <c r="H164" s="72"/>
      <c r="I164" s="72"/>
      <c r="J164" s="88" t="s">
        <v>178</v>
      </c>
      <c r="K164" s="27"/>
      <c r="L164" s="27"/>
      <c r="M164" s="27"/>
      <c r="N164" s="124"/>
    </row>
    <row r="165" spans="1:14" ht="15.75">
      <c r="A165" s="84"/>
      <c r="B165" s="85" t="s">
        <v>116</v>
      </c>
      <c r="C165" s="86"/>
      <c r="D165" s="86"/>
      <c r="E165" s="86"/>
      <c r="F165" s="86"/>
      <c r="G165" s="72"/>
      <c r="H165" s="72"/>
      <c r="I165" s="72"/>
      <c r="J165" s="89">
        <v>19.6</v>
      </c>
      <c r="K165" s="27" t="s">
        <v>182</v>
      </c>
      <c r="L165" s="27"/>
      <c r="M165" s="27"/>
      <c r="N165" s="124"/>
    </row>
    <row r="166" spans="1:14" ht="15.75">
      <c r="A166" s="84"/>
      <c r="B166" s="85" t="s">
        <v>117</v>
      </c>
      <c r="C166" s="86"/>
      <c r="D166" s="86"/>
      <c r="E166" s="86"/>
      <c r="F166" s="86"/>
      <c r="G166" s="72"/>
      <c r="H166" s="72"/>
      <c r="I166" s="72"/>
      <c r="J166" s="89">
        <v>17.51</v>
      </c>
      <c r="K166" s="27" t="s">
        <v>182</v>
      </c>
      <c r="L166" s="27"/>
      <c r="M166" s="27"/>
      <c r="N166" s="124"/>
    </row>
    <row r="167" spans="1:14" ht="15.75">
      <c r="A167" s="84"/>
      <c r="B167" s="85" t="s">
        <v>118</v>
      </c>
      <c r="C167" s="86"/>
      <c r="D167" s="86"/>
      <c r="E167" s="86"/>
      <c r="F167" s="86"/>
      <c r="G167" s="72"/>
      <c r="H167" s="72"/>
      <c r="I167" s="72"/>
      <c r="J167" s="87">
        <f>F56/'Feb 2002'!L56</f>
        <v>0.03737521380811693</v>
      </c>
      <c r="K167" s="27"/>
      <c r="L167" s="27"/>
      <c r="M167" s="27"/>
      <c r="N167" s="124"/>
    </row>
    <row r="168" spans="1:14" ht="15.75">
      <c r="A168" s="84"/>
      <c r="B168" s="85" t="s">
        <v>119</v>
      </c>
      <c r="C168" s="86"/>
      <c r="D168" s="86"/>
      <c r="E168" s="86"/>
      <c r="F168" s="86"/>
      <c r="G168" s="72"/>
      <c r="H168" s="72"/>
      <c r="I168" s="72"/>
      <c r="J168" s="87">
        <v>0.1037</v>
      </c>
      <c r="K168" s="27"/>
      <c r="L168" s="27"/>
      <c r="M168" s="27"/>
      <c r="N168" s="124"/>
    </row>
    <row r="169" spans="1:14" ht="15.75">
      <c r="A169" s="84"/>
      <c r="B169" s="85"/>
      <c r="C169" s="85"/>
      <c r="D169" s="85"/>
      <c r="E169" s="85"/>
      <c r="F169" s="85"/>
      <c r="G169" s="27"/>
      <c r="H169" s="27"/>
      <c r="I169" s="27"/>
      <c r="J169" s="68"/>
      <c r="K169" s="27"/>
      <c r="L169" s="90"/>
      <c r="M169" s="27"/>
      <c r="N169" s="124"/>
    </row>
    <row r="170" spans="1:14" ht="15.75">
      <c r="A170" s="91"/>
      <c r="B170" s="17" t="s">
        <v>120</v>
      </c>
      <c r="C170" s="92"/>
      <c r="D170" s="93"/>
      <c r="E170" s="92"/>
      <c r="F170" s="93"/>
      <c r="G170" s="92"/>
      <c r="H170" s="93"/>
      <c r="I170" s="63" t="s">
        <v>170</v>
      </c>
      <c r="J170" s="94" t="s">
        <v>179</v>
      </c>
      <c r="K170" s="18"/>
      <c r="L170" s="10"/>
      <c r="M170" s="10"/>
      <c r="N170" s="124"/>
    </row>
    <row r="171" spans="1:14" ht="15.75">
      <c r="A171" s="95"/>
      <c r="B171" s="85" t="s">
        <v>121</v>
      </c>
      <c r="C171" s="59"/>
      <c r="D171" s="59"/>
      <c r="E171" s="59"/>
      <c r="F171" s="27"/>
      <c r="G171" s="27"/>
      <c r="H171" s="27"/>
      <c r="I171" s="28">
        <v>18</v>
      </c>
      <c r="J171" s="96">
        <v>566</v>
      </c>
      <c r="K171" s="27"/>
      <c r="L171" s="90"/>
      <c r="M171" s="97"/>
      <c r="N171" s="124"/>
    </row>
    <row r="172" spans="1:14" ht="15.75">
      <c r="A172" s="95"/>
      <c r="B172" s="85" t="s">
        <v>122</v>
      </c>
      <c r="C172" s="59"/>
      <c r="D172" s="59"/>
      <c r="E172" s="59"/>
      <c r="F172" s="27"/>
      <c r="G172" s="27"/>
      <c r="H172" s="27"/>
      <c r="I172" s="28">
        <v>2</v>
      </c>
      <c r="J172" s="96">
        <v>65</v>
      </c>
      <c r="K172" s="27"/>
      <c r="L172" s="90"/>
      <c r="M172" s="97"/>
      <c r="N172" s="124"/>
    </row>
    <row r="173" spans="1:14" ht="15.75">
      <c r="A173" s="95"/>
      <c r="B173" s="157" t="s">
        <v>123</v>
      </c>
      <c r="C173" s="59"/>
      <c r="D173" s="59"/>
      <c r="E173" s="59"/>
      <c r="F173" s="27"/>
      <c r="G173" s="27"/>
      <c r="H173" s="27"/>
      <c r="I173" s="27"/>
      <c r="J173" s="96">
        <v>0</v>
      </c>
      <c r="K173" s="27"/>
      <c r="L173" s="90"/>
      <c r="M173" s="97"/>
      <c r="N173" s="124"/>
    </row>
    <row r="174" spans="1:14" ht="15.75">
      <c r="A174" s="95"/>
      <c r="B174" s="157" t="s">
        <v>124</v>
      </c>
      <c r="C174" s="59"/>
      <c r="D174" s="59"/>
      <c r="E174" s="59"/>
      <c r="F174" s="27"/>
      <c r="G174" s="27"/>
      <c r="H174" s="27"/>
      <c r="I174" s="27"/>
      <c r="J174" s="96">
        <v>25878</v>
      </c>
      <c r="K174" s="27"/>
      <c r="L174" s="90"/>
      <c r="M174" s="97"/>
      <c r="N174" s="124"/>
    </row>
    <row r="175" spans="1:14" ht="15.75">
      <c r="A175" s="98"/>
      <c r="B175" s="157" t="s">
        <v>125</v>
      </c>
      <c r="C175" s="59"/>
      <c r="D175" s="85"/>
      <c r="E175" s="85"/>
      <c r="F175" s="85"/>
      <c r="G175" s="27"/>
      <c r="H175" s="27"/>
      <c r="I175" s="27"/>
      <c r="J175" s="96">
        <v>0</v>
      </c>
      <c r="K175" s="27"/>
      <c r="L175" s="90"/>
      <c r="M175" s="99"/>
      <c r="N175" s="124"/>
    </row>
    <row r="176" spans="1:14" ht="15.75">
      <c r="A176" s="95"/>
      <c r="B176" s="85" t="s">
        <v>126</v>
      </c>
      <c r="C176" s="59"/>
      <c r="D176" s="59"/>
      <c r="E176" s="59"/>
      <c r="F176" s="59"/>
      <c r="G176" s="27"/>
      <c r="H176" s="27"/>
      <c r="I176" s="27">
        <v>0</v>
      </c>
      <c r="J176" s="96">
        <v>0</v>
      </c>
      <c r="K176" s="27"/>
      <c r="L176" s="90"/>
      <c r="M176" s="99"/>
      <c r="N176" s="124"/>
    </row>
    <row r="177" spans="1:14" ht="15.75">
      <c r="A177" s="95"/>
      <c r="B177" s="85" t="s">
        <v>127</v>
      </c>
      <c r="C177" s="59"/>
      <c r="D177" s="59"/>
      <c r="E177" s="59"/>
      <c r="F177" s="59"/>
      <c r="G177" s="27"/>
      <c r="H177" s="27"/>
      <c r="I177" s="27">
        <v>1</v>
      </c>
      <c r="J177" s="96">
        <v>1</v>
      </c>
      <c r="K177" s="27"/>
      <c r="L177" s="90"/>
      <c r="M177" s="99"/>
      <c r="N177" s="124"/>
    </row>
    <row r="178" spans="1:14" ht="15.75">
      <c r="A178" s="95"/>
      <c r="B178" s="85" t="s">
        <v>196</v>
      </c>
      <c r="C178" s="59"/>
      <c r="D178" s="59"/>
      <c r="E178" s="59"/>
      <c r="F178" s="59"/>
      <c r="G178" s="27"/>
      <c r="H178" s="27"/>
      <c r="I178" s="27"/>
      <c r="J178" s="96"/>
      <c r="K178" s="27"/>
      <c r="L178" s="90"/>
      <c r="M178" s="99"/>
      <c r="N178" s="124"/>
    </row>
    <row r="179" spans="1:14" ht="15.75">
      <c r="A179" s="98"/>
      <c r="B179" s="157" t="s">
        <v>128</v>
      </c>
      <c r="C179" s="59"/>
      <c r="D179" s="85"/>
      <c r="E179" s="85"/>
      <c r="F179" s="85"/>
      <c r="G179" s="27"/>
      <c r="H179" s="27"/>
      <c r="I179" s="27"/>
      <c r="J179" s="96"/>
      <c r="K179" s="27"/>
      <c r="L179" s="90"/>
      <c r="M179" s="99"/>
      <c r="N179" s="124"/>
    </row>
    <row r="180" spans="1:14" ht="15.75">
      <c r="A180" s="98"/>
      <c r="B180" s="85" t="s">
        <v>129</v>
      </c>
      <c r="C180" s="59"/>
      <c r="D180" s="85"/>
      <c r="E180" s="85"/>
      <c r="F180" s="85"/>
      <c r="G180" s="27"/>
      <c r="H180" s="27"/>
      <c r="I180" s="27">
        <v>0</v>
      </c>
      <c r="J180" s="96">
        <v>0</v>
      </c>
      <c r="K180" s="27"/>
      <c r="L180" s="90"/>
      <c r="M180" s="99"/>
      <c r="N180" s="124"/>
    </row>
    <row r="181" spans="1:14" ht="15.75">
      <c r="A181" s="95"/>
      <c r="B181" s="85" t="s">
        <v>130</v>
      </c>
      <c r="C181" s="59"/>
      <c r="D181" s="100"/>
      <c r="E181" s="100"/>
      <c r="F181" s="101"/>
      <c r="G181" s="27"/>
      <c r="H181" s="27"/>
      <c r="I181" s="27"/>
      <c r="J181" s="96">
        <v>0</v>
      </c>
      <c r="K181" s="27"/>
      <c r="L181" s="90"/>
      <c r="M181" s="99"/>
      <c r="N181" s="124"/>
    </row>
    <row r="182" spans="1:14" ht="15.75">
      <c r="A182" s="95"/>
      <c r="B182" s="85" t="s">
        <v>131</v>
      </c>
      <c r="C182" s="59"/>
      <c r="D182" s="100"/>
      <c r="E182" s="100"/>
      <c r="F182" s="101"/>
      <c r="G182" s="27"/>
      <c r="H182" s="27"/>
      <c r="I182" s="27"/>
      <c r="J182" s="96">
        <v>0</v>
      </c>
      <c r="K182" s="27"/>
      <c r="L182" s="90"/>
      <c r="M182" s="99"/>
      <c r="N182" s="124"/>
    </row>
    <row r="183" spans="1:14" ht="15.75">
      <c r="A183" s="95"/>
      <c r="B183" s="85" t="s">
        <v>132</v>
      </c>
      <c r="C183" s="59"/>
      <c r="D183" s="102"/>
      <c r="E183" s="100"/>
      <c r="F183" s="101"/>
      <c r="G183" s="27"/>
      <c r="H183" s="27"/>
      <c r="I183" s="27"/>
      <c r="J183" s="103">
        <v>0</v>
      </c>
      <c r="K183" s="27"/>
      <c r="L183" s="90"/>
      <c r="M183" s="99"/>
      <c r="N183" s="124"/>
    </row>
    <row r="184" spans="1:14" ht="15.75">
      <c r="A184" s="95"/>
      <c r="B184" s="85"/>
      <c r="C184" s="59"/>
      <c r="D184" s="102"/>
      <c r="E184" s="100"/>
      <c r="F184" s="101"/>
      <c r="G184" s="27"/>
      <c r="H184" s="27"/>
      <c r="I184" s="27"/>
      <c r="J184" s="103"/>
      <c r="K184" s="27"/>
      <c r="L184" s="90"/>
      <c r="M184" s="99"/>
      <c r="N184" s="124"/>
    </row>
    <row r="185" spans="1:14" ht="15.75">
      <c r="A185" s="8"/>
      <c r="B185" s="17" t="s">
        <v>133</v>
      </c>
      <c r="C185" s="63"/>
      <c r="D185" s="94"/>
      <c r="E185" s="63"/>
      <c r="F185" s="94"/>
      <c r="G185" s="63"/>
      <c r="H185" s="94" t="s">
        <v>170</v>
      </c>
      <c r="I185" s="63" t="s">
        <v>171</v>
      </c>
      <c r="J185" s="94" t="s">
        <v>180</v>
      </c>
      <c r="K185" s="63" t="s">
        <v>171</v>
      </c>
      <c r="L185" s="18"/>
      <c r="M185" s="104"/>
      <c r="N185" s="124"/>
    </row>
    <row r="186" spans="1:14" ht="15.75">
      <c r="A186" s="26"/>
      <c r="B186" s="59" t="s">
        <v>134</v>
      </c>
      <c r="C186" s="105"/>
      <c r="D186" s="59"/>
      <c r="E186" s="105"/>
      <c r="F186" s="27"/>
      <c r="G186" s="105"/>
      <c r="H186" s="59">
        <v>2766</v>
      </c>
      <c r="I186" s="105">
        <f>H186/H191</f>
        <v>0.985393658710367</v>
      </c>
      <c r="J186" s="58">
        <v>154837</v>
      </c>
      <c r="K186" s="106">
        <f>J186/J191</f>
        <v>0.990360998823108</v>
      </c>
      <c r="L186" s="90"/>
      <c r="M186" s="99"/>
      <c r="N186" s="124"/>
    </row>
    <row r="187" spans="1:14" ht="15.75">
      <c r="A187" s="26"/>
      <c r="B187" s="59" t="s">
        <v>135</v>
      </c>
      <c r="C187" s="105"/>
      <c r="D187" s="59"/>
      <c r="E187" s="105"/>
      <c r="F187" s="27"/>
      <c r="G187" s="107"/>
      <c r="H187" s="59">
        <v>14</v>
      </c>
      <c r="I187" s="105">
        <f>H187/H191</f>
        <v>0.004987531172069825</v>
      </c>
      <c r="J187" s="58">
        <v>600</v>
      </c>
      <c r="K187" s="106">
        <f>J187/J191</f>
        <v>0.00383769124494704</v>
      </c>
      <c r="L187" s="90"/>
      <c r="M187" s="99"/>
      <c r="N187" s="124"/>
    </row>
    <row r="188" spans="1:14" ht="15.75">
      <c r="A188" s="26"/>
      <c r="B188" s="59" t="s">
        <v>136</v>
      </c>
      <c r="C188" s="105"/>
      <c r="D188" s="59"/>
      <c r="E188" s="105"/>
      <c r="F188" s="27"/>
      <c r="G188" s="107"/>
      <c r="H188" s="59">
        <v>5</v>
      </c>
      <c r="I188" s="105">
        <f>H188/H191</f>
        <v>0.0017812611328820805</v>
      </c>
      <c r="J188" s="58">
        <v>124</v>
      </c>
      <c r="K188" s="106">
        <f>J188/J191</f>
        <v>0.0007931228572890549</v>
      </c>
      <c r="L188" s="90"/>
      <c r="M188" s="99"/>
      <c r="N188" s="124"/>
    </row>
    <row r="189" spans="1:14" ht="15.75">
      <c r="A189" s="26"/>
      <c r="B189" s="59" t="s">
        <v>137</v>
      </c>
      <c r="C189" s="105"/>
      <c r="D189" s="59"/>
      <c r="E189" s="105"/>
      <c r="F189" s="27"/>
      <c r="G189" s="107"/>
      <c r="H189" s="59">
        <f>9+2+2+9</f>
        <v>22</v>
      </c>
      <c r="I189" s="105">
        <f>H189/H191</f>
        <v>0.007837548984681154</v>
      </c>
      <c r="J189" s="58">
        <f>284+79+93+327</f>
        <v>783</v>
      </c>
      <c r="K189" s="106">
        <f>J189/$J191</f>
        <v>0.005008187074655887</v>
      </c>
      <c r="L189" s="90"/>
      <c r="M189" s="99"/>
      <c r="N189" s="124"/>
    </row>
    <row r="190" spans="1:14" ht="15.75">
      <c r="A190" s="26"/>
      <c r="B190" s="30"/>
      <c r="C190" s="105"/>
      <c r="D190" s="59"/>
      <c r="E190" s="105"/>
      <c r="F190" s="27"/>
      <c r="G190" s="107"/>
      <c r="H190" s="59"/>
      <c r="I190" s="105"/>
      <c r="J190" s="58"/>
      <c r="K190" s="106"/>
      <c r="L190" s="90"/>
      <c r="M190" s="99"/>
      <c r="N190" s="124"/>
    </row>
    <row r="191" spans="1:14" ht="15.75">
      <c r="A191" s="26"/>
      <c r="B191" s="27" t="s">
        <v>188</v>
      </c>
      <c r="C191" s="27"/>
      <c r="D191" s="27"/>
      <c r="E191" s="27"/>
      <c r="F191" s="27"/>
      <c r="G191" s="27"/>
      <c r="H191" s="37">
        <f>SUM(H186:H190)</f>
        <v>2807</v>
      </c>
      <c r="I191" s="109">
        <f>SUM(I186:I190)</f>
        <v>1.0000000000000002</v>
      </c>
      <c r="J191" s="58">
        <f>SUM(J186:J190)</f>
        <v>156344</v>
      </c>
      <c r="K191" s="109">
        <f>SUM(K186:K190)</f>
        <v>1</v>
      </c>
      <c r="L191" s="27"/>
      <c r="M191" s="27"/>
      <c r="N191" s="124"/>
    </row>
    <row r="192" spans="1:14" ht="15.75">
      <c r="A192" s="26"/>
      <c r="B192" s="27"/>
      <c r="C192" s="27"/>
      <c r="D192" s="27"/>
      <c r="E192" s="27"/>
      <c r="F192" s="27"/>
      <c r="G192" s="27"/>
      <c r="H192" s="37"/>
      <c r="I192" s="109"/>
      <c r="J192" s="58"/>
      <c r="K192" s="109"/>
      <c r="L192" s="27"/>
      <c r="M192" s="27"/>
      <c r="N192" s="124"/>
    </row>
    <row r="193" spans="1:14" ht="15.75">
      <c r="A193" s="8"/>
      <c r="B193" s="10"/>
      <c r="C193" s="10"/>
      <c r="D193" s="10"/>
      <c r="E193" s="10"/>
      <c r="F193" s="10"/>
      <c r="G193" s="10"/>
      <c r="H193" s="60"/>
      <c r="I193" s="112"/>
      <c r="J193" s="113"/>
      <c r="K193" s="112"/>
      <c r="L193" s="10"/>
      <c r="M193" s="10"/>
      <c r="N193" s="124"/>
    </row>
    <row r="194" spans="1:14" ht="15.75">
      <c r="A194" s="114"/>
      <c r="B194" s="17" t="s">
        <v>138</v>
      </c>
      <c r="C194" s="115"/>
      <c r="D194" s="63" t="s">
        <v>146</v>
      </c>
      <c r="E194" s="18"/>
      <c r="F194" s="17" t="s">
        <v>159</v>
      </c>
      <c r="G194" s="116"/>
      <c r="H194" s="116"/>
      <c r="I194" s="116"/>
      <c r="J194" s="15"/>
      <c r="K194" s="15"/>
      <c r="L194" s="15"/>
      <c r="M194" s="15"/>
      <c r="N194" s="124"/>
    </row>
    <row r="195" spans="1:14" ht="15.75">
      <c r="A195" s="117"/>
      <c r="B195" s="15"/>
      <c r="C195" s="15"/>
      <c r="D195" s="10"/>
      <c r="E195" s="10"/>
      <c r="F195" s="10"/>
      <c r="G195" s="15"/>
      <c r="H195" s="15"/>
      <c r="I195" s="15"/>
      <c r="J195" s="15"/>
      <c r="K195" s="15"/>
      <c r="L195" s="15"/>
      <c r="M195" s="15"/>
      <c r="N195" s="124"/>
    </row>
    <row r="196" spans="1:14" ht="15.75">
      <c r="A196" s="117"/>
      <c r="B196" s="16" t="s">
        <v>139</v>
      </c>
      <c r="C196" s="118"/>
      <c r="D196" s="119" t="s">
        <v>147</v>
      </c>
      <c r="E196" s="16"/>
      <c r="F196" s="16" t="s">
        <v>160</v>
      </c>
      <c r="G196" s="118"/>
      <c r="H196" s="118"/>
      <c r="I196" s="15"/>
      <c r="J196" s="15"/>
      <c r="K196" s="15"/>
      <c r="L196" s="15"/>
      <c r="M196" s="15"/>
      <c r="N196" s="124"/>
    </row>
    <row r="197" spans="1:14" ht="15.75">
      <c r="A197" s="117"/>
      <c r="B197" s="16" t="s">
        <v>140</v>
      </c>
      <c r="C197" s="118"/>
      <c r="D197" s="119" t="s">
        <v>148</v>
      </c>
      <c r="E197" s="16"/>
      <c r="F197" s="16" t="s">
        <v>161</v>
      </c>
      <c r="G197" s="118"/>
      <c r="H197" s="118"/>
      <c r="I197" s="15"/>
      <c r="J197" s="15"/>
      <c r="K197" s="15"/>
      <c r="L197" s="15"/>
      <c r="M197" s="15"/>
      <c r="N197" s="124"/>
    </row>
    <row r="198" spans="1:14" ht="15.75">
      <c r="A198" s="117"/>
      <c r="B198" s="16"/>
      <c r="C198" s="118"/>
      <c r="D198" s="119"/>
      <c r="E198" s="16"/>
      <c r="F198" s="16"/>
      <c r="G198" s="118"/>
      <c r="H198" s="118"/>
      <c r="I198" s="15"/>
      <c r="J198" s="15"/>
      <c r="K198" s="15"/>
      <c r="L198" s="15"/>
      <c r="M198" s="15"/>
      <c r="N198" s="124"/>
    </row>
    <row r="199" spans="1:14" ht="15.75">
      <c r="A199" s="117"/>
      <c r="B199" s="16"/>
      <c r="C199" s="118"/>
      <c r="D199" s="119"/>
      <c r="E199" s="16"/>
      <c r="F199" s="16"/>
      <c r="G199" s="118"/>
      <c r="H199" s="118"/>
      <c r="I199" s="15"/>
      <c r="J199" s="15"/>
      <c r="K199" s="15"/>
      <c r="L199" s="15"/>
      <c r="M199" s="15"/>
      <c r="N199" s="124"/>
    </row>
    <row r="200" spans="1:14" ht="15.75">
      <c r="A200" s="117"/>
      <c r="B200" s="16" t="str">
        <f>B153</f>
        <v>PM2 INVESTOR REPORT QUARTER ENDING MAY 2002</v>
      </c>
      <c r="C200" s="118"/>
      <c r="D200" s="119"/>
      <c r="E200" s="16"/>
      <c r="F200" s="16"/>
      <c r="G200" s="118"/>
      <c r="H200" s="118"/>
      <c r="I200" s="15"/>
      <c r="J200" s="15"/>
      <c r="K200" s="15"/>
      <c r="L200" s="15"/>
      <c r="M200" s="15"/>
      <c r="N200" s="124"/>
    </row>
    <row r="201" spans="1:13" ht="15">
      <c r="A201" s="125"/>
      <c r="B201" s="125"/>
      <c r="C201" s="125"/>
      <c r="D201" s="125"/>
      <c r="E201" s="125"/>
      <c r="F201" s="125"/>
      <c r="G201" s="125"/>
      <c r="H201" s="125"/>
      <c r="I201" s="125"/>
      <c r="J201" s="125"/>
      <c r="K201" s="125"/>
      <c r="L201" s="125"/>
      <c r="M201" s="125"/>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1" max="13" man="1"/>
    <brk id="104" max="13" man="1"/>
    <brk id="153" max="1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