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firstSheet="17" activeTab="26"/>
  </bookViews>
  <sheets>
    <sheet name="Sep 04" sheetId="1" r:id="rId1"/>
    <sheet name="Oct 04" sheetId="2" r:id="rId2"/>
    <sheet name="Nov 04" sheetId="3" r:id="rId3"/>
    <sheet name="Dec 04" sheetId="4" r:id="rId4"/>
    <sheet name="Jan 05" sheetId="5" r:id="rId5"/>
    <sheet name="Feb 05" sheetId="6" r:id="rId6"/>
    <sheet name="Mar 05" sheetId="7" r:id="rId7"/>
    <sheet name="Apr 05" sheetId="8" r:id="rId8"/>
    <sheet name="May 05" sheetId="9" r:id="rId9"/>
    <sheet name="Jun 05" sheetId="10" r:id="rId10"/>
    <sheet name="Jul 05" sheetId="11" r:id="rId11"/>
    <sheet name="Aug 05" sheetId="12" r:id="rId12"/>
    <sheet name="Sept 05" sheetId="13" r:id="rId13"/>
    <sheet name="Oct 05" sheetId="14" r:id="rId14"/>
    <sheet name="Nov 05" sheetId="15" r:id="rId15"/>
    <sheet name="Dec 05" sheetId="16" r:id="rId16"/>
    <sheet name="Jan 06" sheetId="17" r:id="rId17"/>
    <sheet name="Feb 06" sheetId="18" r:id="rId18"/>
    <sheet name="Mar 06" sheetId="19" r:id="rId19"/>
    <sheet name="Apr 06" sheetId="20" r:id="rId20"/>
    <sheet name="May 06" sheetId="21" r:id="rId21"/>
    <sheet name="Jun 06" sheetId="22" r:id="rId22"/>
    <sheet name="Jul 06" sheetId="23" r:id="rId23"/>
    <sheet name="Aug 06" sheetId="24" r:id="rId24"/>
    <sheet name="Sept 06" sheetId="25" r:id="rId25"/>
    <sheet name="Oct 06" sheetId="26" r:id="rId26"/>
    <sheet name="Nov 06" sheetId="27" r:id="rId27"/>
  </sheets>
  <definedNames>
    <definedName name="_xlnm.Print_Area" localSheetId="7">'Apr 05'!$A$1:$P$135</definedName>
    <definedName name="_xlnm.Print_Area" localSheetId="19">'Apr 06'!$A$1:$P$138</definedName>
    <definedName name="_xlnm.Print_Area" localSheetId="15">'Dec 05'!$A$1:$P$135</definedName>
    <definedName name="_xlnm.Print_Area" localSheetId="5">'Feb 05'!$A$1:$P$136</definedName>
    <definedName name="_xlnm.Print_Area" localSheetId="17">'Feb 06'!$A$1:$P$135</definedName>
    <definedName name="_xlnm.Print_Area" localSheetId="4">'Jan 05'!$A$1:$P$135</definedName>
    <definedName name="_xlnm.Print_Area" localSheetId="16">'Jan 06'!$A$1:$Q$135</definedName>
    <definedName name="_xlnm.Print_Area" localSheetId="10">'Jul 05'!$A$1:$P$136</definedName>
    <definedName name="_xlnm.Print_Area" localSheetId="6">'Mar 05'!$A$1:$P$142</definedName>
    <definedName name="_xlnm.Print_Area" localSheetId="8">'May 05'!$A$1:$P$134</definedName>
    <definedName name="_xlnm.Print_Area" localSheetId="2">'Nov 04'!$A$1:$Q$136</definedName>
    <definedName name="_xlnm.Print_Area" localSheetId="26">'Nov 06'!$A$1:$P$135</definedName>
    <definedName name="_xlnm.Print_Area" localSheetId="1">'Oct 04'!$A$1:$P$142</definedName>
    <definedName name="_xlnm.Print_Area" localSheetId="13">'Oct 05'!$A$1:$P$134</definedName>
    <definedName name="_xlnm.Print_Area" localSheetId="25">'Oct 06'!$A$1:$P$135</definedName>
    <definedName name="_xlnm.Print_Area" localSheetId="12">'Sept 05'!$A$1:$P$135</definedName>
    <definedName name="_xlnm.Print_Titles" localSheetId="1">'Oct 04'!$4:$4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<sst xmlns="http://schemas.openxmlformats.org/spreadsheetml/2006/main" count="3497" uniqueCount="254">
  <si>
    <t>Bloomberg Monthly Report for First Flexible No.1 Plc</t>
  </si>
  <si>
    <t>the information herein when making any decisions whether to buy, hold or sell notes (or other securities) or</t>
  </si>
  <si>
    <t>for any other purpose.</t>
  </si>
  <si>
    <t>their structure.  This data fact sheet and its notes are for information purposes only and are not intended as</t>
  </si>
  <si>
    <t xml:space="preserve">This data fact sheet  can only be a summary of certain features of the Notes and their structure. No </t>
  </si>
  <si>
    <t xml:space="preserve">therefore. Reference should be made to the issue documentation for a full description of the bonds and </t>
  </si>
  <si>
    <t>representation can be made that the information herein is accurate or complete and no liability is accepted</t>
  </si>
  <si>
    <t>an offer or invitation with respect to the purchase or sale of any security.  Reliance should not be placed on</t>
  </si>
  <si>
    <t>Interest Payment Date Prepared:</t>
  </si>
  <si>
    <t>Note Rate LIBOR:</t>
  </si>
  <si>
    <t>Summary Features of Notes</t>
  </si>
  <si>
    <t>Note Class</t>
  </si>
  <si>
    <t>S&amp;P rating at closing</t>
  </si>
  <si>
    <t>S&amp;P current rating</t>
  </si>
  <si>
    <t>Fitch rating at closing</t>
  </si>
  <si>
    <t>Fitch current rating</t>
  </si>
  <si>
    <t>Pool factor</t>
  </si>
  <si>
    <t>Class B Notes as a percentage of Class A Notes at closing</t>
  </si>
  <si>
    <t>Current Class B Notes as a percentage of Class A Notes</t>
  </si>
  <si>
    <t>Current Note interest margin (bps)</t>
  </si>
  <si>
    <t>Step-up margin (bps)</t>
  </si>
  <si>
    <t>Step-up date</t>
  </si>
  <si>
    <t>Interest payment frequency</t>
  </si>
  <si>
    <t>Last interest payment date</t>
  </si>
  <si>
    <t>Mortgage Asset Movements</t>
  </si>
  <si>
    <t>Annualised total net repayment rate</t>
  </si>
  <si>
    <t>Annualised net Prepayment rate</t>
  </si>
  <si>
    <t>Other fees and expenses (£'000)</t>
  </si>
  <si>
    <t>Redraw Facility fees/interest (£'000)</t>
  </si>
  <si>
    <t>Redraw Facility</t>
  </si>
  <si>
    <t>Redraw Facility Available Amount at closing</t>
  </si>
  <si>
    <t>Redraw Facility Available Amount at beginning of last Collection Period</t>
  </si>
  <si>
    <t>Redraw Facility drawn balance at beginning of last Collection Period</t>
  </si>
  <si>
    <t>Increase/decrease of Redraw Facility drawn balance</t>
  </si>
  <si>
    <t>New redraw Facility drawn balance</t>
  </si>
  <si>
    <t>Redraw Facility commitment fee</t>
  </si>
  <si>
    <t>Redraw Facility drawn margin</t>
  </si>
  <si>
    <t>Redraw Fund</t>
  </si>
  <si>
    <t>Redraw Fund balance at closing</t>
  </si>
  <si>
    <t>Redraw Fund balance at beginning of last Collection Period</t>
  </si>
  <si>
    <t>Increase/decrease of Redraw Fund balance</t>
  </si>
  <si>
    <t>New Redraw Fund balance</t>
  </si>
  <si>
    <t>Reserve Fund</t>
  </si>
  <si>
    <t>Reserve Fund balance at closing</t>
  </si>
  <si>
    <t>Reserve Fund balance at beginning of last Collection Period</t>
  </si>
  <si>
    <t>Increase/decrease of Reserve Fund balance</t>
  </si>
  <si>
    <t>Use of decrease of Reserve Fund balance</t>
  </si>
  <si>
    <t xml:space="preserve">          Redraw Facility fees/interest</t>
  </si>
  <si>
    <t xml:space="preserve">          A Note interest</t>
  </si>
  <si>
    <t xml:space="preserve">          B Note interest</t>
  </si>
  <si>
    <t>New Reserve Fund balance</t>
  </si>
  <si>
    <t>Principal Deficiency Ledger (PDL)</t>
  </si>
  <si>
    <t>PDL balance at beginning of last Collection Period</t>
  </si>
  <si>
    <t>Losses realised (during Collection Period)</t>
  </si>
  <si>
    <t>Reduction of PDL balance</t>
  </si>
  <si>
    <t>New PDL balance</t>
  </si>
  <si>
    <t>Arrears Band</t>
  </si>
  <si>
    <t>Current</t>
  </si>
  <si>
    <t>Over 1 month - 2 months</t>
  </si>
  <si>
    <t>Over 2 months - 3 months</t>
  </si>
  <si>
    <t>Over 3 months - 6 months</t>
  </si>
  <si>
    <t>Over 6 months - 12 months</t>
  </si>
  <si>
    <t>Over 12 months</t>
  </si>
  <si>
    <t>Loss Analysis</t>
  </si>
  <si>
    <t>Properties taken into possession this Collection Period</t>
  </si>
  <si>
    <t>Cumulative Properties taken into possession since closing</t>
  </si>
  <si>
    <t>Principal losses realised during this Collection Period</t>
  </si>
  <si>
    <t>Cumulative principal losses since closing</t>
  </si>
  <si>
    <t>Cumulative average sale period (months)</t>
  </si>
  <si>
    <t>Properties Sold in Detail</t>
  </si>
  <si>
    <t>Sale price over latest valuation</t>
  </si>
  <si>
    <t>Total recovery over balance at sale</t>
  </si>
  <si>
    <t>Average sale period (months)</t>
  </si>
  <si>
    <t>Senior</t>
  </si>
  <si>
    <t>Subordinated</t>
  </si>
  <si>
    <t xml:space="preserve">Number of mortgages </t>
  </si>
  <si>
    <t>A</t>
  </si>
  <si>
    <t>B</t>
  </si>
  <si>
    <t>AAA</t>
  </si>
  <si>
    <t>November 2006</t>
  </si>
  <si>
    <t>monthly</t>
  </si>
  <si>
    <t>Annualised Redemption rate</t>
  </si>
  <si>
    <t>n/a</t>
  </si>
  <si>
    <t>Amount of note redemption (£)</t>
  </si>
  <si>
    <t>Note interest payment (£)</t>
  </si>
  <si>
    <t>Trustee fee (£)</t>
  </si>
  <si>
    <t>Servicer fee (£)</t>
  </si>
  <si>
    <t>Outstanding balance (£)</t>
  </si>
  <si>
    <t>Issue amount at closing (£)</t>
  </si>
  <si>
    <t>Note principal outstanding at previous Interest Payment Date (£)</t>
  </si>
  <si>
    <t>Current Note principal outstanding (£)</t>
  </si>
  <si>
    <t>Mortgage principal balance at beginning of last Collection Period (£)</t>
  </si>
  <si>
    <t>Mortgage principal balance at end of last Collection Period (£)</t>
  </si>
  <si>
    <t>Mortgage interest received during last Collection Period (£)</t>
  </si>
  <si>
    <t>Gross principal payments received during last Collection Period (£)</t>
  </si>
  <si>
    <t>Redraws funded during last Collection Period (£)</t>
  </si>
  <si>
    <t>Net Principal payments received (£)</t>
  </si>
  <si>
    <t xml:space="preserve">          of this redemption's received during last Collection Period (£)</t>
  </si>
  <si>
    <t>Further Advances purchased (£)</t>
  </si>
  <si>
    <t>Further Mortgages purchased (£)</t>
  </si>
  <si>
    <t>Class A Note redemption (£)</t>
  </si>
  <si>
    <t>Class B Note redemption (£)</t>
  </si>
  <si>
    <t>Properties sold balance at sale (£)</t>
  </si>
  <si>
    <t>Sale proceeds (£)</t>
  </si>
  <si>
    <t>MIG payments received (£)</t>
  </si>
  <si>
    <t>Further recovery amount (£)</t>
  </si>
  <si>
    <t>Surplus/Loss (£)</t>
  </si>
  <si>
    <t xml:space="preserve">          of this net prepayments received during last Collection Period (£)</t>
  </si>
  <si>
    <t>Possessions</t>
  </si>
  <si>
    <t>Litigations</t>
  </si>
  <si>
    <t>Current month annualised Note repayment rate (CPR)</t>
  </si>
  <si>
    <t>Undrawn Mortages</t>
  </si>
  <si>
    <t>Drawn Mortgages</t>
  </si>
  <si>
    <t>Initial Pool</t>
  </si>
  <si>
    <t>Max WALTV(Initial pool +1%)</t>
  </si>
  <si>
    <t>Current Pool</t>
  </si>
  <si>
    <t>A+</t>
  </si>
  <si>
    <t>WALTV Analysis as at PDD date</t>
  </si>
  <si>
    <t>Collection period ran from 18 August  to 17 September 2004</t>
  </si>
  <si>
    <t>Gross Excess Spread for calendar month September 2004</t>
  </si>
  <si>
    <t>Additional Release from reserves to margin in September 2004</t>
  </si>
  <si>
    <t>Selected Fees and Expenses in calendar month September 2004</t>
  </si>
  <si>
    <t>Arrears Analysis as at 17th September 2004</t>
  </si>
  <si>
    <t>Collection period ran from 20 July  to 17 August 2004</t>
  </si>
  <si>
    <t>Gross Excess Spread for calendar month August 2004</t>
  </si>
  <si>
    <t>Additional Release from reserves to margin in August 2004</t>
  </si>
  <si>
    <t>Selected Fees and Expenses in calendar month August 2004</t>
  </si>
  <si>
    <t>Arrears Analysis as at 17th August 2004</t>
  </si>
  <si>
    <t>Collection period ran from 18 September to 18 October 2004</t>
  </si>
  <si>
    <t>Gross Excess Spread for calendar month October 2004</t>
  </si>
  <si>
    <t>Additional Release from reserves to margin in October 2004</t>
  </si>
  <si>
    <t>Selected Fees and Expenses in calendar month October 2004</t>
  </si>
  <si>
    <t>Arrears Analysis as at 18th October 2004</t>
  </si>
  <si>
    <t>Gross Excess Spread for calendar month November 2004</t>
  </si>
  <si>
    <t>Additional Release from reserves to margin in November 2004</t>
  </si>
  <si>
    <t>Selected Fees and Expenses in calendar month November 2004</t>
  </si>
  <si>
    <t>Collection period ran from 19 October to 17 November 2004</t>
  </si>
  <si>
    <t>Arrears Analysis as at 17th November 2004</t>
  </si>
  <si>
    <t>Collection period ran from 18 November to 16 December 2004</t>
  </si>
  <si>
    <t>Gross Excess Spread for calendar month December 2004</t>
  </si>
  <si>
    <t>Additional Release from reserves to margin in December 2004</t>
  </si>
  <si>
    <t>Selected Fees and Expenses in calendar month December 2004</t>
  </si>
  <si>
    <t>Arrears Analysis as at 16th December 2004</t>
  </si>
  <si>
    <t>Collection period ran from 17 December to 18 January 2005</t>
  </si>
  <si>
    <t>Gross Excess Spread for calendar month January 2005</t>
  </si>
  <si>
    <t>Additional Release from reserves to margin in January 2005</t>
  </si>
  <si>
    <t>Selected Fees and Expenses in calendar month January 2005</t>
  </si>
  <si>
    <t>Arrears Analysis as at 18th January 2005</t>
  </si>
  <si>
    <t>Collection period ran from 19 January to 15 February 2005</t>
  </si>
  <si>
    <t>Gross Excess Spread for calendar month February 2005</t>
  </si>
  <si>
    <t>Additional Release from reserves to margin in February 2005</t>
  </si>
  <si>
    <t>Selected Fees and Expenses in calendar month February 2005</t>
  </si>
  <si>
    <t>Arrears Analysis as at 15th February 2005</t>
  </si>
  <si>
    <t>Collection period ran from 16 February to 16 March 2005</t>
  </si>
  <si>
    <t>Gross Excess Spread for calendar month March 2005</t>
  </si>
  <si>
    <t>Additional Release from reserves to margin in March 2005</t>
  </si>
  <si>
    <t>Selected Fees and Expenses in calendar month March 2005</t>
  </si>
  <si>
    <t>Arrears Analysis as at 16th March 2005</t>
  </si>
  <si>
    <t>Collection period ran from 17 March to 18 April 2005</t>
  </si>
  <si>
    <t>Gross Excess Spread for calendar month April 2005</t>
  </si>
  <si>
    <t>Additional Release from reserves to margin in April 2005</t>
  </si>
  <si>
    <t>Selected Fees and Expenses in calendar month April 2005</t>
  </si>
  <si>
    <t>Arrears Analysis as at 18th April 2005</t>
  </si>
  <si>
    <t>Collection period ran from 19 April to 17 May 2005</t>
  </si>
  <si>
    <t>Gross Excess Spread for calendar month May 2005</t>
  </si>
  <si>
    <t>Additional Release from reserves to margin in May 2005</t>
  </si>
  <si>
    <t>Selected Fees and Expenses in calendar month May 2005</t>
  </si>
  <si>
    <t>Arrears Analysis as at 17th May 2005</t>
  </si>
  <si>
    <t>Collection period ran from 18 May to 17 June 2005</t>
  </si>
  <si>
    <t>Gross Excess Spread for calendar month June 2005</t>
  </si>
  <si>
    <t>Additional Release from reserves to margin in June 2005</t>
  </si>
  <si>
    <t>Selected Fees and Expenses in calendar month June 2005</t>
  </si>
  <si>
    <t>Arrears Analysis as at 17th June 2005</t>
  </si>
  <si>
    <t>Collection period ran from 18 June to 18 July 2005</t>
  </si>
  <si>
    <t>Gross Excess Spread for calendar month July 2005</t>
  </si>
  <si>
    <t>Additional Release from reserves to margin in July 2005</t>
  </si>
  <si>
    <t>Selected Fees and Expenses in calendar month July 2005</t>
  </si>
  <si>
    <t>Arrears Analysis as at 18th July 2005</t>
  </si>
  <si>
    <t>Collection period ran from 19 July to 17 August 2005</t>
  </si>
  <si>
    <t>Gross Excess Spread for calendar month August 2005</t>
  </si>
  <si>
    <t>Additional Release from reserves to margin in August 2005</t>
  </si>
  <si>
    <t>Selected Fees and Expenses in calendar month August 2005</t>
  </si>
  <si>
    <t>Arrears Analysis as at 17th August 2005</t>
  </si>
  <si>
    <t>Collection period ran from 18 August to 19 September 2005</t>
  </si>
  <si>
    <t>Gross Excess Spread for calendar month Septembert 2005</t>
  </si>
  <si>
    <t>Additional Release from reserves to margin in September 2005</t>
  </si>
  <si>
    <t>Selected Fees and Expenses in calendar month September 2005</t>
  </si>
  <si>
    <t>Arrears Analysis as at 19th September 2005</t>
  </si>
  <si>
    <t>Collection period ran from 20 September to 18 October 2005</t>
  </si>
  <si>
    <t>Gross Excess Spread for calendar month October 2005</t>
  </si>
  <si>
    <t>Additional Release from reserves to margin in October 2005</t>
  </si>
  <si>
    <t>Selected Fees and Expenses in calendar month October 2005</t>
  </si>
  <si>
    <t>Arrears Analysis as at 18th October 2005</t>
  </si>
  <si>
    <t>Collection period ran from 19 October to 17 November 2005</t>
  </si>
  <si>
    <t>Gross Excess Spread for calendar month November 2005</t>
  </si>
  <si>
    <t>Additional Release from reserves to margin in November 2005</t>
  </si>
  <si>
    <t>Selected Fees and Expenses in calendar month November 2005</t>
  </si>
  <si>
    <t>Arrears Analysis as at 17th November 2005</t>
  </si>
  <si>
    <t>Collection period ran from 18 November to 15 December 2005</t>
  </si>
  <si>
    <t>Gross Excess Spread for calendar month December 2005</t>
  </si>
  <si>
    <t>Additional Release from reserves to margin in December 2005</t>
  </si>
  <si>
    <t>Selected Fees and Expenses in calendar month December 2005</t>
  </si>
  <si>
    <t>Arrears Analysis as at 15th December 2005</t>
  </si>
  <si>
    <t>Collection period ran from 16 December to 18 January 2006</t>
  </si>
  <si>
    <t>Gross Excess Spread for calendar month January 2006</t>
  </si>
  <si>
    <t>Additional Release from reserves to margin in January 2006</t>
  </si>
  <si>
    <t>Selected Fees and Expenses in calendar month January 2006</t>
  </si>
  <si>
    <t>Arrears Analysis as at 18th January 2006</t>
  </si>
  <si>
    <t>Collection period ran from 19 January to 15 February 2006</t>
  </si>
  <si>
    <t>Gross Excess Spread for calendar month February 2006</t>
  </si>
  <si>
    <t>Additional Release from reserves to margin in February 2006</t>
  </si>
  <si>
    <t>Selected Fees and Expenses in calendar month February 2006</t>
  </si>
  <si>
    <t>Arrears Analysis as at 15th February 2006</t>
  </si>
  <si>
    <t>Collection period ran from 16 February to 20 March 2006</t>
  </si>
  <si>
    <t>Gross Excess Spread for calendar month March 2006</t>
  </si>
  <si>
    <t>Additional Release from reserves to margin in March 2006</t>
  </si>
  <si>
    <t>Selected Fees and Expenses in calendar month March 2006</t>
  </si>
  <si>
    <t>Arrears Analysis as at 20th March 2006</t>
  </si>
  <si>
    <t>Collection period ran from 21 March to 13 April 2006</t>
  </si>
  <si>
    <t>Gross Excess Spread for calendar month April 2006</t>
  </si>
  <si>
    <t>Additional Release from reserves to margin in April 2006</t>
  </si>
  <si>
    <t>Selected Fees and Expenses in calendar month April 2006</t>
  </si>
  <si>
    <t>Arrears Analysis as at 13th April 2006</t>
  </si>
  <si>
    <t>Collection period ran from 14 April to 17 May 2006</t>
  </si>
  <si>
    <t>Gross Excess Spread for calendar month May 2006</t>
  </si>
  <si>
    <t>Additional Release from reserves to margin in May 2006</t>
  </si>
  <si>
    <t>Selected Fees and Expenses in calendar month May 2006</t>
  </si>
  <si>
    <t>Arrears Analysis as at 17th May 2006</t>
  </si>
  <si>
    <t>Gross Excess Spread for calendar month June 2006</t>
  </si>
  <si>
    <t>Additional Release from reserves to margin in June 2006</t>
  </si>
  <si>
    <t>Selected Fees and Expenses in calendar month June 2006</t>
  </si>
  <si>
    <t>Arrears Analysis as at 19th June 2006</t>
  </si>
  <si>
    <t>Collection period ran from 18 May to 19 June 2006</t>
  </si>
  <si>
    <t>Collection period ran from 20 June to 18 July 2006</t>
  </si>
  <si>
    <t>Gross Excess Spread for calendar month July 2006</t>
  </si>
  <si>
    <t>Additional Release from reserves to margin in July 2006</t>
  </si>
  <si>
    <t>Selected Fees and Expenses in calendar month July 2006</t>
  </si>
  <si>
    <t>Arrears Analysis as at 18th July 2006</t>
  </si>
  <si>
    <t>Collection period ran from 19 July to 17 August 2006</t>
  </si>
  <si>
    <t>Gross Excess Spread for calendar month August 2006</t>
  </si>
  <si>
    <t>Additional Release from reserves to margin in August 2006</t>
  </si>
  <si>
    <t>Selected Fees and Expenses in calendar month August 2006</t>
  </si>
  <si>
    <t>Arrears Analysis as at 17th August 2006</t>
  </si>
  <si>
    <t xml:space="preserve"> </t>
  </si>
  <si>
    <t>Gross Excess Spread for calendar month September 2006</t>
  </si>
  <si>
    <t>Additional Release from reserves to margin in September 2006</t>
  </si>
  <si>
    <t>Selected Fees and Expenses in calendar month September 2006</t>
  </si>
  <si>
    <t>Arrears Analysis as at 18th September 2006</t>
  </si>
  <si>
    <t>Collection period ran from 18 August to 18 September 2006</t>
  </si>
  <si>
    <t>Collection period ran from 19 September to 18 October 2006</t>
  </si>
  <si>
    <t>Gross Excess Spread for calendar month October 2006</t>
  </si>
  <si>
    <t>Additional Release from reserves to margin in October 2006</t>
  </si>
  <si>
    <t>Selected Fees and Expenses in calendar month October 2006</t>
  </si>
  <si>
    <t>Arrears Analysis as at 18th October 2006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</si>
</sst>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mmmm\ d\,\ yyyy"/>
    <numFmt numFmtId="181" formatCode="0.00000%"/>
    <numFmt numFmtId="182" formatCode="0.0"/>
    <numFmt numFmtId="183" formatCode="0.000"/>
    <numFmt numFmtId="184" formatCode="0.0000"/>
    <numFmt numFmtId="185" formatCode="0.000000"/>
    <numFmt numFmtId="186" formatCode="0.00000"/>
    <numFmt numFmtId="187" formatCode="0.0000000"/>
    <numFmt numFmtId="188" formatCode="mmmm\-yy"/>
    <numFmt numFmtId="189" formatCode="#,##0.0"/>
    <numFmt numFmtId="190" formatCode="d\-mmm\-yy"/>
    <numFmt numFmtId="191" formatCode="&quot;£&quot;#,##0.00"/>
    <numFmt numFmtId="192" formatCode="0.0000%"/>
    <numFmt numFmtId="193" formatCode="&quot;£&quot;#,##0"/>
  </numFmts>
  <fonts count="1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48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/>
    </xf>
    <xf numFmtId="9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horizontal="center"/>
    </xf>
    <xf numFmtId="10" fontId="10" fillId="0" borderId="4" xfId="0" applyNumberFormat="1" applyFont="1" applyFill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0" fontId="9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/>
    </xf>
    <xf numFmtId="9" fontId="10" fillId="0" borderId="4" xfId="0" applyNumberFormat="1" applyFont="1" applyFill="1" applyBorder="1" applyAlignment="1">
      <alignment/>
    </xf>
    <xf numFmtId="10" fontId="10" fillId="0" borderId="1" xfId="0" applyNumberFormat="1" applyFont="1" applyFill="1" applyBorder="1" applyAlignment="1">
      <alignment/>
    </xf>
    <xf numFmtId="9" fontId="10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180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 quotePrefix="1">
      <alignment horizontal="left"/>
    </xf>
    <xf numFmtId="10" fontId="13" fillId="0" borderId="0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181" fontId="12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10" fontId="15" fillId="0" borderId="0" xfId="0" applyNumberFormat="1" applyFont="1" applyFill="1" applyBorder="1" applyAlignment="1">
      <alignment/>
    </xf>
    <xf numFmtId="10" fontId="15" fillId="0" borderId="1" xfId="0" applyNumberFormat="1" applyFont="1" applyFill="1" applyBorder="1" applyAlignment="1">
      <alignment/>
    </xf>
    <xf numFmtId="9" fontId="18" fillId="0" borderId="4" xfId="0" applyNumberFormat="1" applyFont="1" applyFill="1" applyBorder="1" applyAlignment="1">
      <alignment/>
    </xf>
    <xf numFmtId="9" fontId="18" fillId="0" borderId="5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193" fontId="10" fillId="0" borderId="3" xfId="0" applyNumberFormat="1" applyFont="1" applyFill="1" applyBorder="1" applyAlignment="1">
      <alignment horizontal="center"/>
    </xf>
    <xf numFmtId="193" fontId="10" fillId="0" borderId="1" xfId="0" applyNumberFormat="1" applyFont="1" applyFill="1" applyBorder="1" applyAlignment="1">
      <alignment horizontal="center"/>
    </xf>
    <xf numFmtId="193" fontId="10" fillId="0" borderId="5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0" borderId="2" xfId="0" applyNumberFormat="1" applyFont="1" applyFill="1" applyBorder="1" applyAlignment="1">
      <alignment horizontal="center"/>
    </xf>
    <xf numFmtId="10" fontId="10" fillId="0" borderId="4" xfId="0" applyNumberFormat="1" applyFont="1" applyFill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  <xf numFmtId="193" fontId="10" fillId="0" borderId="10" xfId="0" applyNumberFormat="1" applyFont="1" applyFill="1" applyBorder="1" applyAlignment="1">
      <alignment horizontal="center"/>
    </xf>
    <xf numFmtId="193" fontId="10" fillId="0" borderId="11" xfId="0" applyNumberFormat="1" applyFont="1" applyFill="1" applyBorder="1" applyAlignment="1">
      <alignment horizontal="center"/>
    </xf>
    <xf numFmtId="193" fontId="10" fillId="0" borderId="9" xfId="0" applyNumberFormat="1" applyFont="1" applyFill="1" applyBorder="1" applyAlignment="1">
      <alignment horizontal="center"/>
    </xf>
    <xf numFmtId="15" fontId="10" fillId="0" borderId="3" xfId="0" applyNumberFormat="1" applyFont="1" applyFill="1" applyBorder="1" applyAlignment="1">
      <alignment horizontal="center"/>
    </xf>
    <xf numFmtId="15" fontId="10" fillId="0" borderId="1" xfId="0" applyNumberFormat="1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190" fontId="10" fillId="0" borderId="3" xfId="0" applyNumberFormat="1" applyFont="1" applyFill="1" applyBorder="1" applyAlignment="1">
      <alignment horizontal="center"/>
    </xf>
    <xf numFmtId="190" fontId="10" fillId="0" borderId="1" xfId="0" applyNumberFormat="1" applyFont="1" applyFill="1" applyBorder="1" applyAlignment="1">
      <alignment horizontal="center"/>
    </xf>
    <xf numFmtId="190" fontId="10" fillId="0" borderId="5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 quotePrefix="1">
      <alignment horizontal="center"/>
    </xf>
    <xf numFmtId="187" fontId="10" fillId="0" borderId="2" xfId="0" applyNumberFormat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187" fontId="10" fillId="0" borderId="4" xfId="0" applyNumberFormat="1" applyFont="1" applyFill="1" applyBorder="1" applyAlignment="1">
      <alignment horizontal="center"/>
    </xf>
    <xf numFmtId="184" fontId="10" fillId="0" borderId="2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4" fontId="10" fillId="0" borderId="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84" fontId="2" fillId="0" borderId="2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184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87" fontId="2" fillId="0" borderId="2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187" fontId="2" fillId="0" borderId="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90" fontId="2" fillId="0" borderId="3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90" fontId="2" fillId="0" borderId="5" xfId="0" applyNumberFormat="1" applyFont="1" applyFill="1" applyBorder="1" applyAlignment="1">
      <alignment horizontal="center"/>
    </xf>
    <xf numFmtId="17" fontId="2" fillId="0" borderId="2" xfId="0" applyNumberFormat="1" applyFont="1" applyFill="1" applyBorder="1" applyAlignment="1" quotePrefix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0" borderId="5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93" fontId="2" fillId="0" borderId="3" xfId="0" applyNumberFormat="1" applyFont="1" applyFill="1" applyBorder="1" applyAlignment="1">
      <alignment horizontal="center"/>
    </xf>
    <xf numFmtId="193" fontId="2" fillId="0" borderId="1" xfId="0" applyNumberFormat="1" applyFont="1" applyFill="1" applyBorder="1" applyAlignment="1">
      <alignment horizontal="center"/>
    </xf>
    <xf numFmtId="193" fontId="2" fillId="0" borderId="5" xfId="0" applyNumberFormat="1" applyFont="1" applyFill="1" applyBorder="1" applyAlignment="1">
      <alignment horizontal="center"/>
    </xf>
    <xf numFmtId="193" fontId="2" fillId="0" borderId="10" xfId="0" applyNumberFormat="1" applyFont="1" applyFill="1" applyBorder="1" applyAlignment="1">
      <alignment horizontal="center"/>
    </xf>
    <xf numFmtId="193" fontId="2" fillId="0" borderId="11" xfId="0" applyNumberFormat="1" applyFont="1" applyFill="1" applyBorder="1" applyAlignment="1">
      <alignment horizontal="center"/>
    </xf>
    <xf numFmtId="193" fontId="2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187" fontId="13" fillId="0" borderId="2" xfId="0" applyNumberFormat="1" applyFont="1" applyFill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/>
    </xf>
    <xf numFmtId="187" fontId="13" fillId="0" borderId="4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93" fontId="13" fillId="0" borderId="10" xfId="0" applyNumberFormat="1" applyFont="1" applyFill="1" applyBorder="1" applyAlignment="1">
      <alignment horizontal="center"/>
    </xf>
    <xf numFmtId="193" fontId="13" fillId="0" borderId="11" xfId="0" applyNumberFormat="1" applyFont="1" applyFill="1" applyBorder="1" applyAlignment="1">
      <alignment horizontal="center"/>
    </xf>
    <xf numFmtId="193" fontId="13" fillId="0" borderId="9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93" fontId="18" fillId="0" borderId="10" xfId="0" applyNumberFormat="1" applyFont="1" applyFill="1" applyBorder="1" applyAlignment="1">
      <alignment horizontal="center"/>
    </xf>
    <xf numFmtId="193" fontId="18" fillId="0" borderId="11" xfId="0" applyNumberFormat="1" applyFont="1" applyFill="1" applyBorder="1" applyAlignment="1">
      <alignment horizontal="center"/>
    </xf>
    <xf numFmtId="193" fontId="18" fillId="0" borderId="9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Q1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33" customWidth="1"/>
    <col min="5" max="5" width="22.140625" style="33" customWidth="1"/>
    <col min="6" max="6" width="9.140625" style="33" customWidth="1"/>
    <col min="7" max="7" width="3.57421875" style="33" customWidth="1"/>
    <col min="8" max="8" width="9.140625" style="33" customWidth="1"/>
    <col min="9" max="9" width="12.7109375" style="33" bestFit="1" customWidth="1"/>
    <col min="10" max="11" width="9.140625" style="33" customWidth="1"/>
    <col min="12" max="12" width="10.421875" style="33" bestFit="1" customWidth="1"/>
    <col min="13" max="14" width="9.140625" style="33" customWidth="1"/>
    <col min="15" max="15" width="10.57421875" style="33" bestFit="1" customWidth="1"/>
    <col min="16" max="16384" width="9.140625" style="33" customWidth="1"/>
  </cols>
  <sheetData>
    <row r="4" ht="15">
      <c r="A4" s="32" t="s">
        <v>0</v>
      </c>
    </row>
    <row r="5" ht="12.75" hidden="1"/>
    <row r="6" ht="12.75" hidden="1">
      <c r="A6" s="34" t="s">
        <v>4</v>
      </c>
    </row>
    <row r="7" ht="12.75" hidden="1">
      <c r="A7" s="34" t="s">
        <v>6</v>
      </c>
    </row>
    <row r="8" ht="12.75" hidden="1">
      <c r="A8" s="34" t="s">
        <v>5</v>
      </c>
    </row>
    <row r="9" ht="12.75" hidden="1">
      <c r="A9" s="34" t="s">
        <v>3</v>
      </c>
    </row>
    <row r="10" ht="12.75" hidden="1">
      <c r="A10" s="34" t="s">
        <v>7</v>
      </c>
    </row>
    <row r="11" ht="12.75" hidden="1">
      <c r="A11" s="34" t="s">
        <v>1</v>
      </c>
    </row>
    <row r="12" ht="12.75" hidden="1">
      <c r="A12" s="34" t="s">
        <v>2</v>
      </c>
    </row>
    <row r="13" ht="12.75" hidden="1"/>
    <row r="16" spans="1:5" s="36" customFormat="1" ht="15">
      <c r="A16" s="35" t="s">
        <v>8</v>
      </c>
      <c r="E16" s="37">
        <v>38230</v>
      </c>
    </row>
    <row r="17" spans="1:5" s="36" customFormat="1" ht="15">
      <c r="A17" s="35"/>
      <c r="E17" s="37"/>
    </row>
    <row r="18" spans="1:5" s="36" customFormat="1" ht="15">
      <c r="A18" s="35" t="s">
        <v>9</v>
      </c>
      <c r="E18" s="38">
        <v>0.0485375</v>
      </c>
    </row>
    <row r="19" spans="1:5" s="36" customFormat="1" ht="15">
      <c r="A19" s="35"/>
      <c r="E19" s="38"/>
    </row>
    <row r="20" spans="1:5" s="36" customFormat="1" ht="15">
      <c r="A20" s="35"/>
      <c r="E20" s="38"/>
    </row>
    <row r="21" s="36" customFormat="1" ht="14.25"/>
    <row r="22" spans="1:13" s="36" customFormat="1" ht="15">
      <c r="A22" s="32" t="s">
        <v>10</v>
      </c>
      <c r="H22" s="127" t="s">
        <v>73</v>
      </c>
      <c r="I22" s="128"/>
      <c r="J22" s="129"/>
      <c r="K22" s="127" t="s">
        <v>74</v>
      </c>
      <c r="L22" s="128"/>
      <c r="M22" s="129"/>
    </row>
    <row r="23" spans="1:13" s="36" customFormat="1" ht="14.25">
      <c r="A23" s="36" t="s">
        <v>11</v>
      </c>
      <c r="H23" s="84" t="s">
        <v>76</v>
      </c>
      <c r="I23" s="85"/>
      <c r="J23" s="86"/>
      <c r="K23" s="84" t="s">
        <v>77</v>
      </c>
      <c r="L23" s="85"/>
      <c r="M23" s="86"/>
    </row>
    <row r="24" spans="1:13" s="36" customFormat="1" ht="14.25">
      <c r="A24" s="36" t="s">
        <v>12</v>
      </c>
      <c r="H24" s="84" t="s">
        <v>78</v>
      </c>
      <c r="I24" s="85"/>
      <c r="J24" s="86"/>
      <c r="K24" s="84" t="s">
        <v>76</v>
      </c>
      <c r="L24" s="85"/>
      <c r="M24" s="86"/>
    </row>
    <row r="25" spans="1:13" s="36" customFormat="1" ht="14.25">
      <c r="A25" s="36" t="s">
        <v>13</v>
      </c>
      <c r="H25" s="84" t="s">
        <v>78</v>
      </c>
      <c r="I25" s="85"/>
      <c r="J25" s="86"/>
      <c r="K25" s="84" t="s">
        <v>76</v>
      </c>
      <c r="L25" s="85"/>
      <c r="M25" s="86"/>
    </row>
    <row r="26" spans="1:13" s="36" customFormat="1" ht="14.25">
      <c r="A26" s="36" t="s">
        <v>14</v>
      </c>
      <c r="H26" s="84" t="s">
        <v>78</v>
      </c>
      <c r="I26" s="85"/>
      <c r="J26" s="86"/>
      <c r="K26" s="84" t="s">
        <v>76</v>
      </c>
      <c r="L26" s="85" t="s">
        <v>76</v>
      </c>
      <c r="M26" s="86"/>
    </row>
    <row r="27" spans="1:13" s="36" customFormat="1" ht="14.25">
      <c r="A27" s="36" t="s">
        <v>15</v>
      </c>
      <c r="H27" s="84" t="s">
        <v>78</v>
      </c>
      <c r="I27" s="85"/>
      <c r="J27" s="86"/>
      <c r="K27" s="84" t="s">
        <v>116</v>
      </c>
      <c r="L27" s="85"/>
      <c r="M27" s="86"/>
    </row>
    <row r="28" spans="8:13" s="36" customFormat="1" ht="14.25">
      <c r="H28" s="84"/>
      <c r="I28" s="85"/>
      <c r="J28" s="86"/>
      <c r="K28" s="84"/>
      <c r="L28" s="85"/>
      <c r="M28" s="86"/>
    </row>
    <row r="29" spans="1:25" s="36" customFormat="1" ht="14.25">
      <c r="A29" s="36" t="s">
        <v>88</v>
      </c>
      <c r="H29" s="96">
        <v>276000000</v>
      </c>
      <c r="I29" s="97"/>
      <c r="J29" s="79"/>
      <c r="K29" s="96">
        <v>24000000</v>
      </c>
      <c r="L29" s="97"/>
      <c r="M29" s="79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s="36" customFormat="1" ht="14.25">
      <c r="A30" s="36" t="s">
        <v>89</v>
      </c>
      <c r="H30" s="96">
        <v>110998726.8</v>
      </c>
      <c r="I30" s="97"/>
      <c r="J30" s="79"/>
      <c r="K30" s="96">
        <v>24000000</v>
      </c>
      <c r="L30" s="97"/>
      <c r="M30" s="79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s="36" customFormat="1" ht="14.25">
      <c r="A31" s="36" t="s">
        <v>83</v>
      </c>
      <c r="H31" s="96">
        <f>H30-H32</f>
        <v>4002331.200000003</v>
      </c>
      <c r="I31" s="85"/>
      <c r="J31" s="86"/>
      <c r="K31" s="84" t="s">
        <v>82</v>
      </c>
      <c r="L31" s="85"/>
      <c r="M31" s="86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43" s="36" customFormat="1" ht="14.25">
      <c r="A32" s="36" t="s">
        <v>90</v>
      </c>
      <c r="H32" s="96">
        <v>106996395.6</v>
      </c>
      <c r="I32" s="97"/>
      <c r="J32" s="79"/>
      <c r="K32" s="96">
        <v>24000000</v>
      </c>
      <c r="L32" s="97"/>
      <c r="M32" s="79"/>
      <c r="AO32" s="96"/>
      <c r="AP32" s="97"/>
      <c r="AQ32" s="79"/>
    </row>
    <row r="33" spans="1:13" s="36" customFormat="1" ht="14.25">
      <c r="A33" s="36" t="s">
        <v>16</v>
      </c>
      <c r="H33" s="121">
        <v>0.3876681</v>
      </c>
      <c r="I33" s="122"/>
      <c r="J33" s="123"/>
      <c r="K33" s="124">
        <v>1</v>
      </c>
      <c r="L33" s="125"/>
      <c r="M33" s="126"/>
    </row>
    <row r="34" spans="1:13" s="36" customFormat="1" ht="14.25">
      <c r="A34" s="36" t="s">
        <v>110</v>
      </c>
      <c r="H34" s="107">
        <f>H31/H30*12</f>
        <v>0.43268941711861186</v>
      </c>
      <c r="I34" s="106"/>
      <c r="J34" s="108"/>
      <c r="K34" s="84" t="s">
        <v>82</v>
      </c>
      <c r="L34" s="85"/>
      <c r="M34" s="86"/>
    </row>
    <row r="35" spans="8:13" s="36" customFormat="1" ht="14.25">
      <c r="H35" s="84"/>
      <c r="I35" s="85"/>
      <c r="J35" s="86"/>
      <c r="K35" s="84"/>
      <c r="L35" s="85"/>
      <c r="M35" s="86"/>
    </row>
    <row r="36" spans="1:25" s="36" customFormat="1" ht="14.25">
      <c r="A36" s="36" t="s">
        <v>17</v>
      </c>
      <c r="H36" s="84" t="s">
        <v>82</v>
      </c>
      <c r="I36" s="85"/>
      <c r="J36" s="86"/>
      <c r="K36" s="107">
        <f>K29/H29*100%</f>
        <v>0.08695652173913043</v>
      </c>
      <c r="L36" s="85"/>
      <c r="M36" s="86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s="36" customFormat="1" ht="14.25">
      <c r="A37" s="36" t="s">
        <v>18</v>
      </c>
      <c r="H37" s="84" t="s">
        <v>82</v>
      </c>
      <c r="I37" s="85"/>
      <c r="J37" s="86"/>
      <c r="K37" s="107">
        <f>K32/H32*100%</f>
        <v>0.2243066214092169</v>
      </c>
      <c r="L37" s="85"/>
      <c r="M37" s="86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8:25" s="36" customFormat="1" ht="14.25">
      <c r="H38" s="84"/>
      <c r="I38" s="85"/>
      <c r="J38" s="86"/>
      <c r="K38" s="84"/>
      <c r="L38" s="85"/>
      <c r="M38" s="86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13" s="36" customFormat="1" ht="14.25">
      <c r="A39" s="36" t="s">
        <v>19</v>
      </c>
      <c r="H39" s="84">
        <v>31</v>
      </c>
      <c r="I39" s="85"/>
      <c r="J39" s="86"/>
      <c r="K39" s="84">
        <v>85</v>
      </c>
      <c r="L39" s="85"/>
      <c r="M39" s="86"/>
    </row>
    <row r="40" spans="1:13" s="36" customFormat="1" ht="14.25">
      <c r="A40" s="36" t="s">
        <v>84</v>
      </c>
      <c r="H40" s="70">
        <v>164.08</v>
      </c>
      <c r="I40" s="71"/>
      <c r="J40" s="72"/>
      <c r="K40" s="70">
        <v>467.52</v>
      </c>
      <c r="L40" s="71"/>
      <c r="M40" s="72"/>
    </row>
    <row r="41" spans="1:13" s="36" customFormat="1" ht="14.25">
      <c r="A41" s="36" t="s">
        <v>20</v>
      </c>
      <c r="H41" s="84">
        <v>62</v>
      </c>
      <c r="I41" s="85"/>
      <c r="J41" s="86"/>
      <c r="K41" s="84">
        <v>170</v>
      </c>
      <c r="L41" s="85"/>
      <c r="M41" s="86"/>
    </row>
    <row r="42" spans="1:13" s="36" customFormat="1" ht="14.25">
      <c r="A42" s="36" t="s">
        <v>21</v>
      </c>
      <c r="H42" s="120" t="s">
        <v>79</v>
      </c>
      <c r="I42" s="85"/>
      <c r="J42" s="86"/>
      <c r="K42" s="120" t="s">
        <v>79</v>
      </c>
      <c r="L42" s="85"/>
      <c r="M42" s="86"/>
    </row>
    <row r="43" spans="8:13" s="36" customFormat="1" ht="14.25">
      <c r="H43" s="84"/>
      <c r="I43" s="85"/>
      <c r="J43" s="86"/>
      <c r="K43" s="84"/>
      <c r="L43" s="85"/>
      <c r="M43" s="86"/>
    </row>
    <row r="44" spans="1:13" s="36" customFormat="1" ht="14.25">
      <c r="A44" s="36" t="s">
        <v>22</v>
      </c>
      <c r="H44" s="84" t="s">
        <v>80</v>
      </c>
      <c r="I44" s="85"/>
      <c r="J44" s="86"/>
      <c r="K44" s="84" t="s">
        <v>80</v>
      </c>
      <c r="L44" s="85"/>
      <c r="M44" s="86"/>
    </row>
    <row r="45" spans="1:13" s="36" customFormat="1" ht="14.25">
      <c r="A45" s="36" t="s">
        <v>23</v>
      </c>
      <c r="H45" s="114">
        <f>E16</f>
        <v>38230</v>
      </c>
      <c r="I45" s="115"/>
      <c r="J45" s="116"/>
      <c r="K45" s="117">
        <f>H45</f>
        <v>38230</v>
      </c>
      <c r="L45" s="118"/>
      <c r="M45" s="119"/>
    </row>
    <row r="46" s="36" customFormat="1" ht="14.25"/>
    <row r="47" spans="1:10" s="36" customFormat="1" ht="15">
      <c r="A47" s="32" t="s">
        <v>24</v>
      </c>
      <c r="H47" s="42"/>
      <c r="I47" s="42"/>
      <c r="J47" s="42"/>
    </row>
    <row r="48" spans="1:10" s="36" customFormat="1" ht="15">
      <c r="A48" s="32" t="s">
        <v>123</v>
      </c>
      <c r="H48" s="43"/>
      <c r="I48" s="43"/>
      <c r="J48" s="43"/>
    </row>
    <row r="49" spans="1:13" s="36" customFormat="1" ht="14.25">
      <c r="A49" s="36" t="s">
        <v>91</v>
      </c>
      <c r="H49" s="96">
        <v>134998710.29</v>
      </c>
      <c r="I49" s="97"/>
      <c r="J49" s="79"/>
      <c r="K49" s="42"/>
      <c r="L49" s="42"/>
      <c r="M49" s="42"/>
    </row>
    <row r="50" spans="1:13" s="36" customFormat="1" ht="14.25">
      <c r="A50" s="36" t="s">
        <v>92</v>
      </c>
      <c r="H50" s="96">
        <v>130996387.3</v>
      </c>
      <c r="I50" s="97"/>
      <c r="J50" s="79"/>
      <c r="K50" s="42"/>
      <c r="L50" s="42"/>
      <c r="M50" s="42"/>
    </row>
    <row r="51" spans="1:13" s="36" customFormat="1" ht="14.25">
      <c r="A51" s="36" t="s">
        <v>93</v>
      </c>
      <c r="H51" s="96">
        <v>680357.58</v>
      </c>
      <c r="I51" s="97"/>
      <c r="J51" s="79"/>
      <c r="K51" s="42"/>
      <c r="L51" s="42"/>
      <c r="M51" s="42"/>
    </row>
    <row r="52" spans="8:13" s="36" customFormat="1" ht="14.25">
      <c r="H52" s="84"/>
      <c r="I52" s="85"/>
      <c r="J52" s="86"/>
      <c r="K52" s="42"/>
      <c r="L52" s="42"/>
      <c r="M52" s="42"/>
    </row>
    <row r="53" spans="1:13" s="36" customFormat="1" ht="14.25">
      <c r="A53" s="36" t="s">
        <v>94</v>
      </c>
      <c r="H53" s="96">
        <f>H56+H57</f>
        <v>5910316.6</v>
      </c>
      <c r="I53" s="85"/>
      <c r="J53" s="86"/>
      <c r="K53" s="42"/>
      <c r="L53" s="42"/>
      <c r="M53" s="42"/>
    </row>
    <row r="54" spans="1:13" s="36" customFormat="1" ht="14.25">
      <c r="A54" s="36" t="s">
        <v>95</v>
      </c>
      <c r="H54" s="96">
        <v>1639325.68</v>
      </c>
      <c r="I54" s="85"/>
      <c r="J54" s="86"/>
      <c r="K54" s="42"/>
      <c r="L54" s="42"/>
      <c r="M54" s="42"/>
    </row>
    <row r="55" spans="1:13" s="36" customFormat="1" ht="14.25">
      <c r="A55" s="36" t="s">
        <v>96</v>
      </c>
      <c r="H55" s="84"/>
      <c r="I55" s="85"/>
      <c r="J55" s="86"/>
      <c r="K55" s="42"/>
      <c r="L55" s="44"/>
      <c r="M55" s="42"/>
    </row>
    <row r="56" spans="1:13" s="36" customFormat="1" ht="14.25">
      <c r="A56" s="36" t="s">
        <v>97</v>
      </c>
      <c r="H56" s="96">
        <v>4121168.18</v>
      </c>
      <c r="I56" s="85"/>
      <c r="J56" s="86"/>
      <c r="K56" s="96"/>
      <c r="L56" s="85"/>
      <c r="M56" s="85"/>
    </row>
    <row r="57" spans="1:13" s="36" customFormat="1" ht="14.25">
      <c r="A57" s="36" t="s">
        <v>107</v>
      </c>
      <c r="H57" s="96">
        <v>1789148.42</v>
      </c>
      <c r="I57" s="85"/>
      <c r="J57" s="86"/>
      <c r="K57" s="42"/>
      <c r="L57" s="44"/>
      <c r="M57" s="42"/>
    </row>
    <row r="58" spans="1:13" s="36" customFormat="1" ht="14.25">
      <c r="A58" s="36" t="s">
        <v>98</v>
      </c>
      <c r="H58" s="96">
        <v>268651.81</v>
      </c>
      <c r="I58" s="97"/>
      <c r="J58" s="79"/>
      <c r="K58" s="42"/>
      <c r="L58" s="44"/>
      <c r="M58" s="42"/>
    </row>
    <row r="59" spans="1:13" s="36" customFormat="1" ht="14.25">
      <c r="A59" s="36" t="s">
        <v>99</v>
      </c>
      <c r="H59" s="96">
        <v>0</v>
      </c>
      <c r="I59" s="97"/>
      <c r="J59" s="79"/>
      <c r="K59" s="42"/>
      <c r="L59" s="44"/>
      <c r="M59" s="42"/>
    </row>
    <row r="60" spans="1:13" s="36" customFormat="1" ht="14.25">
      <c r="A60" s="36" t="s">
        <v>100</v>
      </c>
      <c r="H60" s="96">
        <f>H31</f>
        <v>4002331.200000003</v>
      </c>
      <c r="I60" s="97"/>
      <c r="J60" s="79"/>
      <c r="K60" s="42"/>
      <c r="L60" s="44"/>
      <c r="M60" s="42"/>
    </row>
    <row r="61" spans="1:13" s="36" customFormat="1" ht="14.25">
      <c r="A61" s="36" t="s">
        <v>101</v>
      </c>
      <c r="H61" s="84" t="s">
        <v>82</v>
      </c>
      <c r="I61" s="85"/>
      <c r="J61" s="86"/>
      <c r="K61" s="42"/>
      <c r="L61" s="42"/>
      <c r="M61" s="42"/>
    </row>
    <row r="62" spans="8:13" s="36" customFormat="1" ht="14.25">
      <c r="H62" s="84"/>
      <c r="I62" s="85"/>
      <c r="J62" s="86"/>
      <c r="K62" s="42"/>
      <c r="L62" s="42"/>
      <c r="M62" s="42"/>
    </row>
    <row r="63" spans="1:15" s="36" customFormat="1" ht="14.25">
      <c r="A63" s="36" t="s">
        <v>25</v>
      </c>
      <c r="H63" s="107">
        <f>((H53-H54)/H49)*12</f>
        <v>0.37964726425831985</v>
      </c>
      <c r="I63" s="106"/>
      <c r="J63" s="108"/>
      <c r="K63" s="42"/>
      <c r="L63" s="42"/>
      <c r="M63" s="106"/>
      <c r="N63" s="106"/>
      <c r="O63" s="106"/>
    </row>
    <row r="64" spans="1:13" s="36" customFormat="1" ht="14.25">
      <c r="A64" s="36" t="s">
        <v>81</v>
      </c>
      <c r="H64" s="107">
        <f>H56/H49*12*100%</f>
        <v>0.36632956013997786</v>
      </c>
      <c r="I64" s="106"/>
      <c r="J64" s="108"/>
      <c r="K64" s="42"/>
      <c r="L64" s="42"/>
      <c r="M64" s="42"/>
    </row>
    <row r="65" spans="1:13" s="36" customFormat="1" ht="14.25">
      <c r="A65" s="36" t="s">
        <v>26</v>
      </c>
      <c r="H65" s="73">
        <f>(H57-H54)/H49*12*100%</f>
        <v>0.013317704118342061</v>
      </c>
      <c r="I65" s="109"/>
      <c r="J65" s="110"/>
      <c r="K65" s="42"/>
      <c r="L65" s="42"/>
      <c r="M65" s="42"/>
    </row>
    <row r="66" s="36" customFormat="1" ht="14.25"/>
    <row r="67" spans="1:10" s="36" customFormat="1" ht="15">
      <c r="A67" s="35" t="s">
        <v>124</v>
      </c>
      <c r="H67" s="111">
        <v>89888.19</v>
      </c>
      <c r="I67" s="112"/>
      <c r="J67" s="113"/>
    </row>
    <row r="68" spans="1:10" s="36" customFormat="1" ht="15">
      <c r="A68" s="35" t="s">
        <v>125</v>
      </c>
      <c r="H68" s="100">
        <v>0</v>
      </c>
      <c r="I68" s="101"/>
      <c r="J68" s="102"/>
    </row>
    <row r="69" s="36" customFormat="1" ht="14.25"/>
    <row r="70" spans="1:13" s="36" customFormat="1" ht="15">
      <c r="A70" s="32" t="s">
        <v>126</v>
      </c>
      <c r="H70" s="42"/>
      <c r="I70" s="42"/>
      <c r="J70" s="42"/>
      <c r="K70" s="42"/>
      <c r="L70" s="42"/>
      <c r="M70" s="42"/>
    </row>
    <row r="71" spans="1:13" s="36" customFormat="1" ht="14.25">
      <c r="A71" s="36" t="s">
        <v>85</v>
      </c>
      <c r="H71" s="103">
        <v>190</v>
      </c>
      <c r="I71" s="104"/>
      <c r="J71" s="105"/>
      <c r="K71" s="42"/>
      <c r="L71" s="42"/>
      <c r="M71" s="42"/>
    </row>
    <row r="72" spans="1:13" s="36" customFormat="1" ht="14.25">
      <c r="A72" s="36" t="s">
        <v>86</v>
      </c>
      <c r="H72" s="70">
        <v>10962.06</v>
      </c>
      <c r="I72" s="71"/>
      <c r="J72" s="72"/>
      <c r="K72" s="42"/>
      <c r="L72" s="42"/>
      <c r="M72" s="42"/>
    </row>
    <row r="73" spans="1:13" s="36" customFormat="1" ht="14.25">
      <c r="A73" s="36" t="s">
        <v>27</v>
      </c>
      <c r="H73" s="70">
        <f>1175+500+400</f>
        <v>2075</v>
      </c>
      <c r="I73" s="71"/>
      <c r="J73" s="72"/>
      <c r="K73" s="42"/>
      <c r="L73" s="42"/>
      <c r="M73" s="42"/>
    </row>
    <row r="74" spans="1:13" s="36" customFormat="1" ht="14.25">
      <c r="A74" s="36" t="s">
        <v>28</v>
      </c>
      <c r="H74" s="74">
        <v>4764.35</v>
      </c>
      <c r="I74" s="98"/>
      <c r="J74" s="99"/>
      <c r="K74" s="42"/>
      <c r="L74" s="42"/>
      <c r="M74" s="42"/>
    </row>
    <row r="75" spans="8:13" s="36" customFormat="1" ht="14.25">
      <c r="H75" s="42"/>
      <c r="I75" s="42"/>
      <c r="J75" s="42"/>
      <c r="K75" s="42"/>
      <c r="L75" s="42"/>
      <c r="M75" s="42"/>
    </row>
    <row r="76" spans="1:13" s="36" customFormat="1" ht="15">
      <c r="A76" s="32" t="s">
        <v>29</v>
      </c>
      <c r="H76" s="42"/>
      <c r="I76" s="42"/>
      <c r="J76" s="42"/>
      <c r="K76" s="42"/>
      <c r="L76" s="42"/>
      <c r="M76" s="42"/>
    </row>
    <row r="77" spans="1:13" s="36" customFormat="1" ht="14.25">
      <c r="A77" s="36" t="s">
        <v>30</v>
      </c>
      <c r="H77" s="77">
        <v>45000000</v>
      </c>
      <c r="I77" s="78"/>
      <c r="J77" s="69"/>
      <c r="K77" s="42"/>
      <c r="L77" s="42"/>
      <c r="M77" s="42"/>
    </row>
    <row r="78" spans="1:13" s="36" customFormat="1" ht="14.25">
      <c r="A78" s="36" t="s">
        <v>31</v>
      </c>
      <c r="H78" s="96">
        <v>45000000</v>
      </c>
      <c r="I78" s="97"/>
      <c r="J78" s="79"/>
      <c r="K78" s="42"/>
      <c r="L78" s="42"/>
      <c r="M78" s="42"/>
    </row>
    <row r="79" spans="1:13" s="36" customFormat="1" ht="14.25">
      <c r="A79" s="36" t="s">
        <v>32</v>
      </c>
      <c r="H79" s="96">
        <v>0</v>
      </c>
      <c r="I79" s="97"/>
      <c r="J79" s="79"/>
      <c r="K79" s="42"/>
      <c r="L79" s="42"/>
      <c r="M79" s="42"/>
    </row>
    <row r="80" spans="1:13" s="36" customFormat="1" ht="14.25">
      <c r="A80" s="36" t="s">
        <v>33</v>
      </c>
      <c r="H80" s="84">
        <v>0</v>
      </c>
      <c r="I80" s="85"/>
      <c r="J80" s="86"/>
      <c r="K80" s="42"/>
      <c r="L80" s="42"/>
      <c r="M80" s="42"/>
    </row>
    <row r="81" spans="1:13" s="36" customFormat="1" ht="14.25">
      <c r="A81" s="36" t="s">
        <v>34</v>
      </c>
      <c r="H81" s="96">
        <v>0</v>
      </c>
      <c r="I81" s="97"/>
      <c r="J81" s="79"/>
      <c r="K81" s="42"/>
      <c r="L81" s="42"/>
      <c r="M81" s="42"/>
    </row>
    <row r="82" spans="1:13" s="36" customFormat="1" ht="14.25">
      <c r="A82" s="36" t="s">
        <v>35</v>
      </c>
      <c r="H82" s="70">
        <f>H74</f>
        <v>4764.35</v>
      </c>
      <c r="I82" s="71"/>
      <c r="J82" s="72"/>
      <c r="K82" s="42"/>
      <c r="L82" s="42"/>
      <c r="M82" s="42"/>
    </row>
    <row r="83" spans="1:13" s="36" customFormat="1" ht="14.25">
      <c r="A83" s="36" t="s">
        <v>36</v>
      </c>
      <c r="H83" s="73">
        <v>0.0025</v>
      </c>
      <c r="I83" s="88"/>
      <c r="J83" s="89"/>
      <c r="K83" s="42"/>
      <c r="L83" s="42"/>
      <c r="M83" s="42"/>
    </row>
    <row r="84" spans="8:13" s="36" customFormat="1" ht="14.25">
      <c r="H84" s="42"/>
      <c r="I84" s="42"/>
      <c r="J84" s="42"/>
      <c r="K84" s="42"/>
      <c r="L84" s="42"/>
      <c r="M84" s="42"/>
    </row>
    <row r="85" spans="1:13" s="36" customFormat="1" ht="15">
      <c r="A85" s="32" t="s">
        <v>37</v>
      </c>
      <c r="H85" s="42"/>
      <c r="I85" s="42"/>
      <c r="J85" s="42"/>
      <c r="K85" s="42"/>
      <c r="L85" s="42"/>
      <c r="M85" s="42"/>
    </row>
    <row r="86" spans="1:13" s="36" customFormat="1" ht="14.25">
      <c r="A86" s="36" t="s">
        <v>38</v>
      </c>
      <c r="H86" s="77">
        <v>500000</v>
      </c>
      <c r="I86" s="78"/>
      <c r="J86" s="69"/>
      <c r="K86" s="42"/>
      <c r="L86" s="42"/>
      <c r="M86" s="42"/>
    </row>
    <row r="87" spans="1:13" s="36" customFormat="1" ht="14.25">
      <c r="A87" s="36" t="s">
        <v>39</v>
      </c>
      <c r="H87" s="96">
        <v>500000</v>
      </c>
      <c r="I87" s="97"/>
      <c r="J87" s="79"/>
      <c r="K87" s="42"/>
      <c r="L87" s="42"/>
      <c r="M87" s="42"/>
    </row>
    <row r="88" spans="1:13" s="36" customFormat="1" ht="14.25">
      <c r="A88" s="36" t="s">
        <v>40</v>
      </c>
      <c r="H88" s="84">
        <v>0</v>
      </c>
      <c r="I88" s="85"/>
      <c r="J88" s="86"/>
      <c r="K88" s="42"/>
      <c r="L88" s="42"/>
      <c r="M88" s="42"/>
    </row>
    <row r="89" spans="1:13" s="36" customFormat="1" ht="14.25">
      <c r="A89" s="36" t="s">
        <v>41</v>
      </c>
      <c r="H89" s="83">
        <v>500000</v>
      </c>
      <c r="I89" s="75"/>
      <c r="J89" s="76"/>
      <c r="K89" s="42"/>
      <c r="L89" s="42"/>
      <c r="M89" s="42"/>
    </row>
    <row r="90" spans="8:13" s="36" customFormat="1" ht="14.25">
      <c r="H90" s="42"/>
      <c r="I90" s="42"/>
      <c r="J90" s="42"/>
      <c r="K90" s="42"/>
      <c r="L90" s="42"/>
      <c r="M90" s="42"/>
    </row>
    <row r="91" s="36" customFormat="1" ht="15">
      <c r="A91" s="32" t="s">
        <v>42</v>
      </c>
    </row>
    <row r="92" spans="1:10" s="36" customFormat="1" ht="14.25">
      <c r="A92" s="36" t="s">
        <v>43</v>
      </c>
      <c r="H92" s="77">
        <v>6000000</v>
      </c>
      <c r="I92" s="78"/>
      <c r="J92" s="69"/>
    </row>
    <row r="93" spans="1:10" s="36" customFormat="1" ht="14.25">
      <c r="A93" s="36" t="s">
        <v>44</v>
      </c>
      <c r="H93" s="96">
        <v>6000000</v>
      </c>
      <c r="I93" s="97"/>
      <c r="J93" s="79"/>
    </row>
    <row r="94" spans="1:10" s="36" customFormat="1" ht="14.25">
      <c r="A94" s="36" t="s">
        <v>45</v>
      </c>
      <c r="H94" s="84">
        <v>0</v>
      </c>
      <c r="I94" s="85"/>
      <c r="J94" s="86"/>
    </row>
    <row r="95" spans="1:10" s="36" customFormat="1" ht="14.25">
      <c r="A95" s="36" t="s">
        <v>46</v>
      </c>
      <c r="H95" s="84"/>
      <c r="I95" s="85"/>
      <c r="J95" s="86"/>
    </row>
    <row r="96" spans="1:10" s="36" customFormat="1" ht="14.25">
      <c r="A96" s="36" t="s">
        <v>47</v>
      </c>
      <c r="H96" s="84">
        <v>0</v>
      </c>
      <c r="I96" s="85"/>
      <c r="J96" s="86"/>
    </row>
    <row r="97" spans="1:10" s="36" customFormat="1" ht="14.25">
      <c r="A97" s="36" t="s">
        <v>48</v>
      </c>
      <c r="H97" s="84">
        <v>0</v>
      </c>
      <c r="I97" s="85"/>
      <c r="J97" s="86"/>
    </row>
    <row r="98" spans="1:10" s="36" customFormat="1" ht="14.25">
      <c r="A98" s="36" t="s">
        <v>49</v>
      </c>
      <c r="H98" s="84">
        <v>0</v>
      </c>
      <c r="I98" s="85"/>
      <c r="J98" s="86"/>
    </row>
    <row r="99" spans="1:10" s="36" customFormat="1" ht="14.25">
      <c r="A99" s="36" t="s">
        <v>50</v>
      </c>
      <c r="H99" s="83">
        <v>6000000</v>
      </c>
      <c r="I99" s="75"/>
      <c r="J99" s="76"/>
    </row>
    <row r="100" s="36" customFormat="1" ht="14.25"/>
    <row r="101" s="36" customFormat="1" ht="15">
      <c r="A101" s="32" t="s">
        <v>51</v>
      </c>
    </row>
    <row r="102" spans="1:10" s="36" customFormat="1" ht="14.25">
      <c r="A102" s="36" t="s">
        <v>52</v>
      </c>
      <c r="H102" s="90">
        <v>0</v>
      </c>
      <c r="I102" s="91"/>
      <c r="J102" s="92"/>
    </row>
    <row r="103" spans="1:10" s="36" customFormat="1" ht="14.25">
      <c r="A103" s="36" t="s">
        <v>53</v>
      </c>
      <c r="H103" s="84">
        <v>0</v>
      </c>
      <c r="I103" s="85"/>
      <c r="J103" s="86"/>
    </row>
    <row r="104" spans="1:10" s="36" customFormat="1" ht="14.25">
      <c r="A104" s="36" t="s">
        <v>54</v>
      </c>
      <c r="H104" s="84">
        <v>0</v>
      </c>
      <c r="I104" s="85"/>
      <c r="J104" s="86"/>
    </row>
    <row r="105" spans="1:10" s="36" customFormat="1" ht="14.25">
      <c r="A105" s="36" t="s">
        <v>55</v>
      </c>
      <c r="H105" s="87">
        <v>0</v>
      </c>
      <c r="I105" s="88"/>
      <c r="J105" s="89"/>
    </row>
    <row r="106" s="36" customFormat="1" ht="14.25"/>
    <row r="107" s="36" customFormat="1" ht="14.25"/>
    <row r="108" s="36" customFormat="1" ht="14.25"/>
    <row r="109" s="36" customFormat="1" ht="15">
      <c r="A109" s="46" t="s">
        <v>127</v>
      </c>
    </row>
    <row r="110" spans="1:13" s="36" customFormat="1" ht="15">
      <c r="A110" s="35" t="s">
        <v>56</v>
      </c>
      <c r="H110" s="93" t="s">
        <v>87</v>
      </c>
      <c r="I110" s="94"/>
      <c r="J110" s="95"/>
      <c r="K110" s="93" t="s">
        <v>75</v>
      </c>
      <c r="L110" s="94"/>
      <c r="M110" s="95"/>
    </row>
    <row r="111" spans="1:13" s="36" customFormat="1" ht="14.25">
      <c r="A111" s="36" t="s">
        <v>57</v>
      </c>
      <c r="H111" s="96">
        <v>127844059.28</v>
      </c>
      <c r="I111" s="97"/>
      <c r="J111" s="79"/>
      <c r="K111" s="84">
        <v>2156</v>
      </c>
      <c r="L111" s="85"/>
      <c r="M111" s="86"/>
    </row>
    <row r="112" spans="1:13" s="36" customFormat="1" ht="14.25">
      <c r="A112" s="36" t="s">
        <v>58</v>
      </c>
      <c r="H112" s="96">
        <v>1270785.42</v>
      </c>
      <c r="I112" s="97"/>
      <c r="J112" s="79"/>
      <c r="K112" s="84">
        <v>12</v>
      </c>
      <c r="L112" s="85"/>
      <c r="M112" s="86"/>
    </row>
    <row r="113" spans="1:13" s="36" customFormat="1" ht="14.25">
      <c r="A113" s="36" t="s">
        <v>59</v>
      </c>
      <c r="H113" s="96">
        <v>1207184.96</v>
      </c>
      <c r="I113" s="97"/>
      <c r="J113" s="79"/>
      <c r="K113" s="84">
        <v>8</v>
      </c>
      <c r="L113" s="85"/>
      <c r="M113" s="86"/>
    </row>
    <row r="114" spans="1:13" s="36" customFormat="1" ht="14.25">
      <c r="A114" s="36" t="s">
        <v>60</v>
      </c>
      <c r="H114" s="96">
        <v>661448.55</v>
      </c>
      <c r="I114" s="97"/>
      <c r="J114" s="79"/>
      <c r="K114" s="84">
        <v>10</v>
      </c>
      <c r="L114" s="85"/>
      <c r="M114" s="86"/>
    </row>
    <row r="115" spans="1:13" s="36" customFormat="1" ht="14.25">
      <c r="A115" s="36" t="s">
        <v>61</v>
      </c>
      <c r="H115" s="96">
        <v>12092.82</v>
      </c>
      <c r="I115" s="97"/>
      <c r="J115" s="79"/>
      <c r="K115" s="84">
        <v>2</v>
      </c>
      <c r="L115" s="85"/>
      <c r="M115" s="86"/>
    </row>
    <row r="116" spans="1:13" s="36" customFormat="1" ht="14.25">
      <c r="A116" s="36" t="s">
        <v>62</v>
      </c>
      <c r="H116" s="96">
        <v>1057.15</v>
      </c>
      <c r="I116" s="97"/>
      <c r="J116" s="79"/>
      <c r="K116" s="84">
        <v>1</v>
      </c>
      <c r="L116" s="85"/>
      <c r="M116" s="86"/>
    </row>
    <row r="117" spans="1:13" s="36" customFormat="1" ht="14.25">
      <c r="A117" s="36" t="s">
        <v>108</v>
      </c>
      <c r="H117" s="96">
        <v>0</v>
      </c>
      <c r="I117" s="97"/>
      <c r="J117" s="79"/>
      <c r="K117" s="84">
        <v>0</v>
      </c>
      <c r="L117" s="85"/>
      <c r="M117" s="86"/>
    </row>
    <row r="118" spans="1:13" s="36" customFormat="1" ht="14.25">
      <c r="A118" s="36" t="s">
        <v>109</v>
      </c>
      <c r="H118" s="96">
        <v>-240.88</v>
      </c>
      <c r="I118" s="97"/>
      <c r="J118" s="79"/>
      <c r="K118" s="84">
        <v>3</v>
      </c>
      <c r="L118" s="85"/>
      <c r="M118" s="86"/>
    </row>
    <row r="119" spans="8:13" s="36" customFormat="1" ht="14.25">
      <c r="H119" s="47"/>
      <c r="I119" s="48">
        <f>SUM(H111:J118)</f>
        <v>130996387.3</v>
      </c>
      <c r="J119" s="48"/>
      <c r="K119" s="49"/>
      <c r="L119" s="48">
        <f>SUM(K111:M118)</f>
        <v>2192</v>
      </c>
      <c r="M119" s="50"/>
    </row>
    <row r="120" spans="8:13" s="36" customFormat="1" ht="14.25">
      <c r="H120" s="41"/>
      <c r="I120" s="41"/>
      <c r="J120" s="41"/>
      <c r="K120" s="39"/>
      <c r="L120" s="39"/>
      <c r="M120" s="39"/>
    </row>
    <row r="121" spans="1:16" s="36" customFormat="1" ht="15">
      <c r="A121" s="32" t="s">
        <v>117</v>
      </c>
      <c r="H121" s="80" t="s">
        <v>113</v>
      </c>
      <c r="I121" s="81"/>
      <c r="J121" s="82"/>
      <c r="K121" s="80" t="s">
        <v>114</v>
      </c>
      <c r="L121" s="81"/>
      <c r="M121" s="82"/>
      <c r="N121" s="93" t="s">
        <v>115</v>
      </c>
      <c r="O121" s="94"/>
      <c r="P121" s="95"/>
    </row>
    <row r="122" spans="1:16" s="36" customFormat="1" ht="14.25">
      <c r="A122" s="36" t="s">
        <v>111</v>
      </c>
      <c r="H122" s="40"/>
      <c r="I122" s="28">
        <v>0.6337</v>
      </c>
      <c r="J122" s="29"/>
      <c r="K122" s="28"/>
      <c r="L122" s="28">
        <v>0.6437</v>
      </c>
      <c r="M122" s="29"/>
      <c r="N122" s="51"/>
      <c r="O122" s="51">
        <v>0.6133</v>
      </c>
      <c r="P122" s="52"/>
    </row>
    <row r="123" spans="1:16" s="36" customFormat="1" ht="14.25">
      <c r="A123" s="36" t="s">
        <v>112</v>
      </c>
      <c r="H123" s="45"/>
      <c r="I123" s="30">
        <v>0.5988</v>
      </c>
      <c r="J123" s="31"/>
      <c r="K123" s="30"/>
      <c r="L123" s="30">
        <v>0.6088</v>
      </c>
      <c r="M123" s="31"/>
      <c r="N123" s="53"/>
      <c r="O123" s="53">
        <v>0.5834</v>
      </c>
      <c r="P123" s="54"/>
    </row>
    <row r="124" spans="8:13" s="36" customFormat="1" ht="14.25">
      <c r="H124" s="41"/>
      <c r="I124" s="41"/>
      <c r="J124" s="41"/>
      <c r="K124" s="39"/>
      <c r="L124" s="39"/>
      <c r="M124" s="39"/>
    </row>
    <row r="125" s="36" customFormat="1" ht="15">
      <c r="A125" s="32" t="s">
        <v>63</v>
      </c>
    </row>
    <row r="126" spans="1:10" s="36" customFormat="1" ht="14.25">
      <c r="A126" s="36" t="s">
        <v>64</v>
      </c>
      <c r="H126" s="90">
        <v>0</v>
      </c>
      <c r="I126" s="91"/>
      <c r="J126" s="92"/>
    </row>
    <row r="127" spans="1:10" s="36" customFormat="1" ht="14.25">
      <c r="A127" s="36" t="s">
        <v>65</v>
      </c>
      <c r="H127" s="84">
        <v>0</v>
      </c>
      <c r="I127" s="85"/>
      <c r="J127" s="86"/>
    </row>
    <row r="128" spans="8:10" s="36" customFormat="1" ht="14.25">
      <c r="H128" s="84"/>
      <c r="I128" s="85"/>
      <c r="J128" s="86"/>
    </row>
    <row r="129" spans="1:10" s="36" customFormat="1" ht="14.25">
      <c r="A129" s="36" t="s">
        <v>66</v>
      </c>
      <c r="H129" s="84">
        <v>0</v>
      </c>
      <c r="I129" s="85"/>
      <c r="J129" s="86"/>
    </row>
    <row r="130" spans="1:10" s="36" customFormat="1" ht="14.25">
      <c r="A130" s="36" t="s">
        <v>67</v>
      </c>
      <c r="H130" s="84">
        <v>0</v>
      </c>
      <c r="I130" s="85"/>
      <c r="J130" s="86"/>
    </row>
    <row r="131" spans="1:13" s="36" customFormat="1" ht="14.25">
      <c r="A131" s="36" t="s">
        <v>68</v>
      </c>
      <c r="H131" s="87">
        <v>0</v>
      </c>
      <c r="I131" s="88"/>
      <c r="J131" s="89"/>
      <c r="K131" s="42"/>
      <c r="L131" s="42"/>
      <c r="M131" s="42"/>
    </row>
    <row r="132" spans="11:13" s="36" customFormat="1" ht="14.25">
      <c r="K132" s="42"/>
      <c r="L132" s="42"/>
      <c r="M132" s="42"/>
    </row>
    <row r="133" s="36" customFormat="1" ht="15">
      <c r="A133" s="32" t="s">
        <v>69</v>
      </c>
    </row>
    <row r="134" spans="1:10" s="36" customFormat="1" ht="14.25">
      <c r="A134" s="36" t="s">
        <v>102</v>
      </c>
      <c r="H134" s="90">
        <v>0</v>
      </c>
      <c r="I134" s="91"/>
      <c r="J134" s="92"/>
    </row>
    <row r="135" spans="1:10" s="36" customFormat="1" ht="14.25">
      <c r="A135" s="36" t="s">
        <v>103</v>
      </c>
      <c r="H135" s="84">
        <v>0</v>
      </c>
      <c r="I135" s="85"/>
      <c r="J135" s="86"/>
    </row>
    <row r="136" spans="1:10" s="36" customFormat="1" ht="14.25">
      <c r="A136" s="36" t="s">
        <v>104</v>
      </c>
      <c r="H136" s="84">
        <v>0</v>
      </c>
      <c r="I136" s="85"/>
      <c r="J136" s="86"/>
    </row>
    <row r="137" spans="1:10" s="36" customFormat="1" ht="14.25">
      <c r="A137" s="36" t="s">
        <v>105</v>
      </c>
      <c r="H137" s="84">
        <v>0</v>
      </c>
      <c r="I137" s="85"/>
      <c r="J137" s="86"/>
    </row>
    <row r="138" spans="1:10" s="36" customFormat="1" ht="14.25">
      <c r="A138" s="36" t="s">
        <v>106</v>
      </c>
      <c r="H138" s="84">
        <v>0</v>
      </c>
      <c r="I138" s="85"/>
      <c r="J138" s="86"/>
    </row>
    <row r="139" spans="1:10" s="36" customFormat="1" ht="14.25">
      <c r="A139" s="36" t="s">
        <v>70</v>
      </c>
      <c r="H139" s="84">
        <v>0</v>
      </c>
      <c r="I139" s="85"/>
      <c r="J139" s="86"/>
    </row>
    <row r="140" spans="1:10" s="36" customFormat="1" ht="14.25">
      <c r="A140" s="36" t="s">
        <v>71</v>
      </c>
      <c r="H140" s="84">
        <v>0</v>
      </c>
      <c r="I140" s="85"/>
      <c r="J140" s="86"/>
    </row>
    <row r="141" spans="1:10" s="36" customFormat="1" ht="14.25">
      <c r="A141" s="36" t="s">
        <v>72</v>
      </c>
      <c r="H141" s="87">
        <v>0</v>
      </c>
      <c r="I141" s="88"/>
      <c r="J141" s="89"/>
    </row>
    <row r="142" s="36" customFormat="1" ht="14.25"/>
  </sheetData>
  <mergeCells count="132"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AO32:AQ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39:J39"/>
    <mergeCell ref="K39:M39"/>
    <mergeCell ref="H40:J40"/>
    <mergeCell ref="K40:M40"/>
    <mergeCell ref="H41:J41"/>
    <mergeCell ref="K41:M41"/>
    <mergeCell ref="H42:J42"/>
    <mergeCell ref="K42:M42"/>
    <mergeCell ref="H43:J43"/>
    <mergeCell ref="K43:M43"/>
    <mergeCell ref="H44:J44"/>
    <mergeCell ref="K44:M44"/>
    <mergeCell ref="H45:J45"/>
    <mergeCell ref="K45:M45"/>
    <mergeCell ref="H49:J49"/>
    <mergeCell ref="H50:J50"/>
    <mergeCell ref="H51:J51"/>
    <mergeCell ref="H52:J52"/>
    <mergeCell ref="H53:J53"/>
    <mergeCell ref="H54:J54"/>
    <mergeCell ref="H55:J55"/>
    <mergeCell ref="H56:J56"/>
    <mergeCell ref="K56:M56"/>
    <mergeCell ref="H57:J57"/>
    <mergeCell ref="H58:J58"/>
    <mergeCell ref="H59:J59"/>
    <mergeCell ref="H60:J60"/>
    <mergeCell ref="H61:J61"/>
    <mergeCell ref="H62:J62"/>
    <mergeCell ref="H63:J63"/>
    <mergeCell ref="M63:O63"/>
    <mergeCell ref="H64:J64"/>
    <mergeCell ref="H65:J65"/>
    <mergeCell ref="H67:J67"/>
    <mergeCell ref="H68:J68"/>
    <mergeCell ref="H71:J71"/>
    <mergeCell ref="H72:J72"/>
    <mergeCell ref="H73:J73"/>
    <mergeCell ref="H74:J74"/>
    <mergeCell ref="H77:J77"/>
    <mergeCell ref="H78:J78"/>
    <mergeCell ref="H79:J79"/>
    <mergeCell ref="H80:J80"/>
    <mergeCell ref="H81:J81"/>
    <mergeCell ref="H82:J82"/>
    <mergeCell ref="H83:J83"/>
    <mergeCell ref="H86:J86"/>
    <mergeCell ref="H87:J87"/>
    <mergeCell ref="H88:J88"/>
    <mergeCell ref="H89:J89"/>
    <mergeCell ref="H92:J92"/>
    <mergeCell ref="H93:J93"/>
    <mergeCell ref="H94:J94"/>
    <mergeCell ref="H95:J95"/>
    <mergeCell ref="H96:J96"/>
    <mergeCell ref="H97:J97"/>
    <mergeCell ref="H98:J98"/>
    <mergeCell ref="H99:J99"/>
    <mergeCell ref="H102:J102"/>
    <mergeCell ref="H103:J103"/>
    <mergeCell ref="H104:J104"/>
    <mergeCell ref="H105:J105"/>
    <mergeCell ref="H110:J110"/>
    <mergeCell ref="K110:M110"/>
    <mergeCell ref="H111:J111"/>
    <mergeCell ref="K111:M111"/>
    <mergeCell ref="H112:J112"/>
    <mergeCell ref="K112:M112"/>
    <mergeCell ref="H113:J113"/>
    <mergeCell ref="K113:M113"/>
    <mergeCell ref="H114:J114"/>
    <mergeCell ref="K114:M114"/>
    <mergeCell ref="H115:J115"/>
    <mergeCell ref="K115:M115"/>
    <mergeCell ref="H116:J116"/>
    <mergeCell ref="K116:M116"/>
    <mergeCell ref="H117:J117"/>
    <mergeCell ref="K117:M117"/>
    <mergeCell ref="H118:J118"/>
    <mergeCell ref="K118:M118"/>
    <mergeCell ref="H121:J121"/>
    <mergeCell ref="K121:M121"/>
    <mergeCell ref="N121:P121"/>
    <mergeCell ref="H126:J126"/>
    <mergeCell ref="H127:J127"/>
    <mergeCell ref="H128:J128"/>
    <mergeCell ref="H129:J129"/>
    <mergeCell ref="H130:J130"/>
    <mergeCell ref="H131:J131"/>
    <mergeCell ref="H134:J134"/>
    <mergeCell ref="H139:J139"/>
    <mergeCell ref="H140:J140"/>
    <mergeCell ref="H141:J141"/>
    <mergeCell ref="H135:J135"/>
    <mergeCell ref="H136:J136"/>
    <mergeCell ref="H137:J137"/>
    <mergeCell ref="H138:J138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38503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0.04855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69895397.2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2510413.200000003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67384984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0.2441485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0.4310006038566447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0.3561624352392812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103.65</v>
      </c>
      <c r="I33" s="198"/>
      <c r="J33" s="199"/>
      <c r="K33" s="197">
        <v>468.9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38503</v>
      </c>
      <c r="I38" s="156"/>
      <c r="J38" s="157"/>
      <c r="K38" s="151">
        <f>H38</f>
        <v>38503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163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93895376.77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91384972.76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507823.94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3728204.83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1217779.94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2371168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1357036.83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2510413.200000003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0.32083686882467577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0.3030395848956345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0.01779728392904133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164</v>
      </c>
      <c r="B60" s="2"/>
      <c r="C60" s="2"/>
      <c r="D60" s="2"/>
      <c r="E60" s="58"/>
      <c r="F60" s="2"/>
      <c r="G60" s="2"/>
      <c r="H60" s="202">
        <f>507823.94-307150.05-116595.45</f>
        <v>84078.44000000002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165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166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7656.17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587.5+850+750</f>
        <v>2187.5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4777.4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4777.4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167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87974662.5</v>
      </c>
      <c r="I104" s="192"/>
      <c r="J104" s="193"/>
      <c r="K104" s="211">
        <v>1622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1648580.54</v>
      </c>
      <c r="I105" s="192"/>
      <c r="J105" s="193"/>
      <c r="K105" s="211">
        <v>17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865585.42</v>
      </c>
      <c r="I106" s="192"/>
      <c r="J106" s="193"/>
      <c r="K106" s="211">
        <v>7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636120.13</v>
      </c>
      <c r="I107" s="192"/>
      <c r="J107" s="193"/>
      <c r="K107" s="211">
        <v>10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38845.34+5909.76</f>
        <v>44755.1</v>
      </c>
      <c r="I108" s="192"/>
      <c r="J108" s="193"/>
      <c r="K108" s="211">
        <f>2+1</f>
        <v>3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6819.23</v>
      </c>
      <c r="I109" s="192"/>
      <c r="J109" s="193"/>
      <c r="K109" s="211">
        <v>5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208449.84</v>
      </c>
      <c r="I111" s="192"/>
      <c r="J111" s="193"/>
      <c r="K111" s="211">
        <v>4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91384972.76</v>
      </c>
      <c r="J112" s="18"/>
      <c r="K112" s="19"/>
      <c r="L112" s="18">
        <f>SUM(K104:M111)</f>
        <v>1668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0.583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0.5477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38533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67384984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5510616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61874368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0.2241825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0.9813372071142734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0.3878827497680461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91.37</v>
      </c>
      <c r="I33" s="198"/>
      <c r="J33" s="199"/>
      <c r="K33" s="197">
        <v>450.49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38533</v>
      </c>
      <c r="I38" s="156"/>
      <c r="J38" s="157"/>
      <c r="K38" s="151">
        <f>H38</f>
        <v>38533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168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91384972.76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85874356.42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482704.62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6417648.59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907021.04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4433580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1984068.59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5510616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0.7236149292692529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0.5821849959918947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0.14142993327735826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169</v>
      </c>
      <c r="B60" s="2"/>
      <c r="C60" s="2"/>
      <c r="D60" s="2"/>
      <c r="E60" s="58"/>
      <c r="F60" s="2"/>
      <c r="G60" s="2"/>
      <c r="H60" s="202">
        <f>482704.62-285234.1-112512.99</f>
        <v>84957.53000000001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170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171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7230.74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587.5+850+750</f>
        <v>2187.5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4623.29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4623.29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172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83233040.39</v>
      </c>
      <c r="I104" s="192"/>
      <c r="J104" s="193"/>
      <c r="K104" s="211">
        <v>1575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572864.89</v>
      </c>
      <c r="I105" s="192"/>
      <c r="J105" s="193"/>
      <c r="K105" s="211">
        <v>14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1122130.11</v>
      </c>
      <c r="I106" s="192"/>
      <c r="J106" s="193"/>
      <c r="K106" s="211">
        <v>7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521125.26</v>
      </c>
      <c r="I107" s="192"/>
      <c r="J107" s="193"/>
      <c r="K107" s="211">
        <v>7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74648.68+5909.76</f>
        <v>80558.43999999999</v>
      </c>
      <c r="I108" s="192"/>
      <c r="J108" s="193"/>
      <c r="K108" s="211"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3981.63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340655.7</v>
      </c>
      <c r="I111" s="192"/>
      <c r="J111" s="193"/>
      <c r="K111" s="211">
        <v>6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85874356.42</v>
      </c>
      <c r="J112" s="18"/>
      <c r="K112" s="19"/>
      <c r="L112" s="18">
        <f>SUM(K104:M111)</f>
        <v>1613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0.5805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0.5446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38562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0.0464625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61874368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3370622.3999999985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58503745.6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0.2119701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0.6537031424708852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0.41023014430720484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94.98</v>
      </c>
      <c r="I33" s="198"/>
      <c r="J33" s="199"/>
      <c r="K33" s="197">
        <v>496.92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38562</v>
      </c>
      <c r="I38" s="156"/>
      <c r="J38" s="157"/>
      <c r="K38" s="151">
        <f>H38</f>
        <v>38562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173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85874356.42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82503718.59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462359.72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4146644.81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775995.15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3245926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900718.81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3370622.3999999985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0.47101134268972267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0.4535825783601255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0.01742876432959706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174</v>
      </c>
      <c r="B60" s="2"/>
      <c r="C60" s="2"/>
      <c r="D60" s="2"/>
      <c r="E60" s="58"/>
      <c r="F60" s="2"/>
      <c r="G60" s="2"/>
      <c r="H60" s="202">
        <f>462359.72-267316.65-115231.3</f>
        <v>79811.76999999995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175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176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6908.53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587.5+850+750</f>
        <v>2187.5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4777.4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4777.4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177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79629981.85</v>
      </c>
      <c r="I104" s="192"/>
      <c r="J104" s="193"/>
      <c r="K104" s="211">
        <v>1534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1101890.34</v>
      </c>
      <c r="I105" s="192"/>
      <c r="J105" s="193"/>
      <c r="K105" s="211">
        <v>13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576286.56</v>
      </c>
      <c r="I106" s="192"/>
      <c r="J106" s="193"/>
      <c r="K106" s="211">
        <v>7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621114.58</v>
      </c>
      <c r="I107" s="192"/>
      <c r="J107" s="193"/>
      <c r="K107" s="211">
        <v>3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5909.76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507.15</v>
      </c>
      <c r="I109" s="192"/>
      <c r="J109" s="193"/>
      <c r="K109" s="211">
        <v>1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568028.35</v>
      </c>
      <c r="I111" s="192"/>
      <c r="J111" s="193"/>
      <c r="K111" s="211">
        <v>9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82503718.59</v>
      </c>
      <c r="J112" s="18"/>
      <c r="K112" s="19"/>
      <c r="L112" s="18">
        <f>SUM(K104:M111)</f>
        <v>1568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0.5794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0.5428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38595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0.0459063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58503746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3681178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54822568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0.1986325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0.7550650859177461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0.43777591739226807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80.01</v>
      </c>
      <c r="I33" s="198"/>
      <c r="J33" s="199"/>
      <c r="K33" s="197">
        <v>447.18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38595</v>
      </c>
      <c r="I38" s="156"/>
      <c r="J38" s="157"/>
      <c r="K38" s="151">
        <f>H38</f>
        <v>38595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178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82503718.59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78822549.52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443364.38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4941281.38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1260085.17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3820405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1120876.38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3681178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0.5354225879141673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0.5556702265485122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-0.020247638634344863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179</v>
      </c>
      <c r="B60" s="2"/>
      <c r="C60" s="2"/>
      <c r="D60" s="2"/>
      <c r="E60" s="58"/>
      <c r="F60" s="2"/>
      <c r="G60" s="2"/>
      <c r="H60" s="202">
        <f>443364.38-245674.37-111996.35</f>
        <v>85693.66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180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181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6596.04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587.5+850+750</f>
        <v>2187.5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5085.62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5085.62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182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76116732.74</v>
      </c>
      <c r="I104" s="192"/>
      <c r="J104" s="193"/>
      <c r="K104" s="211">
        <v>1475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919926.95</v>
      </c>
      <c r="I105" s="192"/>
      <c r="J105" s="193"/>
      <c r="K105" s="211">
        <v>12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898976.66</v>
      </c>
      <c r="I106" s="192"/>
      <c r="J106" s="193"/>
      <c r="K106" s="211">
        <v>7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313397.84</v>
      </c>
      <c r="I107" s="192"/>
      <c r="J107" s="193"/>
      <c r="K107" s="211">
        <v>3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5909.76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457.15</v>
      </c>
      <c r="I109" s="192"/>
      <c r="J109" s="193"/>
      <c r="K109" s="211">
        <v>1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567148.42</v>
      </c>
      <c r="I111" s="192"/>
      <c r="J111" s="193"/>
      <c r="K111" s="211">
        <v>9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78822549.52000001</v>
      </c>
      <c r="J112" s="18"/>
      <c r="K112" s="19"/>
      <c r="L112" s="18">
        <f>SUM(K104:M111)</f>
        <v>1508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0.5758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0.5368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38625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0.0460125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54822568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3177615.6000000015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51644952.4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0.1871194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0.6955417922049916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0.46471143615576266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78.05</v>
      </c>
      <c r="I33" s="198"/>
      <c r="J33" s="199"/>
      <c r="K33" s="197">
        <v>462.98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38625</v>
      </c>
      <c r="I38" s="156"/>
      <c r="J38" s="157"/>
      <c r="K38" s="151">
        <f>H38</f>
        <v>38625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183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78822549.52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75644946.8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409948.14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4000544.7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822923.84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2776388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1224156.7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3177615.6000000015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0.48376321943665046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0.42267924855115757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0.06108397088549287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184</v>
      </c>
      <c r="B60" s="2"/>
      <c r="C60" s="2"/>
      <c r="D60" s="2"/>
      <c r="E60" s="58"/>
      <c r="F60" s="2"/>
      <c r="G60" s="2"/>
      <c r="H60" s="202">
        <f>409948.14-220415.65-107330.12</f>
        <v>82202.37000000002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185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186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6324.45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587.5+1000.12+750</f>
        <v>2337.62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4623.29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4623.29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187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73413375.74</v>
      </c>
      <c r="I104" s="192"/>
      <c r="J104" s="193"/>
      <c r="K104" s="211">
        <v>1437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415429.42</v>
      </c>
      <c r="I105" s="192"/>
      <c r="J105" s="193"/>
      <c r="K105" s="211">
        <v>7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1045611.31</v>
      </c>
      <c r="I106" s="192"/>
      <c r="J106" s="193"/>
      <c r="K106" s="211">
        <v>9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97392.17</v>
      </c>
      <c r="I107" s="192"/>
      <c r="J107" s="193"/>
      <c r="K107" s="211">
        <v>3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46639.29+5909.76</f>
        <v>52549.05</v>
      </c>
      <c r="I108" s="192"/>
      <c r="J108" s="193"/>
      <c r="K108" s="211"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407.15</v>
      </c>
      <c r="I109" s="192"/>
      <c r="J109" s="193"/>
      <c r="K109" s="211">
        <v>1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620181.96</v>
      </c>
      <c r="I111" s="192"/>
      <c r="J111" s="193"/>
      <c r="K111" s="211">
        <v>8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75644946.8</v>
      </c>
      <c r="J112" s="18"/>
      <c r="K112" s="19"/>
      <c r="L112" s="18">
        <f>SUM(K104:M111)</f>
        <v>1467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0.5739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0.5333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44" r:id="rId1"/>
  <rowBreaks count="1" manualBreakCount="1">
    <brk id="9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38656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0.0458813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51644952.4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2814261.6000000015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48830690.8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0.1769228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0.6539097749270075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0.49149417316864996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71.23</v>
      </c>
      <c r="I33" s="198"/>
      <c r="J33" s="199"/>
      <c r="K33" s="197">
        <v>446.97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38656</v>
      </c>
      <c r="I38" s="156"/>
      <c r="J38" s="157"/>
      <c r="K38" s="151">
        <f>H38</f>
        <v>38656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188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75644946.8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72830666.23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393224.13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3502450.2800000003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687968.68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212">
        <v>2343434</v>
      </c>
      <c r="I49" s="213"/>
      <c r="J49" s="214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1159016.28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195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2814261.6000000015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0.4464776647843449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0.37175263106933665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0.07472503371500817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189</v>
      </c>
      <c r="B60" s="2"/>
      <c r="C60" s="2"/>
      <c r="D60" s="2"/>
      <c r="E60" s="58"/>
      <c r="F60" s="2"/>
      <c r="G60" s="2"/>
      <c r="H60" s="202">
        <f>393224.13-215022.19-111106.6</f>
        <v>67095.34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190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191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6083.21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4654.11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4654.11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192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70184210.55</v>
      </c>
      <c r="I104" s="192"/>
      <c r="J104" s="193"/>
      <c r="K104" s="211">
        <v>1383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1316157.47</v>
      </c>
      <c r="I105" s="192"/>
      <c r="J105" s="193"/>
      <c r="K105" s="211">
        <v>17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296038.2</v>
      </c>
      <c r="I106" s="192"/>
      <c r="J106" s="193"/>
      <c r="K106" s="211">
        <v>5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358966.66</v>
      </c>
      <c r="I107" s="192"/>
      <c r="J107" s="193"/>
      <c r="K107" s="211">
        <v>4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46658.93+5909.76</f>
        <v>52568.69</v>
      </c>
      <c r="I108" s="192"/>
      <c r="J108" s="193"/>
      <c r="K108" s="211"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f>357.15+4238.32</f>
        <v>4595.469999999999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618129.19</v>
      </c>
      <c r="I111" s="192"/>
      <c r="J111" s="193"/>
      <c r="K111" s="211">
        <v>7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72830666.22999999</v>
      </c>
      <c r="J112" s="18"/>
      <c r="K112" s="19"/>
      <c r="L112" s="18">
        <f>SUM(K104:M111)</f>
        <v>1420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5">
        <v>0.5716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6">
        <v>0.5307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9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38686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0.04595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48830690.8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4068350.3999999985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44762340.4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0.1621824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0.9997852580041727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0.5361649946257055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65.38</v>
      </c>
      <c r="I33" s="198"/>
      <c r="J33" s="199"/>
      <c r="K33" s="197">
        <v>447.53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38686</v>
      </c>
      <c r="I38" s="156"/>
      <c r="J38" s="157"/>
      <c r="K38" s="151">
        <f>H38</f>
        <v>38686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193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72830666.23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68762314.05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372693.05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4704034.5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635658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3590967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1113067.5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4068350.3999999985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0.6703291419279935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0.591668403305776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0.07866073862221759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194</v>
      </c>
      <c r="B60" s="2"/>
      <c r="C60" s="2"/>
      <c r="D60" s="2"/>
      <c r="E60" s="58"/>
      <c r="F60" s="2"/>
      <c r="G60" s="2"/>
      <c r="H60" s="202">
        <f>372693.05-196056.6-107277.28</f>
        <v>69359.16999999998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195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196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5759.15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924.66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924.66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197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66520385.25</v>
      </c>
      <c r="I104" s="192"/>
      <c r="J104" s="193"/>
      <c r="K104" s="211">
        <v>1332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1040677.83</v>
      </c>
      <c r="I105" s="192"/>
      <c r="J105" s="193"/>
      <c r="K105" s="211">
        <v>14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28676.17</v>
      </c>
      <c r="I106" s="192"/>
      <c r="J106" s="193"/>
      <c r="K106" s="211">
        <v>3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496700.41</v>
      </c>
      <c r="I107" s="192"/>
      <c r="J107" s="193"/>
      <c r="K107" s="211">
        <v>5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166579.32+45733.67</f>
        <v>212312.99</v>
      </c>
      <c r="I108" s="192"/>
      <c r="J108" s="193"/>
      <c r="K108" s="211">
        <v>3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f>307.15+4327.83</f>
        <v>4634.98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458926.42</v>
      </c>
      <c r="I111" s="192"/>
      <c r="J111" s="193"/>
      <c r="K111" s="211">
        <v>6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68762314.05</v>
      </c>
      <c r="J112" s="18"/>
      <c r="K112" s="19"/>
      <c r="L112" s="18">
        <f>SUM(K104:M111)</f>
        <v>1365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0.5696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0.5279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38716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0.046625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44762340.4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2448396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42313944.4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0.1533114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0.6563721140907994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0.5671889099518692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66.84</v>
      </c>
      <c r="I33" s="198"/>
      <c r="J33" s="199"/>
      <c r="K33" s="197">
        <v>483.29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38716</v>
      </c>
      <c r="I38" s="156"/>
      <c r="J38" s="157"/>
      <c r="K38" s="151">
        <f>H38</f>
        <v>38716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198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68762314.05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66313931.79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358241.61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3100442.57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652033.59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2270493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829949.57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2448396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0.42728212634955676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0.3962332620189067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0.031048864330650024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199</v>
      </c>
      <c r="B60" s="2"/>
      <c r="C60" s="2"/>
      <c r="D60" s="2"/>
      <c r="E60" s="58"/>
      <c r="F60" s="2"/>
      <c r="G60" s="2"/>
      <c r="H60" s="202">
        <f>358241.61-185963.74-111076.31</f>
        <v>61201.56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200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201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285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5544.73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955.48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955.48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202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64238433.57</v>
      </c>
      <c r="I104" s="192"/>
      <c r="J104" s="193"/>
      <c r="K104" s="211">
        <v>1314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850882.23</v>
      </c>
      <c r="I105" s="192"/>
      <c r="J105" s="193"/>
      <c r="K105" s="211">
        <v>11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597471.24</v>
      </c>
      <c r="I106" s="192"/>
      <c r="J106" s="193"/>
      <c r="K106" s="211">
        <v>9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2240.5</v>
      </c>
      <c r="I107" s="192"/>
      <c r="J107" s="193"/>
      <c r="K107" s="211">
        <v>1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165876.28+45794.73</f>
        <v>211671.01</v>
      </c>
      <c r="I108" s="192"/>
      <c r="J108" s="193"/>
      <c r="K108" s="211">
        <v>4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4477.86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408755.38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66313931.79</v>
      </c>
      <c r="J112" s="18"/>
      <c r="K112" s="19"/>
      <c r="L112" s="18">
        <f>SUM(K104:M111)</f>
        <v>1346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0.5646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0.5224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38748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0.0459375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42313944.4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2491507.1999999955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39822437.2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0.1442842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0.7065776264526156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0.6026753179235348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54.28</v>
      </c>
      <c r="I33" s="198"/>
      <c r="J33" s="199"/>
      <c r="K33" s="197">
        <v>417.6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38748</v>
      </c>
      <c r="I38" s="156"/>
      <c r="J38" s="157"/>
      <c r="K38" s="151">
        <f>H38</f>
        <v>38748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203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66313931.79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63822415.03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345914.11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3313634.87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822105.83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2333642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979992.87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2491507.1999999955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0.45086074182240854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0.4222899056668949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0.028570836155513687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204</v>
      </c>
      <c r="B60" s="2"/>
      <c r="C60" s="2"/>
      <c r="D60" s="2"/>
      <c r="E60" s="58"/>
      <c r="F60" s="2"/>
      <c r="G60" s="2"/>
      <c r="H60" s="202">
        <f>345914.11-178298.96-112319.68</f>
        <v>55295.47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205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206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285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5363.36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986.3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986.3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207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61183479.15</v>
      </c>
      <c r="I104" s="192"/>
      <c r="J104" s="193"/>
      <c r="K104" s="211">
        <v>1276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1310468.37</v>
      </c>
      <c r="I105" s="192"/>
      <c r="J105" s="193"/>
      <c r="K105" s="211">
        <v>14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533096.61</v>
      </c>
      <c r="I106" s="192"/>
      <c r="J106" s="193"/>
      <c r="K106" s="211">
        <v>7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282363.93</v>
      </c>
      <c r="I107" s="192"/>
      <c r="J107" s="193"/>
      <c r="K107" s="211">
        <v>4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165899.58+45574.61</f>
        <v>211474.19</v>
      </c>
      <c r="I108" s="192"/>
      <c r="J108" s="193"/>
      <c r="K108" s="211">
        <v>4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f>31704.48+4641.01</f>
        <v>36345.49</v>
      </c>
      <c r="I109" s="192"/>
      <c r="J109" s="193"/>
      <c r="K109" s="211">
        <v>3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265187.29</v>
      </c>
      <c r="I111" s="192"/>
      <c r="J111" s="193"/>
      <c r="K111" s="211">
        <v>3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63822415.029999994</v>
      </c>
      <c r="J112" s="18"/>
      <c r="K112" s="19"/>
      <c r="L112" s="18">
        <f>SUM(K104:M111)</f>
        <v>1311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0.5651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0.5243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38776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0.0457125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39822437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1548884.200000003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38273552.8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0.1386723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0.4667371411749621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0.6270648592622946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57.49</v>
      </c>
      <c r="I33" s="198"/>
      <c r="J33" s="199"/>
      <c r="K33" s="197">
        <v>460.43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38776</v>
      </c>
      <c r="I38" s="156"/>
      <c r="J38" s="157"/>
      <c r="K38" s="151">
        <f>H38</f>
        <v>38776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208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63822415.03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62273540.19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338034.78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2535339.42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986442.21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1801516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733823.42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1548884.200000003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0.2912263114967243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0.3387241299132644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-0.04749781841654009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209</v>
      </c>
      <c r="B60" s="2"/>
      <c r="C60" s="2"/>
      <c r="D60" s="2"/>
      <c r="E60" s="58"/>
      <c r="F60" s="2"/>
      <c r="G60" s="2"/>
      <c r="H60" s="202">
        <f>338034.78-149580.8-100209.19</f>
        <v>88244.79000000004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210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211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285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5219.2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863.01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863.01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212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59994320.5</v>
      </c>
      <c r="I104" s="192"/>
      <c r="J104" s="193"/>
      <c r="K104" s="211">
        <v>1240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931318.67</v>
      </c>
      <c r="I105" s="192"/>
      <c r="J105" s="193"/>
      <c r="K105" s="211">
        <v>11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694608.92</v>
      </c>
      <c r="I106" s="192"/>
      <c r="J106" s="193"/>
      <c r="K106" s="211">
        <v>5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32073.55</v>
      </c>
      <c r="I107" s="192"/>
      <c r="J107" s="193"/>
      <c r="K107" s="211">
        <v>2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166833.17+45534.25</f>
        <v>212367.42</v>
      </c>
      <c r="I108" s="192"/>
      <c r="J108" s="193"/>
      <c r="K108" s="211">
        <f>1+2</f>
        <v>3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4702.08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404149.05</v>
      </c>
      <c r="I111" s="192"/>
      <c r="J111" s="193"/>
      <c r="K111" s="211">
        <v>4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62273540.19</v>
      </c>
      <c r="J112" s="18"/>
      <c r="K112" s="19"/>
      <c r="L112" s="18">
        <f>SUM(K104:M111)</f>
        <v>1267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0.5646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0.5239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Q141"/>
  <sheetViews>
    <sheetView zoomScale="75" zoomScaleNormal="75" zoomScaleSheetLayoutView="80" workbookViewId="0" topLeftCell="A1">
      <pane xSplit="6" ySplit="22" topLeftCell="G23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140625" defaultRowHeight="12.75"/>
  <cols>
    <col min="1" max="4" width="9.140625" style="4" customWidth="1"/>
    <col min="5" max="5" width="22.140625" style="4" customWidth="1"/>
    <col min="6" max="6" width="9.140625" style="4" customWidth="1"/>
    <col min="7" max="7" width="3.57421875" style="4" customWidth="1"/>
    <col min="8" max="8" width="9.140625" style="4" customWidth="1"/>
    <col min="9" max="9" width="12.7109375" style="4" bestFit="1" customWidth="1"/>
    <col min="10" max="11" width="9.140625" style="4" customWidth="1"/>
    <col min="12" max="12" width="10.421875" style="4" bestFit="1" customWidth="1"/>
    <col min="13" max="14" width="9.140625" style="4" customWidth="1"/>
    <col min="15" max="15" width="10.57421875" style="4" bestFit="1" customWidth="1"/>
    <col min="16" max="16384" width="9.140625" style="4" customWidth="1"/>
  </cols>
  <sheetData>
    <row r="4" ht="15">
      <c r="A4" s="5" t="s">
        <v>0</v>
      </c>
    </row>
    <row r="5" ht="12.75" hidden="1"/>
    <row r="6" ht="12.75" hidden="1">
      <c r="A6" s="6" t="s">
        <v>4</v>
      </c>
    </row>
    <row r="7" ht="12.75" hidden="1">
      <c r="A7" s="6" t="s">
        <v>6</v>
      </c>
    </row>
    <row r="8" ht="12.75" hidden="1">
      <c r="A8" s="6" t="s">
        <v>5</v>
      </c>
    </row>
    <row r="9" ht="12.75" hidden="1">
      <c r="A9" s="6" t="s">
        <v>3</v>
      </c>
    </row>
    <row r="10" ht="12.75" hidden="1">
      <c r="A10" s="6" t="s">
        <v>7</v>
      </c>
    </row>
    <row r="11" ht="12.75" hidden="1">
      <c r="A11" s="6" t="s">
        <v>1</v>
      </c>
    </row>
    <row r="12" ht="12.75" hidden="1">
      <c r="A12" s="6" t="s">
        <v>2</v>
      </c>
    </row>
    <row r="13" ht="12.75" hidden="1"/>
    <row r="16" spans="1:5" s="2" customFormat="1" ht="15">
      <c r="A16" s="7" t="s">
        <v>8</v>
      </c>
      <c r="E16" s="9">
        <v>38260</v>
      </c>
    </row>
    <row r="17" spans="1:5" s="2" customFormat="1" ht="15">
      <c r="A17" s="7"/>
      <c r="E17" s="9"/>
    </row>
    <row r="18" spans="1:5" s="2" customFormat="1" ht="15">
      <c r="A18" s="7" t="s">
        <v>9</v>
      </c>
      <c r="E18" s="10">
        <v>0.04845</v>
      </c>
    </row>
    <row r="19" spans="1:5" s="2" customFormat="1" ht="15">
      <c r="A19" s="7"/>
      <c r="E19" s="10"/>
    </row>
    <row r="20" spans="1:5" s="2" customFormat="1" ht="15">
      <c r="A20" s="7"/>
      <c r="E20" s="10"/>
    </row>
    <row r="21" s="2" customFormat="1" ht="14.25"/>
    <row r="22" spans="1:13" s="2" customFormat="1" ht="15">
      <c r="A22" s="5" t="s">
        <v>10</v>
      </c>
      <c r="H22" s="144" t="s">
        <v>73</v>
      </c>
      <c r="I22" s="145"/>
      <c r="J22" s="146"/>
      <c r="K22" s="144" t="s">
        <v>74</v>
      </c>
      <c r="L22" s="145"/>
      <c r="M22" s="146"/>
    </row>
    <row r="23" spans="1:13" s="2" customFormat="1" ht="14.25">
      <c r="A23" s="2" t="s">
        <v>11</v>
      </c>
      <c r="H23" s="134" t="s">
        <v>76</v>
      </c>
      <c r="I23" s="135"/>
      <c r="J23" s="136"/>
      <c r="K23" s="134" t="s">
        <v>77</v>
      </c>
      <c r="L23" s="135"/>
      <c r="M23" s="136"/>
    </row>
    <row r="24" spans="1:13" s="2" customFormat="1" ht="14.25">
      <c r="A24" s="2" t="s">
        <v>12</v>
      </c>
      <c r="H24" s="134" t="s">
        <v>78</v>
      </c>
      <c r="I24" s="135"/>
      <c r="J24" s="136"/>
      <c r="K24" s="134" t="s">
        <v>76</v>
      </c>
      <c r="L24" s="135"/>
      <c r="M24" s="136"/>
    </row>
    <row r="25" spans="1:13" s="2" customFormat="1" ht="14.25">
      <c r="A25" s="2" t="s">
        <v>13</v>
      </c>
      <c r="H25" s="134" t="s">
        <v>78</v>
      </c>
      <c r="I25" s="135"/>
      <c r="J25" s="136"/>
      <c r="K25" s="134" t="s">
        <v>76</v>
      </c>
      <c r="L25" s="135"/>
      <c r="M25" s="136"/>
    </row>
    <row r="26" spans="1:13" s="2" customFormat="1" ht="14.25">
      <c r="A26" s="2" t="s">
        <v>14</v>
      </c>
      <c r="H26" s="134" t="s">
        <v>78</v>
      </c>
      <c r="I26" s="135"/>
      <c r="J26" s="136"/>
      <c r="K26" s="134" t="s">
        <v>76</v>
      </c>
      <c r="L26" s="135" t="s">
        <v>76</v>
      </c>
      <c r="M26" s="136"/>
    </row>
    <row r="27" spans="1:13" s="2" customFormat="1" ht="14.25">
      <c r="A27" s="2" t="s">
        <v>15</v>
      </c>
      <c r="H27" s="134" t="s">
        <v>78</v>
      </c>
      <c r="I27" s="135"/>
      <c r="J27" s="136"/>
      <c r="K27" s="134" t="s">
        <v>116</v>
      </c>
      <c r="L27" s="135"/>
      <c r="M27" s="136"/>
    </row>
    <row r="28" spans="8:13" s="2" customFormat="1" ht="14.25">
      <c r="H28" s="134"/>
      <c r="I28" s="135"/>
      <c r="J28" s="136"/>
      <c r="K28" s="134"/>
      <c r="L28" s="135"/>
      <c r="M28" s="136"/>
    </row>
    <row r="29" spans="1:25" s="2" customFormat="1" ht="14.25">
      <c r="A29" s="2" t="s">
        <v>88</v>
      </c>
      <c r="H29" s="137">
        <v>276000000</v>
      </c>
      <c r="I29" s="138"/>
      <c r="J29" s="139"/>
      <c r="K29" s="137">
        <v>24000000</v>
      </c>
      <c r="L29" s="138"/>
      <c r="M29" s="139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2" customFormat="1" ht="14.25">
      <c r="A30" s="2" t="s">
        <v>89</v>
      </c>
      <c r="H30" s="137">
        <v>106996395.6</v>
      </c>
      <c r="I30" s="138"/>
      <c r="J30" s="139"/>
      <c r="K30" s="137">
        <v>24000000</v>
      </c>
      <c r="L30" s="138"/>
      <c r="M30" s="139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" customFormat="1" ht="14.25">
      <c r="A31" s="2" t="s">
        <v>83</v>
      </c>
      <c r="H31" s="137">
        <f>H30-H32</f>
        <v>3997446</v>
      </c>
      <c r="I31" s="135"/>
      <c r="J31" s="136"/>
      <c r="K31" s="134" t="s">
        <v>82</v>
      </c>
      <c r="L31" s="135"/>
      <c r="M31" s="136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43" s="2" customFormat="1" ht="14.25">
      <c r="A32" s="2" t="s">
        <v>90</v>
      </c>
      <c r="H32" s="137">
        <v>102998949.6</v>
      </c>
      <c r="I32" s="138"/>
      <c r="J32" s="139"/>
      <c r="K32" s="137">
        <v>24000000</v>
      </c>
      <c r="L32" s="138"/>
      <c r="M32" s="139"/>
      <c r="AO32" s="137"/>
      <c r="AP32" s="138"/>
      <c r="AQ32" s="139"/>
    </row>
    <row r="33" spans="1:13" s="2" customFormat="1" ht="14.25">
      <c r="A33" s="2" t="s">
        <v>16</v>
      </c>
      <c r="H33" s="141">
        <v>0.3731846</v>
      </c>
      <c r="I33" s="142"/>
      <c r="J33" s="143"/>
      <c r="K33" s="131">
        <v>1</v>
      </c>
      <c r="L33" s="132"/>
      <c r="M33" s="133"/>
    </row>
    <row r="34" spans="1:13" s="2" customFormat="1" ht="14.25">
      <c r="A34" s="2" t="s">
        <v>110</v>
      </c>
      <c r="H34" s="140">
        <f>H31/H30*12</f>
        <v>0.44832680326289426</v>
      </c>
      <c r="I34" s="130"/>
      <c r="J34" s="147"/>
      <c r="K34" s="134" t="s">
        <v>82</v>
      </c>
      <c r="L34" s="135"/>
      <c r="M34" s="136"/>
    </row>
    <row r="35" spans="8:13" s="2" customFormat="1" ht="14.25">
      <c r="H35" s="134"/>
      <c r="I35" s="135"/>
      <c r="J35" s="136"/>
      <c r="K35" s="134"/>
      <c r="L35" s="135"/>
      <c r="M35" s="136"/>
    </row>
    <row r="36" spans="1:25" s="2" customFormat="1" ht="14.25">
      <c r="A36" s="2" t="s">
        <v>17</v>
      </c>
      <c r="H36" s="134" t="s">
        <v>82</v>
      </c>
      <c r="I36" s="135"/>
      <c r="J36" s="136"/>
      <c r="K36" s="140">
        <f>K29/H29*100%</f>
        <v>0.08695652173913043</v>
      </c>
      <c r="L36" s="135"/>
      <c r="M36" s="136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2" customFormat="1" ht="14.25">
      <c r="A37" s="2" t="s">
        <v>18</v>
      </c>
      <c r="H37" s="134" t="s">
        <v>82</v>
      </c>
      <c r="I37" s="135"/>
      <c r="J37" s="136"/>
      <c r="K37" s="140">
        <f>K32/H32*100%</f>
        <v>0.23301208500868054</v>
      </c>
      <c r="L37" s="135"/>
      <c r="M37" s="136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8:25" s="2" customFormat="1" ht="14.25">
      <c r="H38" s="134"/>
      <c r="I38" s="135"/>
      <c r="J38" s="136"/>
      <c r="K38" s="134"/>
      <c r="L38" s="135"/>
      <c r="M38" s="136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13" s="2" customFormat="1" ht="14.25">
      <c r="A39" s="2" t="s">
        <v>19</v>
      </c>
      <c r="H39" s="134">
        <v>31</v>
      </c>
      <c r="I39" s="135"/>
      <c r="J39" s="136"/>
      <c r="K39" s="134">
        <v>85</v>
      </c>
      <c r="L39" s="135"/>
      <c r="M39" s="136"/>
    </row>
    <row r="40" spans="1:13" s="2" customFormat="1" ht="14.25">
      <c r="A40" s="2" t="s">
        <v>84</v>
      </c>
      <c r="H40" s="148">
        <v>152.43</v>
      </c>
      <c r="I40" s="149"/>
      <c r="J40" s="150"/>
      <c r="K40" s="148">
        <v>451.24</v>
      </c>
      <c r="L40" s="149"/>
      <c r="M40" s="150"/>
    </row>
    <row r="41" spans="1:13" s="2" customFormat="1" ht="14.25">
      <c r="A41" s="2" t="s">
        <v>20</v>
      </c>
      <c r="H41" s="134">
        <v>62</v>
      </c>
      <c r="I41" s="135"/>
      <c r="J41" s="136"/>
      <c r="K41" s="134">
        <v>170</v>
      </c>
      <c r="L41" s="135"/>
      <c r="M41" s="136"/>
    </row>
    <row r="42" spans="1:13" s="2" customFormat="1" ht="14.25">
      <c r="A42" s="2" t="s">
        <v>21</v>
      </c>
      <c r="H42" s="154" t="s">
        <v>79</v>
      </c>
      <c r="I42" s="135"/>
      <c r="J42" s="136"/>
      <c r="K42" s="154" t="s">
        <v>79</v>
      </c>
      <c r="L42" s="135"/>
      <c r="M42" s="136"/>
    </row>
    <row r="43" spans="8:13" s="2" customFormat="1" ht="14.25">
      <c r="H43" s="134"/>
      <c r="I43" s="135"/>
      <c r="J43" s="136"/>
      <c r="K43" s="134"/>
      <c r="L43" s="135"/>
      <c r="M43" s="136"/>
    </row>
    <row r="44" spans="1:13" s="2" customFormat="1" ht="14.25">
      <c r="A44" s="2" t="s">
        <v>22</v>
      </c>
      <c r="H44" s="134" t="s">
        <v>80</v>
      </c>
      <c r="I44" s="135"/>
      <c r="J44" s="136"/>
      <c r="K44" s="134" t="s">
        <v>80</v>
      </c>
      <c r="L44" s="135"/>
      <c r="M44" s="136"/>
    </row>
    <row r="45" spans="1:13" s="2" customFormat="1" ht="14.25">
      <c r="A45" s="2" t="s">
        <v>23</v>
      </c>
      <c r="H45" s="155">
        <f>E16</f>
        <v>38260</v>
      </c>
      <c r="I45" s="156"/>
      <c r="J45" s="157"/>
      <c r="K45" s="151">
        <f>H45</f>
        <v>38260</v>
      </c>
      <c r="L45" s="152"/>
      <c r="M45" s="153"/>
    </row>
    <row r="46" s="2" customFormat="1" ht="14.25"/>
    <row r="47" spans="1:10" s="2" customFormat="1" ht="15">
      <c r="A47" s="5" t="s">
        <v>24</v>
      </c>
      <c r="H47" s="1"/>
      <c r="I47" s="1"/>
      <c r="J47" s="1"/>
    </row>
    <row r="48" spans="1:10" s="2" customFormat="1" ht="15">
      <c r="A48" s="5" t="s">
        <v>118</v>
      </c>
      <c r="H48" s="3"/>
      <c r="I48" s="3"/>
      <c r="J48" s="3"/>
    </row>
    <row r="49" spans="1:13" s="2" customFormat="1" ht="14.25">
      <c r="A49" s="2" t="s">
        <v>91</v>
      </c>
      <c r="H49" s="137">
        <v>130996387.3</v>
      </c>
      <c r="I49" s="138"/>
      <c r="J49" s="139"/>
      <c r="K49" s="1"/>
      <c r="L49" s="1"/>
      <c r="M49" s="1"/>
    </row>
    <row r="50" spans="1:13" s="2" customFormat="1" ht="14.25">
      <c r="A50" s="2" t="s">
        <v>92</v>
      </c>
      <c r="H50" s="137">
        <v>126998948.26</v>
      </c>
      <c r="I50" s="138"/>
      <c r="J50" s="139"/>
      <c r="K50" s="1"/>
      <c r="L50" s="1"/>
      <c r="M50" s="1"/>
    </row>
    <row r="51" spans="1:13" s="2" customFormat="1" ht="14.25">
      <c r="A51" s="2" t="s">
        <v>93</v>
      </c>
      <c r="H51" s="137">
        <v>684077.14</v>
      </c>
      <c r="I51" s="138"/>
      <c r="J51" s="139"/>
      <c r="K51" s="1"/>
      <c r="L51" s="1"/>
      <c r="M51" s="1"/>
    </row>
    <row r="52" spans="8:13" s="2" customFormat="1" ht="14.25">
      <c r="H52" s="134"/>
      <c r="I52" s="135"/>
      <c r="J52" s="136"/>
      <c r="K52" s="1"/>
      <c r="L52" s="1"/>
      <c r="M52" s="1"/>
    </row>
    <row r="53" spans="1:13" s="2" customFormat="1" ht="14.25">
      <c r="A53" s="2" t="s">
        <v>94</v>
      </c>
      <c r="H53" s="137">
        <f>H56+H57</f>
        <v>5281120.24</v>
      </c>
      <c r="I53" s="135"/>
      <c r="J53" s="136"/>
      <c r="K53" s="1"/>
      <c r="L53" s="1"/>
      <c r="M53" s="1"/>
    </row>
    <row r="54" spans="1:13" s="2" customFormat="1" ht="14.25">
      <c r="A54" s="2" t="s">
        <v>95</v>
      </c>
      <c r="H54" s="137">
        <v>1169447.53</v>
      </c>
      <c r="I54" s="135"/>
      <c r="J54" s="136"/>
      <c r="K54" s="1"/>
      <c r="L54" s="1"/>
      <c r="M54" s="1"/>
    </row>
    <row r="55" spans="1:13" s="2" customFormat="1" ht="14.25">
      <c r="A55" s="2" t="s">
        <v>96</v>
      </c>
      <c r="H55" s="134"/>
      <c r="I55" s="135"/>
      <c r="J55" s="136"/>
      <c r="K55" s="1"/>
      <c r="L55" s="27"/>
      <c r="M55" s="1"/>
    </row>
    <row r="56" spans="1:13" s="2" customFormat="1" ht="14.25">
      <c r="A56" s="2" t="s">
        <v>97</v>
      </c>
      <c r="H56" s="137">
        <v>3503279</v>
      </c>
      <c r="I56" s="135"/>
      <c r="J56" s="136"/>
      <c r="K56" s="137"/>
      <c r="L56" s="135"/>
      <c r="M56" s="135"/>
    </row>
    <row r="57" spans="1:13" s="2" customFormat="1" ht="14.25">
      <c r="A57" s="2" t="s">
        <v>107</v>
      </c>
      <c r="H57" s="137">
        <v>1777841.24</v>
      </c>
      <c r="I57" s="135"/>
      <c r="J57" s="136"/>
      <c r="K57" s="1"/>
      <c r="L57" s="27"/>
      <c r="M57" s="1"/>
    </row>
    <row r="58" spans="1:13" s="2" customFormat="1" ht="14.25">
      <c r="A58" s="2" t="s">
        <v>98</v>
      </c>
      <c r="H58" s="137">
        <v>114225.56</v>
      </c>
      <c r="I58" s="138"/>
      <c r="J58" s="139"/>
      <c r="K58" s="1"/>
      <c r="L58" s="27"/>
      <c r="M58" s="1"/>
    </row>
    <row r="59" spans="1:13" s="2" customFormat="1" ht="14.25">
      <c r="A59" s="2" t="s">
        <v>99</v>
      </c>
      <c r="H59" s="137">
        <v>0</v>
      </c>
      <c r="I59" s="138"/>
      <c r="J59" s="139"/>
      <c r="K59" s="1"/>
      <c r="L59" s="27"/>
      <c r="M59" s="1"/>
    </row>
    <row r="60" spans="1:13" s="2" customFormat="1" ht="14.25">
      <c r="A60" s="2" t="s">
        <v>100</v>
      </c>
      <c r="H60" s="137">
        <f>H31</f>
        <v>3997446</v>
      </c>
      <c r="I60" s="138"/>
      <c r="J60" s="139"/>
      <c r="K60" s="1"/>
      <c r="L60" s="27"/>
      <c r="M60" s="1"/>
    </row>
    <row r="61" spans="1:13" s="2" customFormat="1" ht="14.25">
      <c r="A61" s="2" t="s">
        <v>101</v>
      </c>
      <c r="H61" s="134" t="s">
        <v>82</v>
      </c>
      <c r="I61" s="135"/>
      <c r="J61" s="136"/>
      <c r="K61" s="1"/>
      <c r="L61" s="1"/>
      <c r="M61" s="1"/>
    </row>
    <row r="62" spans="8:13" s="2" customFormat="1" ht="14.25">
      <c r="H62" s="134"/>
      <c r="I62" s="135"/>
      <c r="J62" s="136"/>
      <c r="K62" s="1"/>
      <c r="L62" s="1"/>
      <c r="M62" s="1"/>
    </row>
    <row r="63" spans="1:15" s="2" customFormat="1" ht="14.25">
      <c r="A63" s="2" t="s">
        <v>25</v>
      </c>
      <c r="H63" s="140">
        <f>((H53-H54)/H49)*12</f>
        <v>0.37665216222340814</v>
      </c>
      <c r="I63" s="130"/>
      <c r="J63" s="147"/>
      <c r="K63" s="1"/>
      <c r="L63" s="1"/>
      <c r="M63" s="130"/>
      <c r="N63" s="130"/>
      <c r="O63" s="130"/>
    </row>
    <row r="64" spans="1:13" s="2" customFormat="1" ht="14.25">
      <c r="A64" s="2" t="s">
        <v>81</v>
      </c>
      <c r="H64" s="140">
        <f>H56/H49*12*100%</f>
        <v>0.32091990372012347</v>
      </c>
      <c r="I64" s="130"/>
      <c r="J64" s="147"/>
      <c r="K64" s="1"/>
      <c r="L64" s="1"/>
      <c r="M64" s="1"/>
    </row>
    <row r="65" spans="1:13" s="2" customFormat="1" ht="14.25">
      <c r="A65" s="2" t="s">
        <v>26</v>
      </c>
      <c r="H65" s="158">
        <f>(H57-H54)/H49*12*100%</f>
        <v>0.055732258503284685</v>
      </c>
      <c r="I65" s="170"/>
      <c r="J65" s="171"/>
      <c r="K65" s="1"/>
      <c r="L65" s="1"/>
      <c r="M65" s="1"/>
    </row>
    <row r="66" s="2" customFormat="1" ht="14.25"/>
    <row r="67" spans="1:10" s="2" customFormat="1" ht="15">
      <c r="A67" s="7" t="s">
        <v>119</v>
      </c>
      <c r="H67" s="182">
        <v>119606</v>
      </c>
      <c r="I67" s="183"/>
      <c r="J67" s="184"/>
    </row>
    <row r="68" spans="1:10" s="2" customFormat="1" ht="15">
      <c r="A68" s="7" t="s">
        <v>120</v>
      </c>
      <c r="H68" s="179">
        <v>0</v>
      </c>
      <c r="I68" s="180"/>
      <c r="J68" s="181"/>
    </row>
    <row r="69" s="2" customFormat="1" ht="14.25"/>
    <row r="70" spans="1:13" s="2" customFormat="1" ht="15">
      <c r="A70" s="5" t="s">
        <v>121</v>
      </c>
      <c r="H70" s="1"/>
      <c r="I70" s="1"/>
      <c r="J70" s="1"/>
      <c r="K70" s="1"/>
      <c r="L70" s="1"/>
      <c r="M70" s="1"/>
    </row>
    <row r="71" spans="1:13" s="2" customFormat="1" ht="14.25">
      <c r="A71" s="2" t="s">
        <v>85</v>
      </c>
      <c r="H71" s="161">
        <v>250</v>
      </c>
      <c r="I71" s="162"/>
      <c r="J71" s="163"/>
      <c r="K71" s="1"/>
      <c r="L71" s="1"/>
      <c r="M71" s="1"/>
    </row>
    <row r="72" spans="1:13" s="2" customFormat="1" ht="14.25">
      <c r="A72" s="2" t="s">
        <v>86</v>
      </c>
      <c r="H72" s="148">
        <v>10614.72</v>
      </c>
      <c r="I72" s="149"/>
      <c r="J72" s="150"/>
      <c r="K72" s="1"/>
      <c r="L72" s="1"/>
      <c r="M72" s="1"/>
    </row>
    <row r="73" spans="1:13" s="2" customFormat="1" ht="14.25">
      <c r="A73" s="2" t="s">
        <v>27</v>
      </c>
      <c r="H73" s="148">
        <f>1175+775+425</f>
        <v>2375</v>
      </c>
      <c r="I73" s="149"/>
      <c r="J73" s="150"/>
      <c r="K73" s="1"/>
      <c r="L73" s="1"/>
      <c r="M73" s="1"/>
    </row>
    <row r="74" spans="1:13" s="2" customFormat="1" ht="14.25">
      <c r="A74" s="2" t="s">
        <v>28</v>
      </c>
      <c r="H74" s="164">
        <v>4610.66</v>
      </c>
      <c r="I74" s="165"/>
      <c r="J74" s="166"/>
      <c r="K74" s="1"/>
      <c r="L74" s="1"/>
      <c r="M74" s="1"/>
    </row>
    <row r="75" spans="8:13" s="2" customFormat="1" ht="14.25">
      <c r="H75" s="1"/>
      <c r="I75" s="1"/>
      <c r="J75" s="1"/>
      <c r="K75" s="1"/>
      <c r="L75" s="1"/>
      <c r="M75" s="1"/>
    </row>
    <row r="76" spans="1:13" s="2" customFormat="1" ht="15">
      <c r="A76" s="5" t="s">
        <v>29</v>
      </c>
      <c r="H76" s="1"/>
      <c r="I76" s="1"/>
      <c r="J76" s="1"/>
      <c r="K76" s="1"/>
      <c r="L76" s="1"/>
      <c r="M76" s="1"/>
    </row>
    <row r="77" spans="1:13" s="2" customFormat="1" ht="14.25">
      <c r="A77" s="2" t="s">
        <v>30</v>
      </c>
      <c r="H77" s="167">
        <v>45000000</v>
      </c>
      <c r="I77" s="168"/>
      <c r="J77" s="169"/>
      <c r="K77" s="1"/>
      <c r="L77" s="1"/>
      <c r="M77" s="1"/>
    </row>
    <row r="78" spans="1:13" s="2" customFormat="1" ht="14.25">
      <c r="A78" s="2" t="s">
        <v>31</v>
      </c>
      <c r="H78" s="137">
        <v>45000000</v>
      </c>
      <c r="I78" s="138"/>
      <c r="J78" s="139"/>
      <c r="K78" s="1"/>
      <c r="L78" s="1"/>
      <c r="M78" s="1"/>
    </row>
    <row r="79" spans="1:13" s="2" customFormat="1" ht="14.25">
      <c r="A79" s="2" t="s">
        <v>32</v>
      </c>
      <c r="H79" s="137">
        <v>0</v>
      </c>
      <c r="I79" s="138"/>
      <c r="J79" s="139"/>
      <c r="K79" s="1"/>
      <c r="L79" s="1"/>
      <c r="M79" s="1"/>
    </row>
    <row r="80" spans="1:13" s="2" customFormat="1" ht="14.25">
      <c r="A80" s="2" t="s">
        <v>33</v>
      </c>
      <c r="H80" s="134">
        <v>0</v>
      </c>
      <c r="I80" s="135"/>
      <c r="J80" s="136"/>
      <c r="K80" s="1"/>
      <c r="L80" s="1"/>
      <c r="M80" s="1"/>
    </row>
    <row r="81" spans="1:13" s="2" customFormat="1" ht="14.25">
      <c r="A81" s="2" t="s">
        <v>34</v>
      </c>
      <c r="H81" s="137">
        <v>0</v>
      </c>
      <c r="I81" s="138"/>
      <c r="J81" s="139"/>
      <c r="K81" s="1"/>
      <c r="L81" s="1"/>
      <c r="M81" s="1"/>
    </row>
    <row r="82" spans="1:13" s="2" customFormat="1" ht="14.25">
      <c r="A82" s="2" t="s">
        <v>35</v>
      </c>
      <c r="H82" s="148">
        <f>H74</f>
        <v>4610.66</v>
      </c>
      <c r="I82" s="149"/>
      <c r="J82" s="150"/>
      <c r="K82" s="1"/>
      <c r="L82" s="1"/>
      <c r="M82" s="1"/>
    </row>
    <row r="83" spans="1:13" s="2" customFormat="1" ht="14.25">
      <c r="A83" s="2" t="s">
        <v>36</v>
      </c>
      <c r="H83" s="158">
        <v>0.0025</v>
      </c>
      <c r="I83" s="159"/>
      <c r="J83" s="160"/>
      <c r="K83" s="1"/>
      <c r="L83" s="1"/>
      <c r="M83" s="1"/>
    </row>
    <row r="84" spans="8:13" s="2" customFormat="1" ht="14.25">
      <c r="H84" s="1"/>
      <c r="I84" s="1"/>
      <c r="J84" s="1"/>
      <c r="K84" s="1"/>
      <c r="L84" s="1"/>
      <c r="M84" s="1"/>
    </row>
    <row r="85" spans="1:13" s="2" customFormat="1" ht="15">
      <c r="A85" s="5" t="s">
        <v>37</v>
      </c>
      <c r="H85" s="1"/>
      <c r="I85" s="1"/>
      <c r="J85" s="1"/>
      <c r="K85" s="1"/>
      <c r="L85" s="1"/>
      <c r="M85" s="1"/>
    </row>
    <row r="86" spans="1:13" s="2" customFormat="1" ht="14.25">
      <c r="A86" s="2" t="s">
        <v>38</v>
      </c>
      <c r="H86" s="167">
        <v>500000</v>
      </c>
      <c r="I86" s="168"/>
      <c r="J86" s="169"/>
      <c r="K86" s="1"/>
      <c r="L86" s="1"/>
      <c r="M86" s="1"/>
    </row>
    <row r="87" spans="1:13" s="2" customFormat="1" ht="14.25">
      <c r="A87" s="2" t="s">
        <v>39</v>
      </c>
      <c r="H87" s="137">
        <v>500000</v>
      </c>
      <c r="I87" s="138"/>
      <c r="J87" s="139"/>
      <c r="K87" s="1"/>
      <c r="L87" s="1"/>
      <c r="M87" s="1"/>
    </row>
    <row r="88" spans="1:13" s="2" customFormat="1" ht="14.25">
      <c r="A88" s="2" t="s">
        <v>40</v>
      </c>
      <c r="H88" s="134">
        <v>0</v>
      </c>
      <c r="I88" s="135"/>
      <c r="J88" s="136"/>
      <c r="K88" s="1"/>
      <c r="L88" s="1"/>
      <c r="M88" s="1"/>
    </row>
    <row r="89" spans="1:13" s="2" customFormat="1" ht="14.25">
      <c r="A89" s="2" t="s">
        <v>41</v>
      </c>
      <c r="H89" s="172">
        <v>500000</v>
      </c>
      <c r="I89" s="173"/>
      <c r="J89" s="174"/>
      <c r="K89" s="1"/>
      <c r="L89" s="1"/>
      <c r="M89" s="1"/>
    </row>
    <row r="90" spans="8:13" s="2" customFormat="1" ht="14.25">
      <c r="H90" s="1"/>
      <c r="I90" s="1"/>
      <c r="J90" s="1"/>
      <c r="K90" s="1"/>
      <c r="L90" s="1"/>
      <c r="M90" s="1"/>
    </row>
    <row r="91" s="2" customFormat="1" ht="15">
      <c r="A91" s="5" t="s">
        <v>42</v>
      </c>
    </row>
    <row r="92" spans="1:10" s="2" customFormat="1" ht="14.25">
      <c r="A92" s="2" t="s">
        <v>43</v>
      </c>
      <c r="H92" s="167">
        <v>6000000</v>
      </c>
      <c r="I92" s="168"/>
      <c r="J92" s="169"/>
    </row>
    <row r="93" spans="1:10" s="2" customFormat="1" ht="14.25">
      <c r="A93" s="2" t="s">
        <v>44</v>
      </c>
      <c r="H93" s="137">
        <v>6000000</v>
      </c>
      <c r="I93" s="138"/>
      <c r="J93" s="139"/>
    </row>
    <row r="94" spans="1:10" s="2" customFormat="1" ht="14.25">
      <c r="A94" s="2" t="s">
        <v>45</v>
      </c>
      <c r="H94" s="134">
        <v>0</v>
      </c>
      <c r="I94" s="135"/>
      <c r="J94" s="136"/>
    </row>
    <row r="95" spans="1:10" s="2" customFormat="1" ht="14.25">
      <c r="A95" s="2" t="s">
        <v>46</v>
      </c>
      <c r="H95" s="134"/>
      <c r="I95" s="135"/>
      <c r="J95" s="136"/>
    </row>
    <row r="96" spans="1:10" s="2" customFormat="1" ht="14.25">
      <c r="A96" s="2" t="s">
        <v>47</v>
      </c>
      <c r="H96" s="134">
        <v>0</v>
      </c>
      <c r="I96" s="135"/>
      <c r="J96" s="136"/>
    </row>
    <row r="97" spans="1:10" s="2" customFormat="1" ht="14.25">
      <c r="A97" s="2" t="s">
        <v>48</v>
      </c>
      <c r="H97" s="134">
        <v>0</v>
      </c>
      <c r="I97" s="135"/>
      <c r="J97" s="136"/>
    </row>
    <row r="98" spans="1:10" s="2" customFormat="1" ht="14.25">
      <c r="A98" s="2" t="s">
        <v>49</v>
      </c>
      <c r="H98" s="134">
        <v>0</v>
      </c>
      <c r="I98" s="135"/>
      <c r="J98" s="136"/>
    </row>
    <row r="99" spans="1:10" s="2" customFormat="1" ht="14.25">
      <c r="A99" s="2" t="s">
        <v>50</v>
      </c>
      <c r="H99" s="172">
        <v>6000000</v>
      </c>
      <c r="I99" s="173"/>
      <c r="J99" s="174"/>
    </row>
    <row r="100" s="2" customFormat="1" ht="14.25"/>
    <row r="101" s="2" customFormat="1" ht="15">
      <c r="A101" s="5" t="s">
        <v>51</v>
      </c>
    </row>
    <row r="102" spans="1:10" s="2" customFormat="1" ht="14.25">
      <c r="A102" s="2" t="s">
        <v>52</v>
      </c>
      <c r="H102" s="176">
        <v>0</v>
      </c>
      <c r="I102" s="177"/>
      <c r="J102" s="178"/>
    </row>
    <row r="103" spans="1:10" s="2" customFormat="1" ht="14.25">
      <c r="A103" s="2" t="s">
        <v>53</v>
      </c>
      <c r="H103" s="134">
        <v>0</v>
      </c>
      <c r="I103" s="135"/>
      <c r="J103" s="136"/>
    </row>
    <row r="104" spans="1:10" s="2" customFormat="1" ht="14.25">
      <c r="A104" s="2" t="s">
        <v>54</v>
      </c>
      <c r="H104" s="134">
        <v>0</v>
      </c>
      <c r="I104" s="135"/>
      <c r="J104" s="136"/>
    </row>
    <row r="105" spans="1:10" s="2" customFormat="1" ht="14.25">
      <c r="A105" s="2" t="s">
        <v>55</v>
      </c>
      <c r="H105" s="175">
        <v>0</v>
      </c>
      <c r="I105" s="159"/>
      <c r="J105" s="160"/>
    </row>
    <row r="106" s="2" customFormat="1" ht="14.25"/>
    <row r="107" s="2" customFormat="1" ht="14.25"/>
    <row r="108" s="2" customFormat="1" ht="14.25"/>
    <row r="109" s="2" customFormat="1" ht="15">
      <c r="A109" s="8" t="s">
        <v>122</v>
      </c>
    </row>
    <row r="110" spans="1:13" s="2" customFormat="1" ht="15">
      <c r="A110" s="7" t="s">
        <v>56</v>
      </c>
      <c r="H110" s="185" t="s">
        <v>87</v>
      </c>
      <c r="I110" s="186"/>
      <c r="J110" s="187"/>
      <c r="K110" s="185" t="s">
        <v>75</v>
      </c>
      <c r="L110" s="186"/>
      <c r="M110" s="187"/>
    </row>
    <row r="111" spans="1:13" s="2" customFormat="1" ht="14.25">
      <c r="A111" s="2" t="s">
        <v>57</v>
      </c>
      <c r="H111" s="137">
        <v>124283207.19</v>
      </c>
      <c r="I111" s="138"/>
      <c r="J111" s="139"/>
      <c r="K111" s="134">
        <v>2102</v>
      </c>
      <c r="L111" s="135"/>
      <c r="M111" s="136"/>
    </row>
    <row r="112" spans="1:13" s="2" customFormat="1" ht="14.25">
      <c r="A112" s="2" t="s">
        <v>58</v>
      </c>
      <c r="H112" s="137">
        <v>615064.73</v>
      </c>
      <c r="I112" s="138"/>
      <c r="J112" s="139"/>
      <c r="K112" s="134">
        <v>12</v>
      </c>
      <c r="L112" s="135"/>
      <c r="M112" s="136"/>
    </row>
    <row r="113" spans="1:13" s="2" customFormat="1" ht="14.25">
      <c r="A113" s="2" t="s">
        <v>59</v>
      </c>
      <c r="H113" s="137">
        <v>1312607.61</v>
      </c>
      <c r="I113" s="138"/>
      <c r="J113" s="139"/>
      <c r="K113" s="134">
        <v>11</v>
      </c>
      <c r="L113" s="135"/>
      <c r="M113" s="136"/>
    </row>
    <row r="114" spans="1:13" s="2" customFormat="1" ht="14.25">
      <c r="A114" s="2" t="s">
        <v>60</v>
      </c>
      <c r="H114" s="137">
        <v>477330.99</v>
      </c>
      <c r="I114" s="138"/>
      <c r="J114" s="139"/>
      <c r="K114" s="134">
        <v>6</v>
      </c>
      <c r="L114" s="135"/>
      <c r="M114" s="136"/>
    </row>
    <row r="115" spans="1:13" s="2" customFormat="1" ht="14.25">
      <c r="A115" s="2" t="s">
        <v>61</v>
      </c>
      <c r="H115" s="137">
        <f>153285.9+5909.76</f>
        <v>159195.66</v>
      </c>
      <c r="I115" s="138"/>
      <c r="J115" s="139"/>
      <c r="K115" s="134">
        <f>3+1</f>
        <v>4</v>
      </c>
      <c r="L115" s="135"/>
      <c r="M115" s="136"/>
    </row>
    <row r="116" spans="1:13" s="2" customFormat="1" ht="14.25">
      <c r="A116" s="2" t="s">
        <v>62</v>
      </c>
      <c r="H116" s="137">
        <f>6334.39+1007.15</f>
        <v>7341.54</v>
      </c>
      <c r="I116" s="138"/>
      <c r="J116" s="139"/>
      <c r="K116" s="134">
        <f>1+1</f>
        <v>2</v>
      </c>
      <c r="L116" s="135"/>
      <c r="M116" s="136"/>
    </row>
    <row r="117" spans="1:13" s="2" customFormat="1" ht="14.25">
      <c r="A117" s="2" t="s">
        <v>108</v>
      </c>
      <c r="H117" s="137">
        <v>0</v>
      </c>
      <c r="I117" s="138"/>
      <c r="J117" s="139"/>
      <c r="K117" s="134">
        <v>0</v>
      </c>
      <c r="L117" s="135"/>
      <c r="M117" s="136"/>
    </row>
    <row r="118" spans="1:13" s="2" customFormat="1" ht="14.25">
      <c r="A118" s="2" t="s">
        <v>109</v>
      </c>
      <c r="H118" s="137">
        <v>144200.54</v>
      </c>
      <c r="I118" s="138"/>
      <c r="J118" s="139"/>
      <c r="K118" s="134">
        <v>4</v>
      </c>
      <c r="L118" s="135"/>
      <c r="M118" s="136"/>
    </row>
    <row r="119" spans="8:13" s="2" customFormat="1" ht="14.25">
      <c r="H119" s="17"/>
      <c r="I119" s="18">
        <f>SUM(H111:J118)</f>
        <v>126998948.26</v>
      </c>
      <c r="J119" s="18"/>
      <c r="K119" s="19"/>
      <c r="L119" s="18">
        <f>SUM(K111:M118)</f>
        <v>2141</v>
      </c>
      <c r="M119" s="20"/>
    </row>
    <row r="120" spans="8:13" s="2" customFormat="1" ht="14.25">
      <c r="H120" s="12"/>
      <c r="I120" s="12"/>
      <c r="J120" s="12"/>
      <c r="K120" s="13"/>
      <c r="L120" s="13"/>
      <c r="M120" s="13"/>
    </row>
    <row r="121" spans="1:16" s="2" customFormat="1" ht="15">
      <c r="A121" s="5" t="s">
        <v>117</v>
      </c>
      <c r="H121" s="188" t="s">
        <v>113</v>
      </c>
      <c r="I121" s="189"/>
      <c r="J121" s="190"/>
      <c r="K121" s="188" t="s">
        <v>114</v>
      </c>
      <c r="L121" s="189"/>
      <c r="M121" s="190"/>
      <c r="N121" s="185" t="s">
        <v>115</v>
      </c>
      <c r="O121" s="186"/>
      <c r="P121" s="187"/>
    </row>
    <row r="122" spans="1:16" s="2" customFormat="1" ht="14.25">
      <c r="A122" s="2" t="s">
        <v>111</v>
      </c>
      <c r="H122" s="11"/>
      <c r="I122" s="23">
        <v>0.6337</v>
      </c>
      <c r="J122" s="24"/>
      <c r="K122" s="23"/>
      <c r="L122" s="23">
        <v>0.6437</v>
      </c>
      <c r="M122" s="24"/>
      <c r="N122" s="25"/>
      <c r="O122" s="25">
        <v>0.6116</v>
      </c>
      <c r="P122" s="15"/>
    </row>
    <row r="123" spans="1:16" s="2" customFormat="1" ht="14.25">
      <c r="A123" s="2" t="s">
        <v>112</v>
      </c>
      <c r="H123" s="14"/>
      <c r="I123" s="21">
        <v>0.5988</v>
      </c>
      <c r="J123" s="22"/>
      <c r="K123" s="21"/>
      <c r="L123" s="21">
        <v>0.6088</v>
      </c>
      <c r="M123" s="22"/>
      <c r="N123" s="26"/>
      <c r="O123" s="26">
        <v>0.5811</v>
      </c>
      <c r="P123" s="16"/>
    </row>
    <row r="124" spans="8:13" s="2" customFormat="1" ht="14.25">
      <c r="H124" s="12"/>
      <c r="I124" s="12"/>
      <c r="J124" s="12"/>
      <c r="K124" s="13"/>
      <c r="L124" s="13"/>
      <c r="M124" s="13"/>
    </row>
    <row r="125" s="2" customFormat="1" ht="15">
      <c r="A125" s="5" t="s">
        <v>63</v>
      </c>
    </row>
    <row r="126" spans="1:10" s="2" customFormat="1" ht="14.25">
      <c r="A126" s="2" t="s">
        <v>64</v>
      </c>
      <c r="H126" s="176">
        <v>0</v>
      </c>
      <c r="I126" s="177"/>
      <c r="J126" s="178"/>
    </row>
    <row r="127" spans="1:10" s="2" customFormat="1" ht="14.25">
      <c r="A127" s="2" t="s">
        <v>65</v>
      </c>
      <c r="H127" s="134">
        <v>0</v>
      </c>
      <c r="I127" s="135"/>
      <c r="J127" s="136"/>
    </row>
    <row r="128" spans="8:10" s="2" customFormat="1" ht="14.25">
      <c r="H128" s="134"/>
      <c r="I128" s="135"/>
      <c r="J128" s="136"/>
    </row>
    <row r="129" spans="1:10" s="2" customFormat="1" ht="14.25">
      <c r="A129" s="2" t="s">
        <v>66</v>
      </c>
      <c r="H129" s="134">
        <v>0</v>
      </c>
      <c r="I129" s="135"/>
      <c r="J129" s="136"/>
    </row>
    <row r="130" spans="1:10" s="2" customFormat="1" ht="14.25">
      <c r="A130" s="2" t="s">
        <v>67</v>
      </c>
      <c r="H130" s="134">
        <v>0</v>
      </c>
      <c r="I130" s="135"/>
      <c r="J130" s="136"/>
    </row>
    <row r="131" spans="1:13" s="2" customFormat="1" ht="14.25">
      <c r="A131" s="2" t="s">
        <v>68</v>
      </c>
      <c r="H131" s="175">
        <v>0</v>
      </c>
      <c r="I131" s="159"/>
      <c r="J131" s="160"/>
      <c r="K131" s="1"/>
      <c r="L131" s="1"/>
      <c r="M131" s="1"/>
    </row>
    <row r="132" spans="11:13" s="2" customFormat="1" ht="14.25">
      <c r="K132" s="1"/>
      <c r="L132" s="1"/>
      <c r="M132" s="1"/>
    </row>
    <row r="133" s="2" customFormat="1" ht="15">
      <c r="A133" s="5" t="s">
        <v>69</v>
      </c>
    </row>
    <row r="134" spans="1:10" s="2" customFormat="1" ht="14.25">
      <c r="A134" s="2" t="s">
        <v>102</v>
      </c>
      <c r="H134" s="176">
        <v>0</v>
      </c>
      <c r="I134" s="177"/>
      <c r="J134" s="178"/>
    </row>
    <row r="135" spans="1:10" s="2" customFormat="1" ht="14.25">
      <c r="A135" s="2" t="s">
        <v>103</v>
      </c>
      <c r="H135" s="134">
        <v>0</v>
      </c>
      <c r="I135" s="135"/>
      <c r="J135" s="136"/>
    </row>
    <row r="136" spans="1:10" s="2" customFormat="1" ht="14.25">
      <c r="A136" s="2" t="s">
        <v>104</v>
      </c>
      <c r="H136" s="134">
        <v>0</v>
      </c>
      <c r="I136" s="135"/>
      <c r="J136" s="136"/>
    </row>
    <row r="137" spans="1:10" s="2" customFormat="1" ht="14.25">
      <c r="A137" s="2" t="s">
        <v>105</v>
      </c>
      <c r="H137" s="134">
        <v>0</v>
      </c>
      <c r="I137" s="135"/>
      <c r="J137" s="136"/>
    </row>
    <row r="138" spans="1:10" s="2" customFormat="1" ht="14.25">
      <c r="A138" s="2" t="s">
        <v>106</v>
      </c>
      <c r="H138" s="134">
        <v>0</v>
      </c>
      <c r="I138" s="135"/>
      <c r="J138" s="136"/>
    </row>
    <row r="139" spans="1:10" s="2" customFormat="1" ht="14.25">
      <c r="A139" s="2" t="s">
        <v>70</v>
      </c>
      <c r="H139" s="134">
        <v>0</v>
      </c>
      <c r="I139" s="135"/>
      <c r="J139" s="136"/>
    </row>
    <row r="140" spans="1:10" s="2" customFormat="1" ht="14.25">
      <c r="A140" s="2" t="s">
        <v>71</v>
      </c>
      <c r="H140" s="134">
        <v>0</v>
      </c>
      <c r="I140" s="135"/>
      <c r="J140" s="136"/>
    </row>
    <row r="141" spans="1:10" s="2" customFormat="1" ht="14.25">
      <c r="A141" s="2" t="s">
        <v>72</v>
      </c>
      <c r="H141" s="175">
        <v>0</v>
      </c>
      <c r="I141" s="159"/>
      <c r="J141" s="160"/>
    </row>
    <row r="142" s="2" customFormat="1" ht="14.25"/>
  </sheetData>
  <mergeCells count="132">
    <mergeCell ref="N121:P121"/>
    <mergeCell ref="H121:J121"/>
    <mergeCell ref="K121:M121"/>
    <mergeCell ref="H87:J87"/>
    <mergeCell ref="H88:J88"/>
    <mergeCell ref="H89:J89"/>
    <mergeCell ref="H113:J113"/>
    <mergeCell ref="H103:J103"/>
    <mergeCell ref="H104:J104"/>
    <mergeCell ref="H105:J105"/>
    <mergeCell ref="H111:J111"/>
    <mergeCell ref="H110:J110"/>
    <mergeCell ref="H102:J102"/>
    <mergeCell ref="K111:M111"/>
    <mergeCell ref="K110:M110"/>
    <mergeCell ref="H54:J54"/>
    <mergeCell ref="H56:J56"/>
    <mergeCell ref="H62:J62"/>
    <mergeCell ref="H73:J73"/>
    <mergeCell ref="H68:J68"/>
    <mergeCell ref="H67:J67"/>
    <mergeCell ref="H118:J118"/>
    <mergeCell ref="K117:M117"/>
    <mergeCell ref="K118:M118"/>
    <mergeCell ref="H116:J116"/>
    <mergeCell ref="H117:J117"/>
    <mergeCell ref="AO32:AQ32"/>
    <mergeCell ref="K56:M56"/>
    <mergeCell ref="H57:J57"/>
    <mergeCell ref="H49:J49"/>
    <mergeCell ref="H50:J50"/>
    <mergeCell ref="H51:J51"/>
    <mergeCell ref="H52:J52"/>
    <mergeCell ref="H53:J53"/>
    <mergeCell ref="H55:J55"/>
    <mergeCell ref="K38:M38"/>
    <mergeCell ref="H130:J130"/>
    <mergeCell ref="H131:J131"/>
    <mergeCell ref="H126:J126"/>
    <mergeCell ref="H127:J127"/>
    <mergeCell ref="H128:J128"/>
    <mergeCell ref="H129:J129"/>
    <mergeCell ref="H141:J141"/>
    <mergeCell ref="H134:J134"/>
    <mergeCell ref="H135:J135"/>
    <mergeCell ref="H136:J136"/>
    <mergeCell ref="H137:J137"/>
    <mergeCell ref="H138:J138"/>
    <mergeCell ref="H139:J139"/>
    <mergeCell ref="H140:J140"/>
    <mergeCell ref="K115:M115"/>
    <mergeCell ref="K116:M116"/>
    <mergeCell ref="H112:J112"/>
    <mergeCell ref="H114:J114"/>
    <mergeCell ref="H115:J115"/>
    <mergeCell ref="K112:M112"/>
    <mergeCell ref="K113:M113"/>
    <mergeCell ref="K114:M114"/>
    <mergeCell ref="H98:J98"/>
    <mergeCell ref="H99:J99"/>
    <mergeCell ref="H92:J92"/>
    <mergeCell ref="H93:J93"/>
    <mergeCell ref="H94:J94"/>
    <mergeCell ref="H95:J95"/>
    <mergeCell ref="H96:J96"/>
    <mergeCell ref="H97:J97"/>
    <mergeCell ref="H86:J86"/>
    <mergeCell ref="H77:J77"/>
    <mergeCell ref="H58:J58"/>
    <mergeCell ref="H59:J59"/>
    <mergeCell ref="H60:J60"/>
    <mergeCell ref="H61:J61"/>
    <mergeCell ref="H79:J79"/>
    <mergeCell ref="H65:J65"/>
    <mergeCell ref="H63:J63"/>
    <mergeCell ref="H64:J64"/>
    <mergeCell ref="H81:J81"/>
    <mergeCell ref="H82:J82"/>
    <mergeCell ref="H83:J83"/>
    <mergeCell ref="H71:J71"/>
    <mergeCell ref="H72:J72"/>
    <mergeCell ref="H74:J74"/>
    <mergeCell ref="H78:J78"/>
    <mergeCell ref="H80:J80"/>
    <mergeCell ref="K39:M39"/>
    <mergeCell ref="K40:M40"/>
    <mergeCell ref="K41:M41"/>
    <mergeCell ref="K43:M43"/>
    <mergeCell ref="K44:M44"/>
    <mergeCell ref="K45:M45"/>
    <mergeCell ref="H42:J42"/>
    <mergeCell ref="H43:J43"/>
    <mergeCell ref="H44:J44"/>
    <mergeCell ref="H45:J45"/>
    <mergeCell ref="K42:M42"/>
    <mergeCell ref="H41:J41"/>
    <mergeCell ref="H34:J34"/>
    <mergeCell ref="H35:J35"/>
    <mergeCell ref="H36:J36"/>
    <mergeCell ref="H37:J37"/>
    <mergeCell ref="H38:J38"/>
    <mergeCell ref="H39:J39"/>
    <mergeCell ref="H40:J40"/>
    <mergeCell ref="K22:M22"/>
    <mergeCell ref="H31:J31"/>
    <mergeCell ref="H22:J22"/>
    <mergeCell ref="K25:M25"/>
    <mergeCell ref="K26:M26"/>
    <mergeCell ref="K27:M27"/>
    <mergeCell ref="H27:J27"/>
    <mergeCell ref="H28:J28"/>
    <mergeCell ref="K24:M24"/>
    <mergeCell ref="K30:M30"/>
    <mergeCell ref="K29:M29"/>
    <mergeCell ref="H23:J23"/>
    <mergeCell ref="K23:M23"/>
    <mergeCell ref="H24:J24"/>
    <mergeCell ref="H25:J25"/>
    <mergeCell ref="H32:J32"/>
    <mergeCell ref="H33:J33"/>
    <mergeCell ref="K35:M35"/>
    <mergeCell ref="K36:M36"/>
    <mergeCell ref="M63:O63"/>
    <mergeCell ref="K33:M33"/>
    <mergeCell ref="H26:J26"/>
    <mergeCell ref="H30:J30"/>
    <mergeCell ref="K28:M28"/>
    <mergeCell ref="K37:M37"/>
    <mergeCell ref="K31:M31"/>
    <mergeCell ref="H29:J29"/>
    <mergeCell ref="K34:M34"/>
    <mergeCell ref="K32:M32"/>
  </mergeCells>
  <printOptions/>
  <pageMargins left="0.7480314960629921" right="0.7480314960629921" top="0.72" bottom="0.3937007874015748" header="0.5118110236220472" footer="0.5118110236220472"/>
  <pageSetup fitToHeight="2" horizontalDpi="600" verticalDpi="600" orientation="portrait" paperSize="9" scale="45" r:id="rId1"/>
  <headerFooter alignWithMargins="0">
    <oddFooter>&amp;Lo:\inv\excel\Flexible No1\&amp;F</oddFooter>
  </headerFooter>
  <rowBreaks count="1" manualBreakCount="1">
    <brk id="106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38807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0.0459188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38273552.8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2776698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35496854.8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0.1286118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0.8705848702919474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0.6761162400224823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48.36</v>
      </c>
      <c r="I33" s="198"/>
      <c r="J33" s="199"/>
      <c r="K33" s="197">
        <v>417.46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38807</v>
      </c>
      <c r="I38" s="156"/>
      <c r="J38" s="157"/>
      <c r="K38" s="151">
        <f>H38</f>
        <v>38807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213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62273540.19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59496831.81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325559.08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3432809.49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656088.07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2048036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1384773.49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2776698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0.5350692595657296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0.39465288026047585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0.1404163793052537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214</v>
      </c>
      <c r="B60" s="2"/>
      <c r="C60" s="2"/>
      <c r="D60" s="2"/>
      <c r="E60" s="58"/>
      <c r="F60" s="2"/>
      <c r="G60" s="2"/>
      <c r="H60" s="202">
        <f>325559.08-158320.85-110516.81</f>
        <v>56721.42000000001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215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216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285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4978.81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955.48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955.48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217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57524453.95</v>
      </c>
      <c r="I104" s="192"/>
      <c r="J104" s="193"/>
      <c r="K104" s="211">
        <v>1193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1465820.49</v>
      </c>
      <c r="I105" s="192"/>
      <c r="J105" s="193"/>
      <c r="K105" s="211">
        <v>14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142080.09</v>
      </c>
      <c r="I106" s="192"/>
      <c r="J106" s="193"/>
      <c r="K106" s="211">
        <v>1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8017.96</v>
      </c>
      <c r="I107" s="192"/>
      <c r="J107" s="193"/>
      <c r="K107" s="211">
        <v>2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45494.7</v>
      </c>
      <c r="I108" s="192"/>
      <c r="J108" s="193"/>
      <c r="K108" s="211"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4761.85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306202.77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59496831.81000002</v>
      </c>
      <c r="J112" s="18"/>
      <c r="K112" s="19"/>
      <c r="L112" s="18">
        <f>SUM(K104:M111)</f>
        <v>1219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0.5644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0.5222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38835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0.0462531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35496854.8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1221824.3999999985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34275030.4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0.1241849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0.4130476596478622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0.7002181973265296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55.41</v>
      </c>
      <c r="I33" s="198"/>
      <c r="J33" s="199"/>
      <c r="K33" s="197">
        <v>495.03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38835</v>
      </c>
      <c r="I38" s="156"/>
      <c r="J38" s="157"/>
      <c r="K38" s="151">
        <f>H38</f>
        <v>38835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218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59496831.81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58275011.71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314207.54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1619426.22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419535.6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680050.71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939375.51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1221824.3999999985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0.24200763304475525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0.13716038773392963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0.10484724531082557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219</v>
      </c>
      <c r="B60" s="2"/>
      <c r="C60" s="2"/>
      <c r="D60" s="2"/>
      <c r="E60" s="58"/>
      <c r="F60" s="2"/>
      <c r="G60" s="2"/>
      <c r="H60" s="202">
        <f>314207.54-142609.56-107412.82</f>
        <v>64185.159999999974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220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221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285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4880.72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924.66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924.66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222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f>56299947.58-21952</f>
        <v>56277995.58</v>
      </c>
      <c r="I104" s="192"/>
      <c r="J104" s="193"/>
      <c r="K104" s="211">
        <v>1193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1053182.63</v>
      </c>
      <c r="I105" s="192"/>
      <c r="J105" s="193"/>
      <c r="K105" s="211">
        <v>8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517275.77</v>
      </c>
      <c r="I106" s="192"/>
      <c r="J106" s="193"/>
      <c r="K106" s="211">
        <v>4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5926.58</v>
      </c>
      <c r="I107" s="192"/>
      <c r="J107" s="193"/>
      <c r="K107" s="211">
        <v>1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39825.55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72603.11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308202.96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58275012.18</v>
      </c>
      <c r="J112" s="18"/>
      <c r="K112" s="19"/>
      <c r="L112" s="18">
        <f>SUM(K104:M111)</f>
        <v>1214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0.5629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0.5211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38868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0.0465688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34275030.4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2838880.799999997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31436149.6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0.1138991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0.9939179981004471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0.7634522772470836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46.5</v>
      </c>
      <c r="I33" s="198"/>
      <c r="J33" s="199"/>
      <c r="K33" s="197">
        <v>452.62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38868</v>
      </c>
      <c r="I38" s="156"/>
      <c r="J38" s="157"/>
      <c r="K38" s="151">
        <f>H38</f>
        <v>38868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223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58275011.71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55436148.47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301725.79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4185937.57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1347055.64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3066757.65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1119179.92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2838880.799999997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0.5845830341404147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0.6315072398979017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-0.046924205757486924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224</v>
      </c>
      <c r="B60" s="2"/>
      <c r="C60" s="2"/>
      <c r="D60" s="2"/>
      <c r="E60" s="58"/>
      <c r="F60" s="2"/>
      <c r="G60" s="2"/>
      <c r="H60" s="202">
        <f>301725.79-143306.73-111627.51</f>
        <v>46791.549999999974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225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226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285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4642.84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587.5+862.5+750</f>
        <v>2200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955.48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955.48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227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54065635.06</v>
      </c>
      <c r="I104" s="192"/>
      <c r="J104" s="193"/>
      <c r="K104" s="211">
        <v>1134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658643.75</v>
      </c>
      <c r="I105" s="192"/>
      <c r="J105" s="193"/>
      <c r="K105" s="211">
        <v>6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287612.82</v>
      </c>
      <c r="I106" s="192"/>
      <c r="J106" s="193"/>
      <c r="K106" s="211">
        <v>3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214637.98</v>
      </c>
      <c r="I107" s="192"/>
      <c r="J107" s="193"/>
      <c r="K107" s="211">
        <v>2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6016.2+39497.34</f>
        <v>45513.53999999999</v>
      </c>
      <c r="I108" s="192"/>
      <c r="J108" s="193"/>
      <c r="K108" s="211">
        <f>1+1</f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4754.83</v>
      </c>
      <c r="I109" s="192"/>
      <c r="J109" s="193"/>
      <c r="K109" s="211">
        <v>1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159350.49</v>
      </c>
      <c r="I111" s="192"/>
      <c r="J111" s="193"/>
      <c r="K111" s="211">
        <v>4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55436148.47</v>
      </c>
      <c r="J112" s="18"/>
      <c r="K112" s="19"/>
      <c r="L112" s="18">
        <f>SUM(K104:M111)</f>
        <v>1152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25">
        <v>0.5589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26">
        <v>0.5172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38898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0.046835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78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31436149.6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1931917.200000003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29504232.4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0.1068994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0.7374632928964059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0.8134426164566139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45.34</v>
      </c>
      <c r="I33" s="198"/>
      <c r="J33" s="199"/>
      <c r="K33" s="197">
        <v>469.97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38898</v>
      </c>
      <c r="I38" s="156"/>
      <c r="J38" s="157"/>
      <c r="K38" s="151">
        <f>H38</f>
        <v>38898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232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55436148.47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53504211.38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292350.25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2551407.7800000003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619469.56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1483123.23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1068284.55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1931917.200000003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0.41819749892159136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0.32104464778304975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0.0971528511385416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228</v>
      </c>
      <c r="B60" s="2"/>
      <c r="C60" s="2"/>
      <c r="D60" s="2"/>
      <c r="E60" s="58"/>
      <c r="F60" s="2"/>
      <c r="G60" s="2"/>
      <c r="H60" s="202">
        <f>292350.25-128098.72-108646.32</f>
        <v>55605.20999999999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229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230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201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4494.28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587.5+862.5+834</f>
        <v>2284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924.66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924.66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51871855.59</v>
      </c>
      <c r="I104" s="192"/>
      <c r="J104" s="193"/>
      <c r="K104" s="211">
        <v>1106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1062785.55</v>
      </c>
      <c r="I105" s="192"/>
      <c r="J105" s="193"/>
      <c r="K105" s="211">
        <v>8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306399.08</v>
      </c>
      <c r="I106" s="192"/>
      <c r="J106" s="193"/>
      <c r="K106" s="211">
        <v>2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72807.15</v>
      </c>
      <c r="I107" s="192"/>
      <c r="J107" s="193"/>
      <c r="K107" s="211">
        <v>1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39450.44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0</v>
      </c>
      <c r="I109" s="192"/>
      <c r="J109" s="193"/>
      <c r="K109" s="211">
        <v>0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150913.57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53504211.379999995</v>
      </c>
      <c r="J112" s="18"/>
      <c r="K112" s="19"/>
      <c r="L112" s="18">
        <f>SUM(K104:M111)</f>
        <v>1123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0.5594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0.5211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38929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0.0468688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78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29504232.4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2114298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27389934.4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0.0992389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0.859930048544493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0.8762343001449467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42.12</v>
      </c>
      <c r="I33" s="198"/>
      <c r="J33" s="199"/>
      <c r="K33" s="197">
        <v>470.26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38929</v>
      </c>
      <c r="I38" s="156"/>
      <c r="J38" s="157"/>
      <c r="K38" s="151">
        <f>H38</f>
        <v>38929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233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53504211.38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51389916.42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278021.98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2651389.1100000003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537072.7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212">
        <v>1585939</v>
      </c>
      <c r="I49" s="213"/>
      <c r="J49" s="214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1065450.11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2114298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0.47420186683629983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0.35569663600562723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0.11850523083067263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234</v>
      </c>
      <c r="B60" s="2"/>
      <c r="C60" s="2"/>
      <c r="D60" s="2"/>
      <c r="E60" s="58"/>
      <c r="F60" s="2"/>
      <c r="G60" s="2"/>
      <c r="H60" s="202">
        <f>278021.98-124851.72-112795.04</f>
        <v>40375.21999999999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235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236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201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4317.08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587.5+862.5+834</f>
        <v>2284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955.48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955.48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237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49507183.78</v>
      </c>
      <c r="I104" s="192"/>
      <c r="J104" s="193"/>
      <c r="K104" s="211">
        <v>1091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695309.36</v>
      </c>
      <c r="I105" s="192"/>
      <c r="J105" s="193"/>
      <c r="K105" s="211">
        <v>6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641791.24</v>
      </c>
      <c r="I106" s="192"/>
      <c r="J106" s="193"/>
      <c r="K106" s="211">
        <v>6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356704.55</v>
      </c>
      <c r="I107" s="192"/>
      <c r="J107" s="193"/>
      <c r="K107" s="211">
        <v>3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39403.18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0</v>
      </c>
      <c r="I109" s="192"/>
      <c r="J109" s="193"/>
      <c r="K109" s="211">
        <v>0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149524.31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51389916.42</v>
      </c>
      <c r="J112" s="18"/>
      <c r="K112" s="19"/>
      <c r="L112" s="18">
        <f>SUM(K104:M111)</f>
        <v>1112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5">
        <v>0.5588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6">
        <v>0.5175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 t="s">
        <v>243</v>
      </c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38960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0.0492125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78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27389934.4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1516896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25873038.4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0.0937429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0.6645781524763346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0.9276065543194958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38.96</v>
      </c>
      <c r="I33" s="198"/>
      <c r="J33" s="199"/>
      <c r="K33" s="197">
        <v>458.54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38960</v>
      </c>
      <c r="I38" s="156"/>
      <c r="J38" s="157"/>
      <c r="K38" s="151">
        <f>H38</f>
        <v>38960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238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51389916.42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49873027.68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270701.27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2190739.0300000003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673832.67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212">
        <v>1345589</v>
      </c>
      <c r="I49" s="213"/>
      <c r="J49" s="214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845150.03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1516896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0.3542110512737822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0.3142069325046783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0.04000411876910384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239</v>
      </c>
      <c r="B60" s="2"/>
      <c r="C60" s="2"/>
      <c r="D60" s="2"/>
      <c r="E60" s="58"/>
      <c r="F60" s="2"/>
      <c r="G60" s="2"/>
      <c r="H60" s="202">
        <v>41476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240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241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201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4193.74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587.5+862.5+834</f>
        <v>2284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955.48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955.48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242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48073917.57</v>
      </c>
      <c r="I104" s="192"/>
      <c r="J104" s="193"/>
      <c r="K104" s="191">
        <v>1066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1036752.45</v>
      </c>
      <c r="I105" s="192"/>
      <c r="J105" s="193"/>
      <c r="K105" s="211">
        <v>7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211911.55</v>
      </c>
      <c r="I106" s="192"/>
      <c r="J106" s="193"/>
      <c r="K106" s="211">
        <v>2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234830.85</v>
      </c>
      <c r="I107" s="192"/>
      <c r="J107" s="193"/>
      <c r="K107" s="211">
        <v>2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39355.57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0</v>
      </c>
      <c r="I109" s="192"/>
      <c r="J109" s="193"/>
      <c r="K109" s="211">
        <v>0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276259.69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49873027.68</v>
      </c>
      <c r="J112" s="18"/>
      <c r="K112" s="19"/>
      <c r="L112" s="18">
        <f>SUM(K104:M111)</f>
        <v>1083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5">
        <v>0.5584</v>
      </c>
      <c r="P115" s="67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6">
        <v>0.5192</v>
      </c>
      <c r="P116" s="68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 t="s">
        <v>243</v>
      </c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38990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0.0495813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78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25873038.4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1522222.799999997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24350815.6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0.0882276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0.7060119232072861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0.9855932710524898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40.75</v>
      </c>
      <c r="I33" s="198"/>
      <c r="J33" s="199"/>
      <c r="K33" s="197">
        <v>509.21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38990</v>
      </c>
      <c r="I38" s="156"/>
      <c r="J38" s="157"/>
      <c r="K38" s="151">
        <f>H38</f>
        <v>38990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248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49873027.68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48350813.76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283025.81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2052014.55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529789.91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1389464.1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662550.45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1522222.799999997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0.36626402145072257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0.33432037266681547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0.03194364878390714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244</v>
      </c>
      <c r="B60" s="2"/>
      <c r="C60" s="2"/>
      <c r="D60" s="2"/>
      <c r="E60" s="58"/>
      <c r="F60" s="2"/>
      <c r="G60" s="2"/>
      <c r="H60" s="202">
        <f>283025.81-110851.06-113892.94</f>
        <v>58281.81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245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246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201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4063.31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587.5+862.5+834</f>
        <v>2284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893.84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893.84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247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46627569.72</v>
      </c>
      <c r="I104" s="192"/>
      <c r="J104" s="193"/>
      <c r="K104" s="191">
        <v>1028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902496.68</v>
      </c>
      <c r="I105" s="192"/>
      <c r="J105" s="193"/>
      <c r="K105" s="211">
        <v>8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341493.04</v>
      </c>
      <c r="I106" s="192"/>
      <c r="J106" s="193"/>
      <c r="K106" s="211">
        <v>2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161620.37</v>
      </c>
      <c r="I107" s="192"/>
      <c r="J107" s="193"/>
      <c r="K107" s="211">
        <v>1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39307.7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0</v>
      </c>
      <c r="I109" s="192"/>
      <c r="J109" s="193"/>
      <c r="K109" s="211">
        <v>0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278326.25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48350813.76</v>
      </c>
      <c r="J112" s="18"/>
      <c r="K112" s="19"/>
      <c r="L112" s="18">
        <f>SUM(K104:M111)</f>
        <v>1045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0.5584</v>
      </c>
      <c r="P115" s="67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0.5199</v>
      </c>
      <c r="P116" s="68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5.57421875" style="55" bestFit="1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 t="s">
        <v>243</v>
      </c>
      <c r="J5" s="4"/>
      <c r="K5" s="4"/>
      <c r="L5" s="4"/>
      <c r="M5" s="4"/>
      <c r="N5" s="4"/>
      <c r="O5" s="4"/>
      <c r="P5" s="4"/>
      <c r="Q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39021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78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24350816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24350816</v>
      </c>
      <c r="I24" s="135"/>
      <c r="J24" s="136"/>
      <c r="K24" s="137">
        <v>24000000</v>
      </c>
      <c r="L24" s="138"/>
      <c r="M24" s="139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0</v>
      </c>
      <c r="I25" s="192"/>
      <c r="J25" s="193"/>
      <c r="K25" s="137">
        <v>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</v>
      </c>
      <c r="I26" s="195"/>
      <c r="J26" s="196"/>
      <c r="K26" s="131">
        <v>0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v>1</v>
      </c>
      <c r="I27" s="130"/>
      <c r="J27" s="147"/>
      <c r="K27" s="140">
        <v>1</v>
      </c>
      <c r="L27" s="130"/>
      <c r="M27" s="147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 t="e">
        <f>K25/H25*100%</f>
        <v>#DIV/0!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0</v>
      </c>
      <c r="I33" s="198"/>
      <c r="J33" s="199"/>
      <c r="K33" s="197">
        <v>0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39021</v>
      </c>
      <c r="I38" s="156"/>
      <c r="J38" s="157"/>
      <c r="K38" s="151">
        <f>H38</f>
        <v>39021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249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48350814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0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218">
        <v>0</v>
      </c>
      <c r="I44" s="221"/>
      <c r="J44" s="222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2052014.55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218">
        <v>529789.91</v>
      </c>
      <c r="I47" s="219"/>
      <c r="J47" s="220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218">
        <v>1389464.1</v>
      </c>
      <c r="I49" s="219"/>
      <c r="J49" s="220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218">
        <v>662550.45</v>
      </c>
      <c r="I50" s="219"/>
      <c r="J50" s="220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24350816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7">
        <f>+K23</f>
        <v>24000000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0.3777949980325047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0.34484567726202087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0.032949320770483806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250</v>
      </c>
      <c r="B60" s="2"/>
      <c r="C60" s="2"/>
      <c r="D60" s="2"/>
      <c r="E60" s="58"/>
      <c r="F60" s="2"/>
      <c r="G60" s="2"/>
      <c r="H60" s="215">
        <v>0</v>
      </c>
      <c r="I60" s="216"/>
      <c r="J60" s="217"/>
      <c r="K60" s="2"/>
      <c r="L60" s="2"/>
      <c r="M60" s="2"/>
      <c r="N60" s="2"/>
      <c r="O60" s="2"/>
      <c r="P60" s="2"/>
      <c r="Q60" s="2"/>
    </row>
    <row r="61" spans="1:17" ht="15">
      <c r="A61" s="59" t="s">
        <v>251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252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201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4063.31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v>1296.5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924.66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9000000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7">
        <v>-9000000</v>
      </c>
      <c r="I73" s="138"/>
      <c r="J73" s="139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924.66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-500000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-6000000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253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0</v>
      </c>
      <c r="I104" s="192"/>
      <c r="J104" s="193"/>
      <c r="K104" s="191">
        <v>0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0</v>
      </c>
      <c r="I105" s="192"/>
      <c r="J105" s="193"/>
      <c r="K105" s="211">
        <v>0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0</v>
      </c>
      <c r="I106" s="192"/>
      <c r="J106" s="193"/>
      <c r="K106" s="211">
        <v>0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0</v>
      </c>
      <c r="I107" s="192"/>
      <c r="J107" s="193"/>
      <c r="K107" s="211">
        <v>0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0</v>
      </c>
      <c r="I108" s="192"/>
      <c r="J108" s="193"/>
      <c r="K108" s="211">
        <v>0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0</v>
      </c>
      <c r="I109" s="192"/>
      <c r="J109" s="193"/>
      <c r="K109" s="211">
        <v>0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0</v>
      </c>
      <c r="I111" s="192"/>
      <c r="J111" s="193"/>
      <c r="K111" s="211">
        <v>0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0</v>
      </c>
      <c r="J112" s="18"/>
      <c r="K112" s="19"/>
      <c r="L112" s="18">
        <f>SUM(K104:M111)</f>
        <v>0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</v>
      </c>
      <c r="P115" s="67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</v>
      </c>
      <c r="P116" s="68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1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7109375" style="55" bestFit="1" customWidth="1"/>
    <col min="10" max="11" width="9.140625" style="55" customWidth="1"/>
    <col min="12" max="12" width="10.421875" style="55" bestFit="1" customWidth="1"/>
    <col min="13" max="14" width="9.140625" style="55" customWidth="1"/>
    <col min="15" max="15" width="10.57421875" style="55" bestFit="1" customWidth="1"/>
    <col min="16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9">
        <v>38291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10">
        <v>0.0483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37">
        <v>102998949.6</v>
      </c>
      <c r="I23" s="138"/>
      <c r="J23" s="139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6358156.799999997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37">
        <v>96640792.8</v>
      </c>
      <c r="I25" s="138"/>
      <c r="J25" s="139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41">
        <v>0.3501478</v>
      </c>
      <c r="I26" s="142"/>
      <c r="J26" s="143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0.7407636863900597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0.24834233354923388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48">
        <v>157.36</v>
      </c>
      <c r="I33" s="149"/>
      <c r="J33" s="150"/>
      <c r="K33" s="148">
        <v>496.61</v>
      </c>
      <c r="L33" s="149"/>
      <c r="M33" s="150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38291</v>
      </c>
      <c r="I38" s="156"/>
      <c r="J38" s="157"/>
      <c r="K38" s="151">
        <f>H38</f>
        <v>38291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" t="s">
        <v>128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37">
        <v>126998948.26</v>
      </c>
      <c r="I42" s="138"/>
      <c r="J42" s="139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37">
        <v>120640768.38</v>
      </c>
      <c r="I43" s="138"/>
      <c r="J43" s="139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37">
        <v>659629.04</v>
      </c>
      <c r="I44" s="138"/>
      <c r="J44" s="139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7587997.35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37">
        <v>1133144.57</v>
      </c>
      <c r="I47" s="135"/>
      <c r="J47" s="136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37">
        <v>5302870</v>
      </c>
      <c r="I49" s="135"/>
      <c r="J49" s="136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37">
        <v>2285127.35</v>
      </c>
      <c r="I50" s="135"/>
      <c r="J50" s="136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37">
        <v>96671.31</v>
      </c>
      <c r="I51" s="138"/>
      <c r="J51" s="139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6358156.799999997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0.6099124002304551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0.5010627321867556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0.10884966804369975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7" t="s">
        <v>129</v>
      </c>
      <c r="B60" s="2"/>
      <c r="C60" s="2"/>
      <c r="D60" s="2"/>
      <c r="E60" s="2"/>
      <c r="F60" s="2"/>
      <c r="G60" s="2"/>
      <c r="H60" s="182">
        <v>96976</v>
      </c>
      <c r="I60" s="183"/>
      <c r="J60" s="184"/>
      <c r="K60" s="2"/>
      <c r="L60" s="2"/>
      <c r="M60" s="2"/>
      <c r="N60" s="2"/>
      <c r="O60" s="2"/>
      <c r="P60" s="2"/>
      <c r="Q60" s="2"/>
    </row>
    <row r="61" spans="1:17" ht="15">
      <c r="A61" s="7" t="s">
        <v>130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" t="s">
        <v>131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161">
        <v>250</v>
      </c>
      <c r="I64" s="162"/>
      <c r="J64" s="163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48">
        <v>10116.55</v>
      </c>
      <c r="I65" s="149"/>
      <c r="J65" s="150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48">
        <f>1175+375+275+850</f>
        <v>2675</v>
      </c>
      <c r="I66" s="149"/>
      <c r="J66" s="150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164">
        <v>4764.35</v>
      </c>
      <c r="I67" s="165"/>
      <c r="J67" s="166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4764.35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8" t="s">
        <v>132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37">
        <v>118306179.3</v>
      </c>
      <c r="I104" s="138"/>
      <c r="J104" s="139"/>
      <c r="K104" s="134">
        <v>2043</v>
      </c>
      <c r="L104" s="135"/>
      <c r="M104" s="136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37">
        <v>545397.47</v>
      </c>
      <c r="I105" s="138"/>
      <c r="J105" s="139"/>
      <c r="K105" s="134">
        <v>8</v>
      </c>
      <c r="L105" s="135"/>
      <c r="M105" s="136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37">
        <v>507491</v>
      </c>
      <c r="I106" s="138"/>
      <c r="J106" s="139"/>
      <c r="K106" s="134">
        <v>4</v>
      </c>
      <c r="L106" s="135"/>
      <c r="M106" s="136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37">
        <v>919960.14</v>
      </c>
      <c r="I107" s="138"/>
      <c r="J107" s="139"/>
      <c r="K107" s="134">
        <v>8</v>
      </c>
      <c r="L107" s="135"/>
      <c r="M107" s="136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37">
        <f>135163.25+12246.65</f>
        <v>147409.9</v>
      </c>
      <c r="I108" s="138"/>
      <c r="J108" s="139"/>
      <c r="K108" s="134">
        <f>3+2</f>
        <v>5</v>
      </c>
      <c r="L108" s="135"/>
      <c r="M108" s="136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37">
        <v>957.15</v>
      </c>
      <c r="I109" s="138"/>
      <c r="J109" s="139"/>
      <c r="K109" s="134">
        <v>1</v>
      </c>
      <c r="L109" s="135"/>
      <c r="M109" s="136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37">
        <v>0</v>
      </c>
      <c r="I110" s="138"/>
      <c r="J110" s="139"/>
      <c r="K110" s="134">
        <v>0</v>
      </c>
      <c r="L110" s="135"/>
      <c r="M110" s="136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37">
        <v>213373.42</v>
      </c>
      <c r="I111" s="138"/>
      <c r="J111" s="139"/>
      <c r="K111" s="134">
        <v>5</v>
      </c>
      <c r="L111" s="135"/>
      <c r="M111" s="136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120640768.38000001</v>
      </c>
      <c r="J112" s="18"/>
      <c r="K112" s="19"/>
      <c r="L112" s="18">
        <f>SUM(K104:M111)</f>
        <v>2074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25">
        <v>0.6066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26">
        <v>0.5871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9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7109375" style="55" bestFit="1" customWidth="1"/>
    <col min="10" max="11" width="9.140625" style="55" customWidth="1"/>
    <col min="12" max="12" width="10.421875" style="55" bestFit="1" customWidth="1"/>
    <col min="13" max="14" width="9.140625" style="55" customWidth="1"/>
    <col min="15" max="15" width="10.57421875" style="55" bestFit="1" customWidth="1"/>
    <col min="16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38321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0.0482125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96640793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6087154.599999994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90553638.4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0.3280929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0.7558490874552316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0.26503628594121736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142.59</v>
      </c>
      <c r="I33" s="198"/>
      <c r="J33" s="199"/>
      <c r="K33" s="197">
        <v>480.35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38321</v>
      </c>
      <c r="I38" s="156"/>
      <c r="J38" s="157"/>
      <c r="K38" s="151">
        <f>H38</f>
        <v>38321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136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120640768.38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114553611.43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636118.42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7553554.21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1455587.79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5145570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2407984.21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10787.15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6087154.599999994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0.6065577832653389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0.5118239947337444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0.09473378853159456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133</v>
      </c>
      <c r="B60" s="2"/>
      <c r="C60" s="2"/>
      <c r="D60" s="2"/>
      <c r="E60" s="58"/>
      <c r="F60" s="2"/>
      <c r="G60" s="2"/>
      <c r="H60" s="202">
        <f>636118.42-406291.81-111731.51</f>
        <v>118095.10000000005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134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135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9620.38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1175+850+650</f>
        <v>2675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4610.66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4610.66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137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111801054.39</v>
      </c>
      <c r="I104" s="192"/>
      <c r="J104" s="193"/>
      <c r="K104" s="211">
        <v>1956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1422971.82</v>
      </c>
      <c r="I105" s="192"/>
      <c r="J105" s="193"/>
      <c r="K105" s="211">
        <v>18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386030.96</v>
      </c>
      <c r="I106" s="192"/>
      <c r="J106" s="193"/>
      <c r="K106" s="211">
        <v>2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281145.6</v>
      </c>
      <c r="I107" s="192"/>
      <c r="J107" s="193"/>
      <c r="K107" s="211">
        <v>4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2794.38+5863.95</f>
        <v>8658.33</v>
      </c>
      <c r="I108" s="192"/>
      <c r="J108" s="193"/>
      <c r="K108" s="211">
        <f>1+2</f>
        <v>3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907.15</v>
      </c>
      <c r="I109" s="192"/>
      <c r="J109" s="193"/>
      <c r="K109" s="211">
        <v>1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652843.18</v>
      </c>
      <c r="I111" s="192"/>
      <c r="J111" s="193"/>
      <c r="K111" s="211">
        <v>9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114553611.42999999</v>
      </c>
      <c r="J112" s="18"/>
      <c r="K112" s="19"/>
      <c r="L112" s="18">
        <f>SUM(K104:M111)</f>
        <v>1993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0.6029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0.5715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7109375" style="55" bestFit="1" customWidth="1"/>
    <col min="10" max="11" width="9.140625" style="55" customWidth="1"/>
    <col min="12" max="12" width="10.421875" style="55" bestFit="1" customWidth="1"/>
    <col min="13" max="14" width="9.140625" style="55" customWidth="1"/>
    <col min="15" max="15" width="10.57421875" style="55" bestFit="1" customWidth="1"/>
    <col min="16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38352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90553638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5112016.400000006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85441621.6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0.3095711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0.677434923155711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0.280893545213332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135.93</v>
      </c>
      <c r="I33" s="198"/>
      <c r="J33" s="199"/>
      <c r="K33" s="197">
        <v>484.96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38352</v>
      </c>
      <c r="I38" s="156"/>
      <c r="J38" s="157"/>
      <c r="K38" s="151">
        <f>H38</f>
        <v>38352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138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114553611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109441614.27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612264.74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6243990.72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1131965.81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212">
        <v>4656109</v>
      </c>
      <c r="I49" s="213"/>
      <c r="J49" s="214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1587881.72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5112016.400000006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0.5355073348146135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0.4877481164692399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0.04775921834537367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139</v>
      </c>
      <c r="B60" s="2"/>
      <c r="C60" s="2"/>
      <c r="D60" s="2"/>
      <c r="E60" s="58"/>
      <c r="F60" s="2"/>
      <c r="G60" s="2"/>
      <c r="H60" s="202">
        <f>612264.74-392955.44-115319.69</f>
        <v>103989.60999999999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140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141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9157.38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1175+850+650</f>
        <v>2675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4764.34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4764.34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142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107261489.95</v>
      </c>
      <c r="I104" s="192"/>
      <c r="J104" s="193"/>
      <c r="K104" s="211">
        <v>1894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1054196.16</v>
      </c>
      <c r="I105" s="192"/>
      <c r="J105" s="193"/>
      <c r="K105" s="211">
        <v>12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684749.63</v>
      </c>
      <c r="I106" s="192"/>
      <c r="J106" s="193"/>
      <c r="K106" s="211">
        <v>7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241569.76</v>
      </c>
      <c r="I107" s="192"/>
      <c r="J107" s="193"/>
      <c r="K107" s="211">
        <v>3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8785.93</v>
      </c>
      <c r="I108" s="192"/>
      <c r="J108" s="193"/>
      <c r="K108" s="211"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857.15</v>
      </c>
      <c r="I109" s="192"/>
      <c r="J109" s="193"/>
      <c r="K109" s="211">
        <v>1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189965.69</v>
      </c>
      <c r="I111" s="192"/>
      <c r="J111" s="193"/>
      <c r="K111" s="211">
        <v>6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109441614.27000001</v>
      </c>
      <c r="J112" s="18"/>
      <c r="K112" s="19"/>
      <c r="L112" s="18">
        <f>SUM(K104:M111)</f>
        <v>1925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0.5964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0.5616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7109375" style="55" bestFit="1" customWidth="1"/>
    <col min="10" max="11" width="9.140625" style="55" customWidth="1"/>
    <col min="12" max="12" width="10.421875" style="55" bestFit="1" customWidth="1"/>
    <col min="13" max="14" width="9.140625" style="55" customWidth="1"/>
    <col min="15" max="15" width="10.57421875" style="55" bestFit="1" customWidth="1"/>
    <col min="16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38383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0.0483375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85441621.6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3607568.399999991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81834053.2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0.2965002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0.5066713387377926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0.2932764425262514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117</v>
      </c>
      <c r="I33" s="198"/>
      <c r="J33" s="199"/>
      <c r="K33" s="197">
        <v>436.01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38383</v>
      </c>
      <c r="I38" s="156"/>
      <c r="J38" s="157"/>
      <c r="K38" s="151">
        <f>H38</f>
        <v>38383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143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109441614.27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105834028.89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588441.16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4694546.23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1086952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3150128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1544418.23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3607568.399999991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0.3955637080900306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0.34540367713090386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0.050160030959126675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144</v>
      </c>
      <c r="B60" s="2"/>
      <c r="C60" s="2"/>
      <c r="D60" s="2"/>
      <c r="E60" s="58"/>
      <c r="F60" s="2"/>
      <c r="G60" s="2"/>
      <c r="H60" s="202">
        <f>588441.16-374597.51-116373.1</f>
        <v>97470.55000000002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145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146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8858.24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1175+850+750</f>
        <v>2775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4777.4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4777.4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147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103199884.45</v>
      </c>
      <c r="I104" s="192"/>
      <c r="J104" s="193"/>
      <c r="K104" s="211">
        <v>1839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1180397.25</v>
      </c>
      <c r="I105" s="192"/>
      <c r="J105" s="193"/>
      <c r="K105" s="211">
        <v>15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983231.4</v>
      </c>
      <c r="I106" s="192"/>
      <c r="J106" s="193"/>
      <c r="K106" s="211">
        <v>8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311824.08</v>
      </c>
      <c r="I107" s="192"/>
      <c r="J107" s="193"/>
      <c r="K107" s="211">
        <v>5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5909.76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f>2958.45+807.15</f>
        <v>3765.6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149016.35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105834028.89</v>
      </c>
      <c r="J112" s="18"/>
      <c r="K112" s="19"/>
      <c r="L112" s="18">
        <f>SUM(K104:M111)</f>
        <v>1875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0.5936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0.5586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38411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0.0487188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81834053.2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4027833.600000009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77806219.6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0.2819066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0.5906343546478534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0.30845863124289363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124.07</v>
      </c>
      <c r="I33" s="198"/>
      <c r="J33" s="199"/>
      <c r="K33" s="197">
        <v>485.97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38411</v>
      </c>
      <c r="I38" s="156"/>
      <c r="J38" s="157"/>
      <c r="K38" s="151">
        <f>H38</f>
        <v>38411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148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105834028.89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101806212.03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568872.45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5916995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1889153.61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4944269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972726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4027833.600000009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0.45669712461042833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0.5606063439356229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-0.10390921932519469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149</v>
      </c>
      <c r="B60" s="2"/>
      <c r="C60" s="2"/>
      <c r="D60" s="2"/>
      <c r="E60" s="58"/>
      <c r="F60" s="2"/>
      <c r="G60" s="2"/>
      <c r="H60" s="202">
        <v>141771.56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150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151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8513.26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1175+850+750</f>
        <v>2775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4315.07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4315.07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98781620.19</v>
      </c>
      <c r="I104" s="192"/>
      <c r="J104" s="193"/>
      <c r="K104" s="211">
        <v>1780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1444111.19</v>
      </c>
      <c r="I105" s="192"/>
      <c r="J105" s="193"/>
      <c r="K105" s="211">
        <v>18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787117.52</v>
      </c>
      <c r="I106" s="192"/>
      <c r="J106" s="193"/>
      <c r="K106" s="211">
        <v>8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639936.72</v>
      </c>
      <c r="I107" s="192"/>
      <c r="J107" s="193"/>
      <c r="K107" s="211">
        <v>9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5909.76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3844.63</v>
      </c>
      <c r="I109" s="192"/>
      <c r="J109" s="193"/>
      <c r="K109" s="211">
        <v>2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143672.02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101806212.02999999</v>
      </c>
      <c r="J112" s="18"/>
      <c r="K112" s="19"/>
      <c r="L112" s="18">
        <f>SUM(K104:M111)</f>
        <v>1823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0.5906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0.5563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38442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0.0486625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77806219.6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3098127.599999994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74708092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0.2706815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0.4778220994559146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0.3212503405922882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111.32</v>
      </c>
      <c r="I33" s="198"/>
      <c r="J33" s="199"/>
      <c r="K33" s="197">
        <v>454.17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38442</v>
      </c>
      <c r="I38" s="156"/>
      <c r="J38" s="157"/>
      <c r="K38" s="151">
        <f>H38</f>
        <v>38442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153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101806212.03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98708068.69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552670.6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4175188.3200000003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1077038.22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2918516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1256672.32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3098127.599999994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0.36518204988360187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0.3440083989145942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0.021173650969007585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154</v>
      </c>
      <c r="B60" s="2"/>
      <c r="C60" s="2"/>
      <c r="D60" s="2"/>
      <c r="E60" s="58"/>
      <c r="F60" s="2"/>
      <c r="G60" s="2"/>
      <c r="H60" s="202">
        <f>552670.6-341981.56-116629.1</f>
        <v>94059.93999999997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155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156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8254.2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500+850+750</f>
        <v>2100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4777.4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4777.4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157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95598086.02</v>
      </c>
      <c r="I104" s="192"/>
      <c r="J104" s="193"/>
      <c r="K104" s="211">
        <v>1732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1630587.95</v>
      </c>
      <c r="I105" s="192"/>
      <c r="J105" s="193"/>
      <c r="K105" s="211">
        <v>19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556200.91</v>
      </c>
      <c r="I106" s="192"/>
      <c r="J106" s="193"/>
      <c r="K106" s="211">
        <v>3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748642.05</v>
      </c>
      <c r="I107" s="192"/>
      <c r="J107" s="193"/>
      <c r="K107" s="211">
        <v>10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v>5909.76</v>
      </c>
      <c r="I108" s="192"/>
      <c r="J108" s="193"/>
      <c r="K108" s="211">
        <v>1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v>6777.1</v>
      </c>
      <c r="I109" s="192"/>
      <c r="J109" s="193"/>
      <c r="K109" s="211">
        <v>3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161864.9</v>
      </c>
      <c r="I111" s="192"/>
      <c r="J111" s="193"/>
      <c r="K111" s="211">
        <v>5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98708068.69</v>
      </c>
      <c r="J112" s="18"/>
      <c r="K112" s="19"/>
      <c r="L112" s="18">
        <f>SUM(K104:M111)</f>
        <v>1773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0.5882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0.5536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M56:O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5:J95"/>
    <mergeCell ref="H96:J96"/>
    <mergeCell ref="H97:J97"/>
    <mergeCell ref="H98:J98"/>
    <mergeCell ref="H103:J103"/>
    <mergeCell ref="K103:M103"/>
    <mergeCell ref="H104:J104"/>
    <mergeCell ref="K104:M104"/>
    <mergeCell ref="H105:J105"/>
    <mergeCell ref="K105:M105"/>
    <mergeCell ref="H106:J106"/>
    <mergeCell ref="K106:M106"/>
    <mergeCell ref="H107:J107"/>
    <mergeCell ref="K107:M107"/>
    <mergeCell ref="H108:J108"/>
    <mergeCell ref="K108:M108"/>
    <mergeCell ref="H109:J109"/>
    <mergeCell ref="K109:M109"/>
    <mergeCell ref="H110:J110"/>
    <mergeCell ref="K110:M110"/>
    <mergeCell ref="H111:J111"/>
    <mergeCell ref="K111:M111"/>
    <mergeCell ref="H114:J114"/>
    <mergeCell ref="K114:M114"/>
    <mergeCell ref="N114:P114"/>
    <mergeCell ref="H119:J119"/>
    <mergeCell ref="H120:J120"/>
    <mergeCell ref="H121:J121"/>
    <mergeCell ref="H122:J122"/>
    <mergeCell ref="H123:J123"/>
    <mergeCell ref="H124:J124"/>
    <mergeCell ref="H127:J127"/>
    <mergeCell ref="H132:J132"/>
    <mergeCell ref="H133:J133"/>
    <mergeCell ref="H134:J134"/>
    <mergeCell ref="H128:J128"/>
    <mergeCell ref="H129:J129"/>
    <mergeCell ref="H130:J130"/>
    <mergeCell ref="H131:J131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55" customWidth="1"/>
    <col min="5" max="5" width="22.140625" style="55" customWidth="1"/>
    <col min="6" max="6" width="9.140625" style="55" customWidth="1"/>
    <col min="7" max="7" width="3.57421875" style="55" customWidth="1"/>
    <col min="8" max="8" width="9.140625" style="55" customWidth="1"/>
    <col min="9" max="9" width="12.8515625" style="55" bestFit="1" customWidth="1"/>
    <col min="10" max="11" width="9.140625" style="55" customWidth="1"/>
    <col min="12" max="12" width="10.57421875" style="55" bestFit="1" customWidth="1"/>
    <col min="13" max="14" width="9.140625" style="55" customWidth="1"/>
    <col min="15" max="15" width="10.7109375" style="55" bestFit="1" customWidth="1"/>
    <col min="16" max="16" width="9.28125" style="55" bestFit="1" customWidth="1"/>
    <col min="17" max="16384" width="9.140625" style="55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7" t="s">
        <v>8</v>
      </c>
      <c r="B9" s="2"/>
      <c r="C9" s="2"/>
      <c r="D9" s="2"/>
      <c r="E9" s="56">
        <v>38471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/>
      <c r="B10" s="2"/>
      <c r="C10" s="2"/>
      <c r="D10" s="2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7" t="s">
        <v>9</v>
      </c>
      <c r="B11" s="2"/>
      <c r="C11" s="2"/>
      <c r="D11" s="2"/>
      <c r="E11" s="63">
        <v>0.0487063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7"/>
      <c r="B12" s="2"/>
      <c r="C12" s="2"/>
      <c r="D12" s="2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"/>
      <c r="B13" s="2"/>
      <c r="C13" s="2"/>
      <c r="D13" s="2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5" t="s">
        <v>10</v>
      </c>
      <c r="B15" s="2"/>
      <c r="C15" s="2"/>
      <c r="D15" s="2"/>
      <c r="E15" s="2"/>
      <c r="F15" s="2"/>
      <c r="G15" s="2"/>
      <c r="H15" s="144" t="s">
        <v>73</v>
      </c>
      <c r="I15" s="145"/>
      <c r="J15" s="146"/>
      <c r="K15" s="144" t="s">
        <v>74</v>
      </c>
      <c r="L15" s="145"/>
      <c r="M15" s="146"/>
      <c r="N15" s="2"/>
      <c r="O15" s="2"/>
      <c r="P15" s="2"/>
      <c r="Q15" s="2"/>
    </row>
    <row r="16" spans="1:17" ht="14.25">
      <c r="A16" s="2" t="s">
        <v>11</v>
      </c>
      <c r="B16" s="2"/>
      <c r="C16" s="2"/>
      <c r="D16" s="2"/>
      <c r="E16" s="2"/>
      <c r="F16" s="2"/>
      <c r="G16" s="2"/>
      <c r="H16" s="134" t="s">
        <v>76</v>
      </c>
      <c r="I16" s="135"/>
      <c r="J16" s="136"/>
      <c r="K16" s="134" t="s">
        <v>77</v>
      </c>
      <c r="L16" s="135"/>
      <c r="M16" s="136"/>
      <c r="N16" s="2"/>
      <c r="O16" s="2"/>
      <c r="P16" s="2"/>
      <c r="Q16" s="2"/>
    </row>
    <row r="17" spans="1:17" ht="14.25">
      <c r="A17" s="2" t="s">
        <v>12</v>
      </c>
      <c r="B17" s="2"/>
      <c r="C17" s="2"/>
      <c r="D17" s="2"/>
      <c r="E17" s="2"/>
      <c r="F17" s="2"/>
      <c r="G17" s="2"/>
      <c r="H17" s="134" t="s">
        <v>78</v>
      </c>
      <c r="I17" s="135"/>
      <c r="J17" s="136"/>
      <c r="K17" s="134" t="s">
        <v>76</v>
      </c>
      <c r="L17" s="135"/>
      <c r="M17" s="136"/>
      <c r="N17" s="2"/>
      <c r="O17" s="2"/>
      <c r="P17" s="2"/>
      <c r="Q17" s="2"/>
    </row>
    <row r="18" spans="1:17" ht="14.25">
      <c r="A18" s="2" t="s">
        <v>13</v>
      </c>
      <c r="B18" s="2"/>
      <c r="C18" s="2"/>
      <c r="D18" s="2"/>
      <c r="E18" s="2"/>
      <c r="F18" s="2"/>
      <c r="G18" s="2"/>
      <c r="H18" s="134" t="s">
        <v>78</v>
      </c>
      <c r="I18" s="135"/>
      <c r="J18" s="136"/>
      <c r="K18" s="134" t="s">
        <v>76</v>
      </c>
      <c r="L18" s="135"/>
      <c r="M18" s="136"/>
      <c r="N18" s="2"/>
      <c r="O18" s="2"/>
      <c r="P18" s="2"/>
      <c r="Q18" s="2"/>
    </row>
    <row r="19" spans="1:17" ht="14.25">
      <c r="A19" s="2" t="s">
        <v>14</v>
      </c>
      <c r="B19" s="2"/>
      <c r="C19" s="2"/>
      <c r="D19" s="2"/>
      <c r="E19" s="2"/>
      <c r="F19" s="2"/>
      <c r="G19" s="2"/>
      <c r="H19" s="134" t="s">
        <v>78</v>
      </c>
      <c r="I19" s="135"/>
      <c r="J19" s="136"/>
      <c r="K19" s="134" t="s">
        <v>76</v>
      </c>
      <c r="L19" s="135" t="s">
        <v>76</v>
      </c>
      <c r="M19" s="136"/>
      <c r="N19" s="2"/>
      <c r="O19" s="2"/>
      <c r="P19" s="2"/>
      <c r="Q19" s="2"/>
    </row>
    <row r="20" spans="1:17" ht="14.25">
      <c r="A20" s="2" t="s">
        <v>15</v>
      </c>
      <c r="B20" s="2"/>
      <c r="C20" s="2"/>
      <c r="D20" s="2"/>
      <c r="E20" s="2"/>
      <c r="F20" s="2"/>
      <c r="G20" s="2"/>
      <c r="H20" s="134" t="s">
        <v>78</v>
      </c>
      <c r="I20" s="135"/>
      <c r="J20" s="136"/>
      <c r="K20" s="134" t="s">
        <v>116</v>
      </c>
      <c r="L20" s="135"/>
      <c r="M20" s="136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34"/>
      <c r="I21" s="135"/>
      <c r="J21" s="136"/>
      <c r="K21" s="134"/>
      <c r="L21" s="135"/>
      <c r="M21" s="136"/>
      <c r="N21" s="2"/>
      <c r="O21" s="2"/>
      <c r="P21" s="2"/>
      <c r="Q21" s="2"/>
    </row>
    <row r="22" spans="1:17" ht="14.25">
      <c r="A22" s="2" t="s">
        <v>88</v>
      </c>
      <c r="B22" s="2"/>
      <c r="C22" s="2"/>
      <c r="D22" s="2"/>
      <c r="E22" s="2"/>
      <c r="F22" s="2"/>
      <c r="G22" s="2"/>
      <c r="H22" s="137">
        <v>276000000</v>
      </c>
      <c r="I22" s="138"/>
      <c r="J22" s="139"/>
      <c r="K22" s="137">
        <v>24000000</v>
      </c>
      <c r="L22" s="138"/>
      <c r="M22" s="139"/>
      <c r="N22" s="2"/>
      <c r="O22" s="2"/>
      <c r="P22" s="1"/>
      <c r="Q22" s="1"/>
    </row>
    <row r="23" spans="1:17" ht="14.25">
      <c r="A23" s="2" t="s">
        <v>89</v>
      </c>
      <c r="B23" s="2"/>
      <c r="C23" s="2"/>
      <c r="D23" s="2"/>
      <c r="E23" s="2"/>
      <c r="F23" s="2"/>
      <c r="G23" s="2"/>
      <c r="H23" s="191">
        <v>74708092</v>
      </c>
      <c r="I23" s="192"/>
      <c r="J23" s="193"/>
      <c r="K23" s="137">
        <v>24000000</v>
      </c>
      <c r="L23" s="138"/>
      <c r="M23" s="139"/>
      <c r="N23" s="2"/>
      <c r="O23" s="2"/>
      <c r="P23" s="1"/>
      <c r="Q23" s="1"/>
    </row>
    <row r="24" spans="1:17" ht="14.25">
      <c r="A24" s="2" t="s">
        <v>83</v>
      </c>
      <c r="B24" s="2"/>
      <c r="C24" s="2"/>
      <c r="D24" s="2"/>
      <c r="E24" s="2"/>
      <c r="F24" s="2"/>
      <c r="G24" s="2"/>
      <c r="H24" s="137">
        <f>H23-H25</f>
        <v>4812694.799999997</v>
      </c>
      <c r="I24" s="135"/>
      <c r="J24" s="136"/>
      <c r="K24" s="134" t="s">
        <v>82</v>
      </c>
      <c r="L24" s="135"/>
      <c r="M24" s="136"/>
      <c r="N24" s="2"/>
      <c r="O24" s="2"/>
      <c r="P24" s="1"/>
      <c r="Q24" s="1"/>
    </row>
    <row r="25" spans="1:17" ht="14.25">
      <c r="A25" s="2" t="s">
        <v>90</v>
      </c>
      <c r="B25" s="2"/>
      <c r="C25" s="2"/>
      <c r="D25" s="2"/>
      <c r="E25" s="2"/>
      <c r="F25" s="2"/>
      <c r="G25" s="2"/>
      <c r="H25" s="191">
        <v>69895397.2</v>
      </c>
      <c r="I25" s="192"/>
      <c r="J25" s="193"/>
      <c r="K25" s="137">
        <v>24000000</v>
      </c>
      <c r="L25" s="138"/>
      <c r="M25" s="139"/>
      <c r="N25" s="2"/>
      <c r="O25" s="2"/>
      <c r="P25" s="2"/>
      <c r="Q25" s="2"/>
    </row>
    <row r="26" spans="1:17" ht="14.25">
      <c r="A26" s="2" t="s">
        <v>16</v>
      </c>
      <c r="B26" s="2"/>
      <c r="C26" s="2"/>
      <c r="D26" s="2"/>
      <c r="E26" s="2"/>
      <c r="F26" s="2"/>
      <c r="G26" s="2"/>
      <c r="H26" s="194">
        <v>0.2532442</v>
      </c>
      <c r="I26" s="195"/>
      <c r="J26" s="196"/>
      <c r="K26" s="131">
        <v>1</v>
      </c>
      <c r="L26" s="132"/>
      <c r="M26" s="133"/>
      <c r="N26" s="2"/>
      <c r="O26" s="2"/>
      <c r="P26" s="2"/>
      <c r="Q26" s="2"/>
    </row>
    <row r="27" spans="1:17" ht="14.25">
      <c r="A27" s="2" t="s">
        <v>110</v>
      </c>
      <c r="B27" s="2"/>
      <c r="C27" s="2"/>
      <c r="D27" s="2"/>
      <c r="E27" s="2"/>
      <c r="F27" s="2"/>
      <c r="G27" s="2"/>
      <c r="H27" s="140">
        <f>H24/H23*12</f>
        <v>0.7730399218333668</v>
      </c>
      <c r="I27" s="130"/>
      <c r="J27" s="147"/>
      <c r="K27" s="134" t="s">
        <v>82</v>
      </c>
      <c r="L27" s="135"/>
      <c r="M27" s="136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134"/>
      <c r="I28" s="135"/>
      <c r="J28" s="136"/>
      <c r="K28" s="134"/>
      <c r="L28" s="135"/>
      <c r="M28" s="136"/>
      <c r="N28" s="2"/>
      <c r="O28" s="2"/>
      <c r="P28" s="2"/>
      <c r="Q28" s="2"/>
    </row>
    <row r="29" spans="1:17" ht="14.25">
      <c r="A29" s="2" t="s">
        <v>17</v>
      </c>
      <c r="B29" s="2"/>
      <c r="C29" s="2"/>
      <c r="D29" s="2"/>
      <c r="E29" s="2"/>
      <c r="F29" s="2"/>
      <c r="G29" s="2"/>
      <c r="H29" s="134" t="s">
        <v>82</v>
      </c>
      <c r="I29" s="135"/>
      <c r="J29" s="136"/>
      <c r="K29" s="140">
        <f>K22/H22*100%</f>
        <v>0.08695652173913043</v>
      </c>
      <c r="L29" s="135"/>
      <c r="M29" s="136"/>
      <c r="N29" s="2"/>
      <c r="O29" s="2"/>
      <c r="P29" s="1"/>
      <c r="Q29" s="1"/>
    </row>
    <row r="30" spans="1:17" ht="14.25">
      <c r="A30" s="2" t="s">
        <v>18</v>
      </c>
      <c r="B30" s="2"/>
      <c r="C30" s="2"/>
      <c r="D30" s="2"/>
      <c r="E30" s="2"/>
      <c r="F30" s="2"/>
      <c r="G30" s="2"/>
      <c r="H30" s="134" t="s">
        <v>82</v>
      </c>
      <c r="I30" s="135"/>
      <c r="J30" s="136"/>
      <c r="K30" s="140">
        <f>K25/H25*100%</f>
        <v>0.34337024985101594</v>
      </c>
      <c r="L30" s="135"/>
      <c r="M30" s="136"/>
      <c r="N30" s="2"/>
      <c r="O30" s="2"/>
      <c r="P30" s="1"/>
      <c r="Q30" s="1"/>
    </row>
    <row r="31" spans="1:17" ht="14.25">
      <c r="A31" s="2"/>
      <c r="B31" s="2"/>
      <c r="C31" s="2"/>
      <c r="D31" s="2"/>
      <c r="E31" s="2"/>
      <c r="F31" s="2"/>
      <c r="G31" s="2"/>
      <c r="H31" s="134"/>
      <c r="I31" s="135"/>
      <c r="J31" s="136"/>
      <c r="K31" s="134"/>
      <c r="L31" s="135"/>
      <c r="M31" s="136"/>
      <c r="N31" s="2"/>
      <c r="O31" s="2"/>
      <c r="P31" s="1"/>
      <c r="Q31" s="1"/>
    </row>
    <row r="32" spans="1:17" ht="14.25">
      <c r="A32" s="2" t="s">
        <v>19</v>
      </c>
      <c r="B32" s="2"/>
      <c r="C32" s="2"/>
      <c r="D32" s="2"/>
      <c r="E32" s="2"/>
      <c r="F32" s="2"/>
      <c r="G32" s="2"/>
      <c r="H32" s="134">
        <v>31</v>
      </c>
      <c r="I32" s="135"/>
      <c r="J32" s="136"/>
      <c r="K32" s="134">
        <v>85</v>
      </c>
      <c r="L32" s="135"/>
      <c r="M32" s="136"/>
      <c r="N32" s="2"/>
      <c r="O32" s="2"/>
      <c r="P32" s="2"/>
      <c r="Q32" s="2"/>
    </row>
    <row r="33" spans="1:17" ht="14.25">
      <c r="A33" s="2" t="s">
        <v>84</v>
      </c>
      <c r="B33" s="2"/>
      <c r="C33" s="2"/>
      <c r="D33" s="2"/>
      <c r="E33" s="2"/>
      <c r="F33" s="2"/>
      <c r="G33" s="2"/>
      <c r="H33" s="197">
        <v>115.02</v>
      </c>
      <c r="I33" s="198"/>
      <c r="J33" s="199"/>
      <c r="K33" s="197">
        <v>501.53</v>
      </c>
      <c r="L33" s="198"/>
      <c r="M33" s="199"/>
      <c r="N33" s="2"/>
      <c r="O33" s="2"/>
      <c r="P33" s="2"/>
      <c r="Q33" s="2"/>
    </row>
    <row r="34" spans="1:17" ht="14.25">
      <c r="A34" s="2" t="s">
        <v>20</v>
      </c>
      <c r="B34" s="2"/>
      <c r="C34" s="2"/>
      <c r="D34" s="2"/>
      <c r="E34" s="2"/>
      <c r="F34" s="2"/>
      <c r="G34" s="2"/>
      <c r="H34" s="134">
        <v>62</v>
      </c>
      <c r="I34" s="135"/>
      <c r="J34" s="136"/>
      <c r="K34" s="134">
        <v>170</v>
      </c>
      <c r="L34" s="135"/>
      <c r="M34" s="136"/>
      <c r="N34" s="2"/>
      <c r="O34" s="2"/>
      <c r="P34" s="2"/>
      <c r="Q34" s="2"/>
    </row>
    <row r="35" spans="1:17" ht="14.25">
      <c r="A35" s="2" t="s">
        <v>21</v>
      </c>
      <c r="B35" s="2"/>
      <c r="C35" s="2"/>
      <c r="D35" s="2"/>
      <c r="E35" s="2"/>
      <c r="F35" s="2"/>
      <c r="G35" s="2"/>
      <c r="H35" s="154" t="s">
        <v>79</v>
      </c>
      <c r="I35" s="135"/>
      <c r="J35" s="136"/>
      <c r="K35" s="154" t="s">
        <v>79</v>
      </c>
      <c r="L35" s="135"/>
      <c r="M35" s="136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134"/>
      <c r="I36" s="135"/>
      <c r="J36" s="136"/>
      <c r="K36" s="134"/>
      <c r="L36" s="135"/>
      <c r="M36" s="136"/>
      <c r="N36" s="2"/>
      <c r="O36" s="2"/>
      <c r="P36" s="2"/>
      <c r="Q36" s="2"/>
    </row>
    <row r="37" spans="1:17" ht="14.25">
      <c r="A37" s="2" t="s">
        <v>22</v>
      </c>
      <c r="B37" s="2"/>
      <c r="C37" s="2"/>
      <c r="D37" s="2"/>
      <c r="E37" s="2"/>
      <c r="F37" s="2"/>
      <c r="G37" s="2"/>
      <c r="H37" s="134" t="s">
        <v>80</v>
      </c>
      <c r="I37" s="135"/>
      <c r="J37" s="136"/>
      <c r="K37" s="134" t="s">
        <v>80</v>
      </c>
      <c r="L37" s="135"/>
      <c r="M37" s="136"/>
      <c r="N37" s="2"/>
      <c r="O37" s="2"/>
      <c r="P37" s="2"/>
      <c r="Q37" s="2"/>
    </row>
    <row r="38" spans="1:17" ht="14.25">
      <c r="A38" s="2" t="s">
        <v>23</v>
      </c>
      <c r="B38" s="2"/>
      <c r="C38" s="2"/>
      <c r="D38" s="2"/>
      <c r="E38" s="2"/>
      <c r="F38" s="2"/>
      <c r="G38" s="2"/>
      <c r="H38" s="155">
        <f>E9</f>
        <v>38471</v>
      </c>
      <c r="I38" s="156"/>
      <c r="J38" s="157"/>
      <c r="K38" s="151">
        <f>H38</f>
        <v>38471</v>
      </c>
      <c r="L38" s="152"/>
      <c r="M38" s="153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5" t="s">
        <v>24</v>
      </c>
      <c r="B40" s="2"/>
      <c r="C40" s="2"/>
      <c r="D40" s="2"/>
      <c r="E40" s="2"/>
      <c r="F40" s="2"/>
      <c r="G40" s="2"/>
      <c r="H40" s="1"/>
      <c r="I40" s="1"/>
      <c r="J40" s="1"/>
      <c r="K40" s="2"/>
      <c r="L40" s="2"/>
      <c r="M40" s="2"/>
      <c r="N40" s="2"/>
      <c r="O40" s="2"/>
      <c r="P40" s="2"/>
      <c r="Q40" s="2"/>
    </row>
    <row r="41" spans="1:17" ht="15">
      <c r="A41" s="57" t="s">
        <v>158</v>
      </c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</row>
    <row r="42" spans="1:17" ht="14.25">
      <c r="A42" s="2" t="s">
        <v>91</v>
      </c>
      <c r="B42" s="2"/>
      <c r="C42" s="2"/>
      <c r="D42" s="2"/>
      <c r="E42" s="2"/>
      <c r="F42" s="2"/>
      <c r="G42" s="2"/>
      <c r="H42" s="191">
        <v>98708068.69</v>
      </c>
      <c r="I42" s="192"/>
      <c r="J42" s="193"/>
      <c r="K42" s="1"/>
      <c r="L42" s="1"/>
      <c r="M42" s="1"/>
      <c r="N42" s="2"/>
      <c r="O42" s="2"/>
      <c r="P42" s="2"/>
      <c r="Q42" s="2"/>
    </row>
    <row r="43" spans="1:17" ht="14.25">
      <c r="A43" s="2" t="s">
        <v>92</v>
      </c>
      <c r="B43" s="2"/>
      <c r="C43" s="2"/>
      <c r="D43" s="2"/>
      <c r="E43" s="2"/>
      <c r="F43" s="2"/>
      <c r="G43" s="2"/>
      <c r="H43" s="191">
        <v>93895376.77</v>
      </c>
      <c r="I43" s="192"/>
      <c r="J43" s="193"/>
      <c r="K43" s="1"/>
      <c r="L43" s="1"/>
      <c r="M43" s="1"/>
      <c r="N43" s="2"/>
      <c r="O43" s="2"/>
      <c r="P43" s="2"/>
      <c r="Q43" s="2"/>
    </row>
    <row r="44" spans="1:17" ht="14.25">
      <c r="A44" s="2" t="s">
        <v>93</v>
      </c>
      <c r="B44" s="2"/>
      <c r="C44" s="2"/>
      <c r="D44" s="2"/>
      <c r="E44" s="2"/>
      <c r="F44" s="2"/>
      <c r="G44" s="2"/>
      <c r="H44" s="191">
        <v>526984.1</v>
      </c>
      <c r="I44" s="192"/>
      <c r="J44" s="193"/>
      <c r="K44" s="1"/>
      <c r="L44" s="1"/>
      <c r="M44" s="1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134"/>
      <c r="I45" s="135"/>
      <c r="J45" s="136"/>
      <c r="K45" s="1"/>
      <c r="L45" s="1"/>
      <c r="M45" s="1"/>
      <c r="N45" s="2"/>
      <c r="O45" s="2"/>
      <c r="P45" s="2"/>
      <c r="Q45" s="2"/>
    </row>
    <row r="46" spans="1:17" ht="14.25">
      <c r="A46" s="2" t="s">
        <v>94</v>
      </c>
      <c r="B46" s="2"/>
      <c r="C46" s="2"/>
      <c r="D46" s="2"/>
      <c r="E46" s="2"/>
      <c r="F46" s="2"/>
      <c r="G46" s="2"/>
      <c r="H46" s="137">
        <f>H49+H50</f>
        <v>5817605.26</v>
      </c>
      <c r="I46" s="135"/>
      <c r="J46" s="136"/>
      <c r="K46" s="1"/>
      <c r="L46" s="1"/>
      <c r="M46" s="1"/>
      <c r="N46" s="2"/>
      <c r="O46" s="2"/>
      <c r="P46" s="2"/>
      <c r="Q46" s="2"/>
    </row>
    <row r="47" spans="1:17" ht="14.25">
      <c r="A47" s="2" t="s">
        <v>95</v>
      </c>
      <c r="B47" s="2"/>
      <c r="C47" s="2"/>
      <c r="D47" s="2"/>
      <c r="E47" s="2"/>
      <c r="F47" s="2"/>
      <c r="G47" s="2"/>
      <c r="H47" s="191">
        <v>1004889.69</v>
      </c>
      <c r="I47" s="200"/>
      <c r="J47" s="201"/>
      <c r="K47" s="1"/>
      <c r="L47" s="1"/>
      <c r="M47" s="1"/>
      <c r="N47" s="2"/>
      <c r="O47" s="2"/>
      <c r="P47" s="2"/>
      <c r="Q47" s="2"/>
    </row>
    <row r="48" spans="1:17" ht="14.25">
      <c r="A48" s="2" t="s">
        <v>96</v>
      </c>
      <c r="B48" s="2"/>
      <c r="C48" s="2"/>
      <c r="D48" s="2"/>
      <c r="E48" s="2"/>
      <c r="F48" s="2"/>
      <c r="G48" s="2"/>
      <c r="H48" s="134"/>
      <c r="I48" s="135"/>
      <c r="J48" s="136"/>
      <c r="K48" s="1"/>
      <c r="L48" s="27"/>
      <c r="M48" s="1"/>
      <c r="N48" s="2"/>
      <c r="O48" s="2"/>
      <c r="P48" s="2"/>
      <c r="Q48" s="2"/>
    </row>
    <row r="49" spans="1:17" ht="14.25">
      <c r="A49" s="2" t="s">
        <v>97</v>
      </c>
      <c r="B49" s="2"/>
      <c r="C49" s="2"/>
      <c r="D49" s="2"/>
      <c r="E49" s="2"/>
      <c r="F49" s="2"/>
      <c r="G49" s="2"/>
      <c r="H49" s="191">
        <v>4384541</v>
      </c>
      <c r="I49" s="200"/>
      <c r="J49" s="201"/>
      <c r="K49" s="137"/>
      <c r="L49" s="135"/>
      <c r="M49" s="135"/>
      <c r="N49" s="2"/>
      <c r="O49" s="2"/>
      <c r="P49" s="2"/>
      <c r="Q49" s="2"/>
    </row>
    <row r="50" spans="1:17" ht="14.25">
      <c r="A50" s="2" t="s">
        <v>107</v>
      </c>
      <c r="B50" s="2"/>
      <c r="C50" s="2"/>
      <c r="D50" s="2"/>
      <c r="E50" s="2"/>
      <c r="F50" s="2"/>
      <c r="G50" s="2"/>
      <c r="H50" s="191">
        <v>1433064.26</v>
      </c>
      <c r="I50" s="200"/>
      <c r="J50" s="201"/>
      <c r="K50" s="1"/>
      <c r="L50" s="27"/>
      <c r="M50" s="1"/>
      <c r="N50" s="2"/>
      <c r="O50" s="2"/>
      <c r="P50" s="2"/>
      <c r="Q50" s="2"/>
    </row>
    <row r="51" spans="1:17" ht="14.25">
      <c r="A51" s="2" t="s">
        <v>98</v>
      </c>
      <c r="B51" s="2"/>
      <c r="C51" s="2"/>
      <c r="D51" s="2"/>
      <c r="E51" s="2"/>
      <c r="F51" s="2"/>
      <c r="G51" s="2"/>
      <c r="H51" s="191">
        <v>0</v>
      </c>
      <c r="I51" s="192"/>
      <c r="J51" s="193"/>
      <c r="K51" s="1"/>
      <c r="L51" s="27"/>
      <c r="M51" s="1"/>
      <c r="N51" s="2"/>
      <c r="O51" s="2"/>
      <c r="P51" s="2"/>
      <c r="Q51" s="2"/>
    </row>
    <row r="52" spans="1:17" ht="14.25">
      <c r="A52" s="2" t="s">
        <v>99</v>
      </c>
      <c r="B52" s="2"/>
      <c r="C52" s="2"/>
      <c r="D52" s="2"/>
      <c r="E52" s="2"/>
      <c r="F52" s="2"/>
      <c r="G52" s="2"/>
      <c r="H52" s="137">
        <v>0</v>
      </c>
      <c r="I52" s="138"/>
      <c r="J52" s="139"/>
      <c r="K52" s="1"/>
      <c r="L52" s="27"/>
      <c r="M52" s="1"/>
      <c r="N52" s="2"/>
      <c r="O52" s="2"/>
      <c r="P52" s="2"/>
      <c r="Q52" s="2"/>
    </row>
    <row r="53" spans="1:17" ht="14.25">
      <c r="A53" s="2" t="s">
        <v>100</v>
      </c>
      <c r="B53" s="2"/>
      <c r="C53" s="2"/>
      <c r="D53" s="2"/>
      <c r="E53" s="2"/>
      <c r="F53" s="2"/>
      <c r="G53" s="2"/>
      <c r="H53" s="137">
        <f>H24</f>
        <v>4812694.799999997</v>
      </c>
      <c r="I53" s="138"/>
      <c r="J53" s="139"/>
      <c r="K53" s="1"/>
      <c r="L53" s="27"/>
      <c r="M53" s="1"/>
      <c r="N53" s="2"/>
      <c r="O53" s="2"/>
      <c r="P53" s="2"/>
      <c r="Q53" s="2"/>
    </row>
    <row r="54" spans="1:17" ht="14.25">
      <c r="A54" s="2" t="s">
        <v>101</v>
      </c>
      <c r="B54" s="2"/>
      <c r="C54" s="2"/>
      <c r="D54" s="2"/>
      <c r="E54" s="2"/>
      <c r="F54" s="2"/>
      <c r="G54" s="2"/>
      <c r="H54" s="134" t="s">
        <v>82</v>
      </c>
      <c r="I54" s="135"/>
      <c r="J54" s="136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134"/>
      <c r="I55" s="135"/>
      <c r="J55" s="136"/>
      <c r="K55" s="1"/>
      <c r="L55" s="1"/>
      <c r="M55" s="1"/>
      <c r="N55" s="2"/>
      <c r="O55" s="2"/>
      <c r="P55" s="2"/>
      <c r="Q55" s="2"/>
    </row>
    <row r="56" spans="1:17" ht="14.25">
      <c r="A56" s="2" t="s">
        <v>25</v>
      </c>
      <c r="B56" s="2"/>
      <c r="C56" s="2"/>
      <c r="D56" s="2"/>
      <c r="E56" s="2"/>
      <c r="F56" s="2"/>
      <c r="G56" s="2"/>
      <c r="H56" s="140">
        <f>((H46-H47)/H42)*12</f>
        <v>0.5850847616254784</v>
      </c>
      <c r="I56" s="130"/>
      <c r="J56" s="147"/>
      <c r="K56" s="1"/>
      <c r="L56" s="1"/>
      <c r="M56" s="130"/>
      <c r="N56" s="130"/>
      <c r="O56" s="130"/>
      <c r="P56" s="2"/>
      <c r="Q56" s="2"/>
    </row>
    <row r="57" spans="1:17" ht="14.25">
      <c r="A57" s="2" t="s">
        <v>81</v>
      </c>
      <c r="B57" s="2"/>
      <c r="C57" s="2"/>
      <c r="D57" s="2"/>
      <c r="E57" s="2"/>
      <c r="F57" s="2"/>
      <c r="G57" s="2"/>
      <c r="H57" s="140">
        <f>H49/H42*12*100%</f>
        <v>0.5330313184957525</v>
      </c>
      <c r="I57" s="130"/>
      <c r="J57" s="147"/>
      <c r="K57" s="1"/>
      <c r="L57" s="1"/>
      <c r="M57" s="1"/>
      <c r="N57" s="2"/>
      <c r="O57" s="2"/>
      <c r="P57" s="2"/>
      <c r="Q57" s="2"/>
    </row>
    <row r="58" spans="1:17" ht="14.25">
      <c r="A58" s="2" t="s">
        <v>26</v>
      </c>
      <c r="B58" s="2"/>
      <c r="C58" s="2"/>
      <c r="D58" s="2"/>
      <c r="E58" s="2"/>
      <c r="F58" s="2"/>
      <c r="G58" s="2"/>
      <c r="H58" s="158">
        <f>(H50-H47)/H42*12*100%</f>
        <v>0.052053443129725985</v>
      </c>
      <c r="I58" s="170"/>
      <c r="J58" s="171"/>
      <c r="K58" s="1"/>
      <c r="L58" s="1"/>
      <c r="M58" s="1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59" t="s">
        <v>159</v>
      </c>
      <c r="B60" s="2"/>
      <c r="C60" s="2"/>
      <c r="D60" s="2"/>
      <c r="E60" s="58"/>
      <c r="F60" s="2"/>
      <c r="G60" s="2"/>
      <c r="H60" s="202">
        <f>526984.1-316489.56-112765.1</f>
        <v>97729.43999999997</v>
      </c>
      <c r="I60" s="203"/>
      <c r="J60" s="204"/>
      <c r="K60" s="2"/>
      <c r="L60" s="2"/>
      <c r="M60" s="2"/>
      <c r="N60" s="2"/>
      <c r="O60" s="2"/>
      <c r="P60" s="2"/>
      <c r="Q60" s="2"/>
    </row>
    <row r="61" spans="1:17" ht="15">
      <c r="A61" s="59" t="s">
        <v>160</v>
      </c>
      <c r="B61" s="2"/>
      <c r="C61" s="2"/>
      <c r="D61" s="2"/>
      <c r="E61" s="2"/>
      <c r="F61" s="2"/>
      <c r="G61" s="2"/>
      <c r="H61" s="179">
        <v>0</v>
      </c>
      <c r="I61" s="180"/>
      <c r="J61" s="181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57" t="s">
        <v>161</v>
      </c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2"/>
      <c r="O63" s="2"/>
      <c r="P63" s="2"/>
      <c r="Q63" s="2"/>
    </row>
    <row r="64" spans="1:17" ht="14.25">
      <c r="A64" s="2" t="s">
        <v>85</v>
      </c>
      <c r="B64" s="2"/>
      <c r="C64" s="2"/>
      <c r="D64" s="2"/>
      <c r="E64" s="2"/>
      <c r="F64" s="2"/>
      <c r="G64" s="2"/>
      <c r="H64" s="205">
        <v>250</v>
      </c>
      <c r="I64" s="206"/>
      <c r="J64" s="207"/>
      <c r="K64" s="1"/>
      <c r="L64" s="1"/>
      <c r="M64" s="1"/>
      <c r="N64" s="2"/>
      <c r="O64" s="2"/>
      <c r="P64" s="2"/>
      <c r="Q64" s="2"/>
    </row>
    <row r="65" spans="1:17" ht="14.25">
      <c r="A65" s="2" t="s">
        <v>86</v>
      </c>
      <c r="B65" s="2"/>
      <c r="C65" s="2"/>
      <c r="D65" s="2"/>
      <c r="E65" s="2"/>
      <c r="F65" s="2"/>
      <c r="G65" s="2"/>
      <c r="H65" s="197">
        <v>7854.73</v>
      </c>
      <c r="I65" s="198"/>
      <c r="J65" s="199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97">
        <f>587.5+850+750</f>
        <v>2187.5</v>
      </c>
      <c r="I66" s="198"/>
      <c r="J66" s="199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208">
        <v>4623.29</v>
      </c>
      <c r="I67" s="209"/>
      <c r="J67" s="210"/>
      <c r="K67" s="1"/>
      <c r="L67" s="1"/>
      <c r="M67" s="1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2"/>
      <c r="O68" s="2"/>
      <c r="P68" s="2"/>
      <c r="Q68" s="2"/>
    </row>
    <row r="69" spans="1:17" ht="15">
      <c r="A69" s="5" t="s">
        <v>29</v>
      </c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  <c r="Q69" s="2"/>
    </row>
    <row r="70" spans="1:17" ht="14.25">
      <c r="A70" s="2" t="s">
        <v>30</v>
      </c>
      <c r="B70" s="2"/>
      <c r="C70" s="2"/>
      <c r="D70" s="2"/>
      <c r="E70" s="2"/>
      <c r="F70" s="2"/>
      <c r="G70" s="2"/>
      <c r="H70" s="167">
        <v>45000000</v>
      </c>
      <c r="I70" s="168"/>
      <c r="J70" s="169"/>
      <c r="K70" s="1"/>
      <c r="L70" s="1"/>
      <c r="M70" s="1"/>
      <c r="N70" s="2"/>
      <c r="O70" s="2"/>
      <c r="P70" s="2"/>
      <c r="Q70" s="2"/>
    </row>
    <row r="71" spans="1:17" ht="14.25">
      <c r="A71" s="2" t="s">
        <v>31</v>
      </c>
      <c r="B71" s="2"/>
      <c r="C71" s="2"/>
      <c r="D71" s="2"/>
      <c r="E71" s="2"/>
      <c r="F71" s="2"/>
      <c r="G71" s="2"/>
      <c r="H71" s="137">
        <v>45000000</v>
      </c>
      <c r="I71" s="138"/>
      <c r="J71" s="139"/>
      <c r="K71" s="1"/>
      <c r="L71" s="1"/>
      <c r="M71" s="1"/>
      <c r="N71" s="2"/>
      <c r="O71" s="2"/>
      <c r="P71" s="2"/>
      <c r="Q71" s="2"/>
    </row>
    <row r="72" spans="1:17" ht="14.25">
      <c r="A72" s="2" t="s">
        <v>32</v>
      </c>
      <c r="B72" s="2"/>
      <c r="C72" s="2"/>
      <c r="D72" s="2"/>
      <c r="E72" s="2"/>
      <c r="F72" s="2"/>
      <c r="G72" s="2"/>
      <c r="H72" s="137">
        <v>0</v>
      </c>
      <c r="I72" s="138"/>
      <c r="J72" s="139"/>
      <c r="K72" s="1"/>
      <c r="L72" s="1"/>
      <c r="M72" s="1"/>
      <c r="N72" s="2"/>
      <c r="O72" s="2"/>
      <c r="P72" s="2"/>
      <c r="Q72" s="2"/>
    </row>
    <row r="73" spans="1:17" ht="14.25">
      <c r="A73" s="2" t="s">
        <v>33</v>
      </c>
      <c r="B73" s="2"/>
      <c r="C73" s="2"/>
      <c r="D73" s="2"/>
      <c r="E73" s="2"/>
      <c r="F73" s="2"/>
      <c r="G73" s="2"/>
      <c r="H73" s="134">
        <v>0</v>
      </c>
      <c r="I73" s="135"/>
      <c r="J73" s="136"/>
      <c r="K73" s="1"/>
      <c r="L73" s="1"/>
      <c r="M73" s="1"/>
      <c r="N73" s="2"/>
      <c r="O73" s="2"/>
      <c r="P73" s="2"/>
      <c r="Q73" s="2"/>
    </row>
    <row r="74" spans="1:17" ht="14.25">
      <c r="A74" s="2" t="s">
        <v>34</v>
      </c>
      <c r="B74" s="2"/>
      <c r="C74" s="2"/>
      <c r="D74" s="2"/>
      <c r="E74" s="2"/>
      <c r="F74" s="2"/>
      <c r="G74" s="2"/>
      <c r="H74" s="137">
        <v>0</v>
      </c>
      <c r="I74" s="138"/>
      <c r="J74" s="139"/>
      <c r="K74" s="1"/>
      <c r="L74" s="1"/>
      <c r="M74" s="1"/>
      <c r="N74" s="2"/>
      <c r="O74" s="2"/>
      <c r="P74" s="2"/>
      <c r="Q74" s="2"/>
    </row>
    <row r="75" spans="1:17" ht="14.25">
      <c r="A75" s="2" t="s">
        <v>35</v>
      </c>
      <c r="B75" s="2"/>
      <c r="C75" s="2"/>
      <c r="D75" s="2"/>
      <c r="E75" s="2"/>
      <c r="F75" s="2"/>
      <c r="G75" s="2"/>
      <c r="H75" s="148">
        <f>H67</f>
        <v>4623.29</v>
      </c>
      <c r="I75" s="149"/>
      <c r="J75" s="150"/>
      <c r="K75" s="1"/>
      <c r="L75" s="1"/>
      <c r="M75" s="1"/>
      <c r="N75" s="2"/>
      <c r="O75" s="2"/>
      <c r="P75" s="2"/>
      <c r="Q75" s="2"/>
    </row>
    <row r="76" spans="1:17" ht="14.25">
      <c r="A76" s="2" t="s">
        <v>36</v>
      </c>
      <c r="B76" s="2"/>
      <c r="C76" s="2"/>
      <c r="D76" s="2"/>
      <c r="E76" s="2"/>
      <c r="F76" s="2"/>
      <c r="G76" s="2"/>
      <c r="H76" s="158">
        <v>0.0025</v>
      </c>
      <c r="I76" s="159"/>
      <c r="J76" s="160"/>
      <c r="K76" s="1"/>
      <c r="L76" s="1"/>
      <c r="M76" s="1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2"/>
      <c r="O77" s="2"/>
      <c r="P77" s="2"/>
      <c r="Q77" s="2"/>
    </row>
    <row r="78" spans="1:17" ht="15">
      <c r="A78" s="5" t="s">
        <v>37</v>
      </c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67">
        <v>500000</v>
      </c>
      <c r="I79" s="168"/>
      <c r="J79" s="169"/>
      <c r="K79" s="1"/>
      <c r="L79" s="1"/>
      <c r="M79" s="1"/>
      <c r="N79" s="2"/>
      <c r="O79" s="2"/>
      <c r="P79" s="2"/>
      <c r="Q79" s="2"/>
    </row>
    <row r="80" spans="1:17" ht="14.25">
      <c r="A80" s="2" t="s">
        <v>39</v>
      </c>
      <c r="B80" s="2"/>
      <c r="C80" s="2"/>
      <c r="D80" s="2"/>
      <c r="E80" s="2"/>
      <c r="F80" s="2"/>
      <c r="G80" s="2"/>
      <c r="H80" s="137">
        <v>500000</v>
      </c>
      <c r="I80" s="138"/>
      <c r="J80" s="139"/>
      <c r="K80" s="1"/>
      <c r="L80" s="1"/>
      <c r="M80" s="1"/>
      <c r="N80" s="2"/>
      <c r="O80" s="2"/>
      <c r="P80" s="2"/>
      <c r="Q80" s="2"/>
    </row>
    <row r="81" spans="1:17" ht="14.25">
      <c r="A81" s="2" t="s">
        <v>40</v>
      </c>
      <c r="B81" s="2"/>
      <c r="C81" s="2"/>
      <c r="D81" s="2"/>
      <c r="E81" s="2"/>
      <c r="F81" s="2"/>
      <c r="G81" s="2"/>
      <c r="H81" s="134">
        <v>0</v>
      </c>
      <c r="I81" s="135"/>
      <c r="J81" s="136"/>
      <c r="K81" s="1"/>
      <c r="L81" s="1"/>
      <c r="M81" s="1"/>
      <c r="N81" s="2"/>
      <c r="O81" s="2"/>
      <c r="P81" s="2"/>
      <c r="Q81" s="2"/>
    </row>
    <row r="82" spans="1:17" ht="14.25">
      <c r="A82" s="2" t="s">
        <v>41</v>
      </c>
      <c r="B82" s="2"/>
      <c r="C82" s="2"/>
      <c r="D82" s="2"/>
      <c r="E82" s="2"/>
      <c r="F82" s="2"/>
      <c r="G82" s="2"/>
      <c r="H82" s="172">
        <v>500000</v>
      </c>
      <c r="I82" s="173"/>
      <c r="J82" s="174"/>
      <c r="K82" s="1"/>
      <c r="L82" s="1"/>
      <c r="M82" s="1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2"/>
      <c r="O83" s="2"/>
      <c r="P83" s="2"/>
      <c r="Q83" s="2"/>
    </row>
    <row r="84" spans="1:17" ht="15">
      <c r="A84" s="5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7">
        <v>6000000</v>
      </c>
      <c r="I85" s="168"/>
      <c r="J85" s="169"/>
      <c r="K85" s="2"/>
      <c r="L85" s="2"/>
      <c r="M85" s="2"/>
      <c r="N85" s="2"/>
      <c r="O85" s="2"/>
      <c r="P85" s="2"/>
      <c r="Q85" s="2"/>
    </row>
    <row r="86" spans="1:17" ht="14.25">
      <c r="A86" s="2" t="s">
        <v>44</v>
      </c>
      <c r="B86" s="2"/>
      <c r="C86" s="2"/>
      <c r="D86" s="2"/>
      <c r="E86" s="2"/>
      <c r="F86" s="2"/>
      <c r="G86" s="2"/>
      <c r="H86" s="137">
        <v>6000000</v>
      </c>
      <c r="I86" s="138"/>
      <c r="J86" s="139"/>
      <c r="K86" s="2"/>
      <c r="L86" s="2"/>
      <c r="M86" s="2"/>
      <c r="N86" s="2"/>
      <c r="O86" s="2"/>
      <c r="P86" s="2"/>
      <c r="Q86" s="2"/>
    </row>
    <row r="87" spans="1:17" ht="14.25">
      <c r="A87" s="2" t="s">
        <v>45</v>
      </c>
      <c r="B87" s="2"/>
      <c r="C87" s="2"/>
      <c r="D87" s="2"/>
      <c r="E87" s="2"/>
      <c r="F87" s="2"/>
      <c r="G87" s="2"/>
      <c r="H87" s="134">
        <v>0</v>
      </c>
      <c r="I87" s="135"/>
      <c r="J87" s="136"/>
      <c r="K87" s="2"/>
      <c r="L87" s="2"/>
      <c r="M87" s="2"/>
      <c r="N87" s="2"/>
      <c r="O87" s="2"/>
      <c r="P87" s="2"/>
      <c r="Q87" s="2"/>
    </row>
    <row r="88" spans="1:17" ht="14.25">
      <c r="A88" s="2" t="s">
        <v>46</v>
      </c>
      <c r="B88" s="2"/>
      <c r="C88" s="2"/>
      <c r="D88" s="2"/>
      <c r="E88" s="2"/>
      <c r="F88" s="2"/>
      <c r="G88" s="2"/>
      <c r="H88" s="134"/>
      <c r="I88" s="135"/>
      <c r="J88" s="136"/>
      <c r="K88" s="2"/>
      <c r="L88" s="2"/>
      <c r="M88" s="2"/>
      <c r="N88" s="2"/>
      <c r="O88" s="2"/>
      <c r="P88" s="2"/>
      <c r="Q88" s="2"/>
    </row>
    <row r="89" spans="1:17" ht="14.25">
      <c r="A89" s="2" t="s">
        <v>47</v>
      </c>
      <c r="B89" s="2"/>
      <c r="C89" s="2"/>
      <c r="D89" s="2"/>
      <c r="E89" s="2"/>
      <c r="F89" s="2"/>
      <c r="G89" s="2"/>
      <c r="H89" s="134">
        <v>0</v>
      </c>
      <c r="I89" s="135"/>
      <c r="J89" s="136"/>
      <c r="K89" s="2"/>
      <c r="L89" s="2"/>
      <c r="M89" s="2"/>
      <c r="N89" s="2"/>
      <c r="O89" s="2"/>
      <c r="P89" s="2"/>
      <c r="Q89" s="2"/>
    </row>
    <row r="90" spans="1:17" ht="14.25">
      <c r="A90" s="2" t="s">
        <v>48</v>
      </c>
      <c r="B90" s="2"/>
      <c r="C90" s="2"/>
      <c r="D90" s="2"/>
      <c r="E90" s="2"/>
      <c r="F90" s="2"/>
      <c r="G90" s="2"/>
      <c r="H90" s="134">
        <v>0</v>
      </c>
      <c r="I90" s="135"/>
      <c r="J90" s="136"/>
      <c r="K90" s="2"/>
      <c r="L90" s="2"/>
      <c r="M90" s="2"/>
      <c r="N90" s="2"/>
      <c r="O90" s="2"/>
      <c r="P90" s="2"/>
      <c r="Q90" s="2"/>
    </row>
    <row r="91" spans="1:17" ht="14.25">
      <c r="A91" s="2" t="s">
        <v>49</v>
      </c>
      <c r="B91" s="2"/>
      <c r="C91" s="2"/>
      <c r="D91" s="2"/>
      <c r="E91" s="2"/>
      <c r="F91" s="2"/>
      <c r="G91" s="2"/>
      <c r="H91" s="134">
        <v>0</v>
      </c>
      <c r="I91" s="135"/>
      <c r="J91" s="136"/>
      <c r="K91" s="2"/>
      <c r="L91" s="2"/>
      <c r="M91" s="2"/>
      <c r="N91" s="2"/>
      <c r="O91" s="2"/>
      <c r="P91" s="2"/>
      <c r="Q91" s="2"/>
    </row>
    <row r="92" spans="1:17" ht="14.25">
      <c r="A92" s="2" t="s">
        <v>50</v>
      </c>
      <c r="B92" s="2"/>
      <c r="C92" s="2"/>
      <c r="D92" s="2"/>
      <c r="E92" s="2"/>
      <c r="F92" s="2"/>
      <c r="G92" s="2"/>
      <c r="H92" s="172">
        <v>6000000</v>
      </c>
      <c r="I92" s="173"/>
      <c r="J92" s="174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5" t="s">
        <v>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 t="s">
        <v>52</v>
      </c>
      <c r="B95" s="2"/>
      <c r="C95" s="2"/>
      <c r="D95" s="2"/>
      <c r="E95" s="2"/>
      <c r="F95" s="2"/>
      <c r="G95" s="2"/>
      <c r="H95" s="176">
        <v>0</v>
      </c>
      <c r="I95" s="177"/>
      <c r="J95" s="178"/>
      <c r="K95" s="2"/>
      <c r="L95" s="2"/>
      <c r="M95" s="2"/>
      <c r="N95" s="2"/>
      <c r="O95" s="2"/>
      <c r="P95" s="2"/>
      <c r="Q95" s="2"/>
    </row>
    <row r="96" spans="1:17" ht="14.25">
      <c r="A96" s="2" t="s">
        <v>53</v>
      </c>
      <c r="B96" s="2"/>
      <c r="C96" s="2"/>
      <c r="D96" s="2"/>
      <c r="E96" s="2"/>
      <c r="F96" s="2"/>
      <c r="G96" s="2"/>
      <c r="H96" s="134">
        <v>0</v>
      </c>
      <c r="I96" s="135"/>
      <c r="J96" s="136"/>
      <c r="K96" s="2"/>
      <c r="L96" s="2"/>
      <c r="M96" s="2"/>
      <c r="N96" s="2"/>
      <c r="O96" s="2"/>
      <c r="P96" s="2"/>
      <c r="Q96" s="2"/>
    </row>
    <row r="97" spans="1:17" ht="14.25">
      <c r="A97" s="2" t="s">
        <v>54</v>
      </c>
      <c r="B97" s="2"/>
      <c r="C97" s="2"/>
      <c r="D97" s="2"/>
      <c r="E97" s="2"/>
      <c r="F97" s="2"/>
      <c r="G97" s="2"/>
      <c r="H97" s="134">
        <v>0</v>
      </c>
      <c r="I97" s="135"/>
      <c r="J97" s="136"/>
      <c r="K97" s="2"/>
      <c r="L97" s="2"/>
      <c r="M97" s="2"/>
      <c r="N97" s="2"/>
      <c r="O97" s="2"/>
      <c r="P97" s="2"/>
      <c r="Q97" s="2"/>
    </row>
    <row r="98" spans="1:17" ht="14.25">
      <c r="A98" s="2" t="s">
        <v>55</v>
      </c>
      <c r="B98" s="2"/>
      <c r="C98" s="2"/>
      <c r="D98" s="2"/>
      <c r="E98" s="2"/>
      <c r="F98" s="2"/>
      <c r="G98" s="2"/>
      <c r="H98" s="175">
        <v>0</v>
      </c>
      <c r="I98" s="159"/>
      <c r="J98" s="160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60" t="s">
        <v>162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7" t="s">
        <v>56</v>
      </c>
      <c r="B103" s="2"/>
      <c r="C103" s="2"/>
      <c r="D103" s="2"/>
      <c r="E103" s="2"/>
      <c r="F103" s="2"/>
      <c r="G103" s="2"/>
      <c r="H103" s="185" t="s">
        <v>87</v>
      </c>
      <c r="I103" s="186"/>
      <c r="J103" s="187"/>
      <c r="K103" s="185" t="s">
        <v>75</v>
      </c>
      <c r="L103" s="186"/>
      <c r="M103" s="187"/>
      <c r="N103" s="2"/>
      <c r="O103" s="2"/>
      <c r="P103" s="2"/>
      <c r="Q103" s="2"/>
    </row>
    <row r="104" spans="1:17" ht="14.25">
      <c r="A104" s="2" t="s">
        <v>57</v>
      </c>
      <c r="B104" s="2"/>
      <c r="C104" s="2"/>
      <c r="D104" s="2"/>
      <c r="E104" s="2"/>
      <c r="F104" s="2"/>
      <c r="G104" s="2"/>
      <c r="H104" s="191">
        <v>90699966.63</v>
      </c>
      <c r="I104" s="192"/>
      <c r="J104" s="193"/>
      <c r="K104" s="211">
        <v>1669</v>
      </c>
      <c r="L104" s="200"/>
      <c r="M104" s="201"/>
      <c r="N104" s="2"/>
      <c r="O104" s="2"/>
      <c r="P104" s="2"/>
      <c r="Q104" s="2"/>
    </row>
    <row r="105" spans="1:17" ht="14.25">
      <c r="A105" s="2" t="s">
        <v>58</v>
      </c>
      <c r="B105" s="2"/>
      <c r="C105" s="2"/>
      <c r="D105" s="2"/>
      <c r="E105" s="2"/>
      <c r="F105" s="2"/>
      <c r="G105" s="2"/>
      <c r="H105" s="191">
        <v>943877.8</v>
      </c>
      <c r="I105" s="192"/>
      <c r="J105" s="193"/>
      <c r="K105" s="211">
        <v>15</v>
      </c>
      <c r="L105" s="200"/>
      <c r="M105" s="201"/>
      <c r="N105" s="2"/>
      <c r="O105" s="2"/>
      <c r="P105" s="2"/>
      <c r="Q105" s="2"/>
    </row>
    <row r="106" spans="1:17" ht="14.25">
      <c r="A106" s="2" t="s">
        <v>59</v>
      </c>
      <c r="B106" s="2"/>
      <c r="C106" s="2"/>
      <c r="D106" s="2"/>
      <c r="E106" s="2"/>
      <c r="F106" s="2"/>
      <c r="G106" s="2"/>
      <c r="H106" s="191">
        <v>943013.73</v>
      </c>
      <c r="I106" s="192"/>
      <c r="J106" s="193"/>
      <c r="K106" s="211">
        <v>6</v>
      </c>
      <c r="L106" s="200"/>
      <c r="M106" s="201"/>
      <c r="N106" s="2"/>
      <c r="O106" s="2"/>
      <c r="P106" s="2"/>
      <c r="Q106" s="2"/>
    </row>
    <row r="107" spans="1:17" ht="14.25">
      <c r="A107" s="2" t="s">
        <v>60</v>
      </c>
      <c r="B107" s="2"/>
      <c r="C107" s="2"/>
      <c r="D107" s="2"/>
      <c r="E107" s="2"/>
      <c r="F107" s="2"/>
      <c r="G107" s="2"/>
      <c r="H107" s="191">
        <v>1134643.78</v>
      </c>
      <c r="I107" s="192"/>
      <c r="J107" s="193"/>
      <c r="K107" s="211">
        <v>12</v>
      </c>
      <c r="L107" s="200"/>
      <c r="M107" s="201"/>
      <c r="N107" s="2"/>
      <c r="O107" s="2"/>
      <c r="P107" s="2"/>
      <c r="Q107" s="2"/>
    </row>
    <row r="108" spans="1:17" ht="14.25">
      <c r="A108" s="2" t="s">
        <v>61</v>
      </c>
      <c r="B108" s="2"/>
      <c r="C108" s="2"/>
      <c r="D108" s="2"/>
      <c r="E108" s="2"/>
      <c r="F108" s="2"/>
      <c r="G108" s="2"/>
      <c r="H108" s="191">
        <f>38600.19+5909.76</f>
        <v>44509.950000000004</v>
      </c>
      <c r="I108" s="192"/>
      <c r="J108" s="193"/>
      <c r="K108" s="211">
        <f>1+1</f>
        <v>2</v>
      </c>
      <c r="L108" s="200"/>
      <c r="M108" s="201"/>
      <c r="N108" s="2"/>
      <c r="O108" s="2"/>
      <c r="P108" s="2"/>
      <c r="Q108" s="2"/>
    </row>
    <row r="109" spans="1:17" ht="14.25">
      <c r="A109" s="2" t="s">
        <v>62</v>
      </c>
      <c r="B109" s="2"/>
      <c r="C109" s="2"/>
      <c r="D109" s="2"/>
      <c r="E109" s="2"/>
      <c r="F109" s="2"/>
      <c r="G109" s="2"/>
      <c r="H109" s="191">
        <f>70993.28+5361.61</f>
        <v>76354.89</v>
      </c>
      <c r="I109" s="192"/>
      <c r="J109" s="193"/>
      <c r="K109" s="211">
        <f>1+3</f>
        <v>4</v>
      </c>
      <c r="L109" s="200"/>
      <c r="M109" s="201"/>
      <c r="N109" s="2"/>
      <c r="O109" s="2"/>
      <c r="P109" s="2"/>
      <c r="Q109" s="2"/>
    </row>
    <row r="110" spans="1:17" ht="14.25">
      <c r="A110" s="2" t="s">
        <v>108</v>
      </c>
      <c r="B110" s="2"/>
      <c r="C110" s="2"/>
      <c r="D110" s="2"/>
      <c r="E110" s="2"/>
      <c r="F110" s="2"/>
      <c r="G110" s="2"/>
      <c r="H110" s="191">
        <v>0</v>
      </c>
      <c r="I110" s="192"/>
      <c r="J110" s="193"/>
      <c r="K110" s="211">
        <v>0</v>
      </c>
      <c r="L110" s="200"/>
      <c r="M110" s="201"/>
      <c r="N110" s="2"/>
      <c r="O110" s="2"/>
      <c r="P110" s="2"/>
      <c r="Q110" s="2"/>
    </row>
    <row r="111" spans="1:17" ht="14.25">
      <c r="A111" s="2" t="s">
        <v>109</v>
      </c>
      <c r="B111" s="2"/>
      <c r="C111" s="2"/>
      <c r="D111" s="2"/>
      <c r="E111" s="2"/>
      <c r="F111" s="2"/>
      <c r="G111" s="2"/>
      <c r="H111" s="191">
        <v>53009.99</v>
      </c>
      <c r="I111" s="192"/>
      <c r="J111" s="193"/>
      <c r="K111" s="211">
        <v>3</v>
      </c>
      <c r="L111" s="200"/>
      <c r="M111" s="201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7"/>
      <c r="I112" s="18">
        <f>SUM(H104:J111)</f>
        <v>93895376.77</v>
      </c>
      <c r="J112" s="18"/>
      <c r="K112" s="19"/>
      <c r="L112" s="18">
        <f>SUM(K104:M111)</f>
        <v>1711</v>
      </c>
      <c r="M112" s="20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12"/>
      <c r="I113" s="12"/>
      <c r="J113" s="12"/>
      <c r="K113" s="13"/>
      <c r="L113" s="13"/>
      <c r="M113" s="13"/>
      <c r="N113" s="2"/>
      <c r="O113" s="2"/>
      <c r="P113" s="2"/>
      <c r="Q113" s="2"/>
    </row>
    <row r="114" spans="1:17" ht="15">
      <c r="A114" s="5" t="s">
        <v>117</v>
      </c>
      <c r="B114" s="2"/>
      <c r="C114" s="2"/>
      <c r="D114" s="2"/>
      <c r="E114" s="2"/>
      <c r="F114" s="2"/>
      <c r="G114" s="2"/>
      <c r="H114" s="188" t="s">
        <v>113</v>
      </c>
      <c r="I114" s="189"/>
      <c r="J114" s="190"/>
      <c r="K114" s="188" t="s">
        <v>114</v>
      </c>
      <c r="L114" s="189"/>
      <c r="M114" s="190"/>
      <c r="N114" s="185" t="s">
        <v>115</v>
      </c>
      <c r="O114" s="186"/>
      <c r="P114" s="187"/>
      <c r="Q114" s="2"/>
    </row>
    <row r="115" spans="1:17" ht="14.25">
      <c r="A115" s="2" t="s">
        <v>111</v>
      </c>
      <c r="B115" s="2"/>
      <c r="C115" s="2"/>
      <c r="D115" s="2"/>
      <c r="E115" s="2"/>
      <c r="F115" s="2"/>
      <c r="G115" s="2"/>
      <c r="H115" s="11"/>
      <c r="I115" s="23">
        <v>0.6337</v>
      </c>
      <c r="J115" s="24"/>
      <c r="K115" s="23"/>
      <c r="L115" s="23">
        <v>0.6437</v>
      </c>
      <c r="M115" s="24"/>
      <c r="N115" s="25"/>
      <c r="O115" s="61">
        <v>0.585</v>
      </c>
      <c r="P115" s="15"/>
      <c r="Q115" s="2"/>
    </row>
    <row r="116" spans="1:17" ht="14.25">
      <c r="A116" s="2" t="s">
        <v>112</v>
      </c>
      <c r="B116" s="2"/>
      <c r="C116" s="2"/>
      <c r="D116" s="2"/>
      <c r="E116" s="2"/>
      <c r="F116" s="2"/>
      <c r="G116" s="2"/>
      <c r="H116" s="14"/>
      <c r="I116" s="21">
        <v>0.5988</v>
      </c>
      <c r="J116" s="22"/>
      <c r="K116" s="21"/>
      <c r="L116" s="21">
        <v>0.6088</v>
      </c>
      <c r="M116" s="22"/>
      <c r="N116" s="26"/>
      <c r="O116" s="62">
        <v>0.5473</v>
      </c>
      <c r="P116" s="16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12"/>
      <c r="I117" s="12"/>
      <c r="J117" s="12"/>
      <c r="K117" s="13"/>
      <c r="L117" s="13"/>
      <c r="M117" s="13"/>
      <c r="N117" s="2"/>
      <c r="O117" s="2"/>
      <c r="P117" s="2"/>
      <c r="Q117" s="2"/>
    </row>
    <row r="118" spans="1:17" ht="15">
      <c r="A118" s="5" t="s">
        <v>63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64</v>
      </c>
      <c r="B119" s="2"/>
      <c r="C119" s="2"/>
      <c r="D119" s="2"/>
      <c r="E119" s="2"/>
      <c r="F119" s="2"/>
      <c r="G119" s="2"/>
      <c r="H119" s="176">
        <v>0</v>
      </c>
      <c r="I119" s="177"/>
      <c r="J119" s="178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65</v>
      </c>
      <c r="B120" s="2"/>
      <c r="C120" s="2"/>
      <c r="D120" s="2"/>
      <c r="E120" s="2"/>
      <c r="F120" s="2"/>
      <c r="G120" s="2"/>
      <c r="H120" s="134">
        <v>0</v>
      </c>
      <c r="I120" s="135"/>
      <c r="J120" s="136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134"/>
      <c r="I121" s="135"/>
      <c r="J121" s="136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66</v>
      </c>
      <c r="B122" s="2"/>
      <c r="C122" s="2"/>
      <c r="D122" s="2"/>
      <c r="E122" s="2"/>
      <c r="F122" s="2"/>
      <c r="G122" s="2"/>
      <c r="H122" s="134">
        <v>0</v>
      </c>
      <c r="I122" s="135"/>
      <c r="J122" s="136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67</v>
      </c>
      <c r="B123" s="2"/>
      <c r="C123" s="2"/>
      <c r="D123" s="2"/>
      <c r="E123" s="2"/>
      <c r="F123" s="2"/>
      <c r="G123" s="2"/>
      <c r="H123" s="134">
        <v>0</v>
      </c>
      <c r="I123" s="135"/>
      <c r="J123" s="136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68</v>
      </c>
      <c r="B124" s="2"/>
      <c r="C124" s="2"/>
      <c r="D124" s="2"/>
      <c r="E124" s="2"/>
      <c r="F124" s="2"/>
      <c r="G124" s="2"/>
      <c r="H124" s="175">
        <v>0</v>
      </c>
      <c r="I124" s="159"/>
      <c r="J124" s="160"/>
      <c r="K124" s="1"/>
      <c r="L124" s="1"/>
      <c r="M124" s="1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2"/>
      <c r="P125" s="2"/>
      <c r="Q125" s="2"/>
    </row>
    <row r="126" spans="1:17" ht="15">
      <c r="A126" s="5" t="s">
        <v>69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 t="s">
        <v>102</v>
      </c>
      <c r="B127" s="2"/>
      <c r="C127" s="2"/>
      <c r="D127" s="2"/>
      <c r="E127" s="2"/>
      <c r="F127" s="2"/>
      <c r="G127" s="2"/>
      <c r="H127" s="176">
        <v>0</v>
      </c>
      <c r="I127" s="177"/>
      <c r="J127" s="178"/>
      <c r="K127" s="2"/>
      <c r="L127" s="2"/>
      <c r="M127" s="2"/>
      <c r="N127" s="2"/>
      <c r="O127" s="2"/>
      <c r="P127" s="2"/>
      <c r="Q127" s="2"/>
    </row>
    <row r="128" spans="1:17" ht="14.25">
      <c r="A128" s="2" t="s">
        <v>103</v>
      </c>
      <c r="B128" s="2"/>
      <c r="C128" s="2"/>
      <c r="D128" s="2"/>
      <c r="E128" s="2"/>
      <c r="F128" s="2"/>
      <c r="G128" s="2"/>
      <c r="H128" s="134">
        <v>0</v>
      </c>
      <c r="I128" s="135"/>
      <c r="J128" s="136"/>
      <c r="K128" s="2"/>
      <c r="L128" s="2"/>
      <c r="M128" s="2"/>
      <c r="N128" s="2"/>
      <c r="O128" s="2"/>
      <c r="P128" s="2"/>
      <c r="Q128" s="2"/>
    </row>
    <row r="129" spans="1:17" ht="14.25">
      <c r="A129" s="2" t="s">
        <v>104</v>
      </c>
      <c r="B129" s="2"/>
      <c r="C129" s="2"/>
      <c r="D129" s="2"/>
      <c r="E129" s="2"/>
      <c r="F129" s="2"/>
      <c r="G129" s="2"/>
      <c r="H129" s="134">
        <v>0</v>
      </c>
      <c r="I129" s="135"/>
      <c r="J129" s="136"/>
      <c r="K129" s="2"/>
      <c r="L129" s="2"/>
      <c r="M129" s="2"/>
      <c r="N129" s="2"/>
      <c r="O129" s="2"/>
      <c r="P129" s="2"/>
      <c r="Q129" s="2"/>
    </row>
    <row r="130" spans="1:17" ht="14.25">
      <c r="A130" s="2" t="s">
        <v>105</v>
      </c>
      <c r="B130" s="2"/>
      <c r="C130" s="2"/>
      <c r="D130" s="2"/>
      <c r="E130" s="2"/>
      <c r="F130" s="2"/>
      <c r="G130" s="2"/>
      <c r="H130" s="134">
        <v>0</v>
      </c>
      <c r="I130" s="135"/>
      <c r="J130" s="136"/>
      <c r="K130" s="2"/>
      <c r="L130" s="2"/>
      <c r="M130" s="2"/>
      <c r="N130" s="2"/>
      <c r="O130" s="2"/>
      <c r="P130" s="2"/>
      <c r="Q130" s="2"/>
    </row>
    <row r="131" spans="1:17" ht="14.25">
      <c r="A131" s="2" t="s">
        <v>106</v>
      </c>
      <c r="B131" s="2"/>
      <c r="C131" s="2"/>
      <c r="D131" s="2"/>
      <c r="E131" s="2"/>
      <c r="F131" s="2"/>
      <c r="G131" s="2"/>
      <c r="H131" s="134">
        <v>0</v>
      </c>
      <c r="I131" s="135"/>
      <c r="J131" s="136"/>
      <c r="K131" s="2"/>
      <c r="L131" s="2"/>
      <c r="M131" s="2"/>
      <c r="N131" s="2"/>
      <c r="O131" s="2"/>
      <c r="P131" s="2"/>
      <c r="Q131" s="2"/>
    </row>
    <row r="132" spans="1:17" ht="14.25">
      <c r="A132" s="2" t="s">
        <v>70</v>
      </c>
      <c r="B132" s="2"/>
      <c r="C132" s="2"/>
      <c r="D132" s="2"/>
      <c r="E132" s="2"/>
      <c r="F132" s="2"/>
      <c r="G132" s="2"/>
      <c r="H132" s="134">
        <v>0</v>
      </c>
      <c r="I132" s="135"/>
      <c r="J132" s="136"/>
      <c r="K132" s="2"/>
      <c r="L132" s="2"/>
      <c r="M132" s="2"/>
      <c r="N132" s="2"/>
      <c r="O132" s="2"/>
      <c r="P132" s="2"/>
      <c r="Q132" s="2"/>
    </row>
    <row r="133" spans="1:17" ht="14.25">
      <c r="A133" s="2" t="s">
        <v>71</v>
      </c>
      <c r="B133" s="2"/>
      <c r="C133" s="2"/>
      <c r="D133" s="2"/>
      <c r="E133" s="2"/>
      <c r="F133" s="2"/>
      <c r="G133" s="2"/>
      <c r="H133" s="134">
        <v>0</v>
      </c>
      <c r="I133" s="135"/>
      <c r="J133" s="136"/>
      <c r="K133" s="2"/>
      <c r="L133" s="2"/>
      <c r="M133" s="2"/>
      <c r="N133" s="2"/>
      <c r="O133" s="2"/>
      <c r="P133" s="2"/>
      <c r="Q133" s="2"/>
    </row>
    <row r="134" spans="1:17" ht="14.25">
      <c r="A134" s="2" t="s">
        <v>72</v>
      </c>
      <c r="B134" s="2"/>
      <c r="C134" s="2"/>
      <c r="D134" s="2"/>
      <c r="E134" s="2"/>
      <c r="F134" s="2"/>
      <c r="G134" s="2"/>
      <c r="H134" s="175">
        <v>0</v>
      </c>
      <c r="I134" s="159"/>
      <c r="J134" s="160"/>
      <c r="K134" s="2"/>
      <c r="L134" s="2"/>
      <c r="M134" s="2"/>
      <c r="N134" s="2"/>
      <c r="O134" s="2"/>
      <c r="P134" s="2"/>
      <c r="Q134" s="2"/>
    </row>
    <row r="135" spans="1:1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</sheetData>
  <mergeCells count="131">
    <mergeCell ref="H132:J132"/>
    <mergeCell ref="H133:J133"/>
    <mergeCell ref="H134:J134"/>
    <mergeCell ref="H128:J128"/>
    <mergeCell ref="H129:J129"/>
    <mergeCell ref="H130:J130"/>
    <mergeCell ref="H131:J131"/>
    <mergeCell ref="H122:J122"/>
    <mergeCell ref="H123:J123"/>
    <mergeCell ref="H124:J124"/>
    <mergeCell ref="H127:J127"/>
    <mergeCell ref="N114:P114"/>
    <mergeCell ref="H119:J119"/>
    <mergeCell ref="H120:J120"/>
    <mergeCell ref="H121:J121"/>
    <mergeCell ref="H111:J111"/>
    <mergeCell ref="K111:M111"/>
    <mergeCell ref="H114:J114"/>
    <mergeCell ref="K114:M114"/>
    <mergeCell ref="H109:J109"/>
    <mergeCell ref="K109:M109"/>
    <mergeCell ref="H110:J110"/>
    <mergeCell ref="K110:M110"/>
    <mergeCell ref="H107:J107"/>
    <mergeCell ref="K107:M107"/>
    <mergeCell ref="H108:J108"/>
    <mergeCell ref="K108:M108"/>
    <mergeCell ref="H105:J105"/>
    <mergeCell ref="K105:M105"/>
    <mergeCell ref="H106:J106"/>
    <mergeCell ref="K106:M106"/>
    <mergeCell ref="H103:J103"/>
    <mergeCell ref="K103:M103"/>
    <mergeCell ref="H104:J104"/>
    <mergeCell ref="K104:M104"/>
    <mergeCell ref="H95:J95"/>
    <mergeCell ref="H96:J96"/>
    <mergeCell ref="H97:J97"/>
    <mergeCell ref="H98:J98"/>
    <mergeCell ref="H89:J89"/>
    <mergeCell ref="H90:J90"/>
    <mergeCell ref="H91:J91"/>
    <mergeCell ref="H92:J92"/>
    <mergeCell ref="H85:J85"/>
    <mergeCell ref="H86:J86"/>
    <mergeCell ref="H87:J87"/>
    <mergeCell ref="H88:J88"/>
    <mergeCell ref="H79:J79"/>
    <mergeCell ref="H80:J80"/>
    <mergeCell ref="H81:J81"/>
    <mergeCell ref="H82:J82"/>
    <mergeCell ref="H73:J73"/>
    <mergeCell ref="H74:J74"/>
    <mergeCell ref="H75:J75"/>
    <mergeCell ref="H76:J76"/>
    <mergeCell ref="H67:J67"/>
    <mergeCell ref="H70:J70"/>
    <mergeCell ref="H71:J71"/>
    <mergeCell ref="H72:J72"/>
    <mergeCell ref="H61:J61"/>
    <mergeCell ref="H64:J64"/>
    <mergeCell ref="H65:J65"/>
    <mergeCell ref="H66:J66"/>
    <mergeCell ref="M56:O56"/>
    <mergeCell ref="H57:J57"/>
    <mergeCell ref="H58:J58"/>
    <mergeCell ref="H60:J60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4" r:id="rId1"/>
  <rowBreaks count="1" manualBreakCount="1">
    <brk id="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Mortgage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JHYDE</dc:creator>
  <cp:keywords/>
  <dc:description/>
  <cp:lastModifiedBy>DoJulia</cp:lastModifiedBy>
  <cp:lastPrinted>2006-11-17T09:46:21Z</cp:lastPrinted>
  <dcterms:created xsi:type="dcterms:W3CDTF">2000-01-17T12:21:38Z</dcterms:created>
  <dcterms:modified xsi:type="dcterms:W3CDTF">2007-01-12T11:36:52Z</dcterms:modified>
  <cp:category/>
  <cp:version/>
  <cp:contentType/>
  <cp:contentStatus/>
</cp:coreProperties>
</file>